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/>
  <mc:AlternateContent xmlns:mc="http://schemas.openxmlformats.org/markup-compatibility/2006">
    <mc:Choice Requires="x15">
      <x15ac:absPath xmlns:x15ac="http://schemas.microsoft.com/office/spreadsheetml/2010/11/ac" url="S:\6003_Výstavba kanalizace - Kolomuty\#VÍCEPRÁCE\00_INVESTOR\00_Změnové listy_INVESTOR_projednané\6003_Jizera B_Dodatek D3 - úprava ZA - oprava 30.1.2023\"/>
    </mc:Choice>
  </mc:AlternateContent>
  <xr:revisionPtr revIDLastSave="0" documentId="13_ncr:1_{43B96FF9-ADEB-4534-A8A6-7C2708F2756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Rekapitulace stavby" sheetId="1" r:id="rId1"/>
    <sheet name="List1" sheetId="8" state="hidden" r:id="rId2"/>
    <sheet name="List2" sheetId="9" state="hidden" r:id="rId3"/>
    <sheet name="List3" sheetId="10" state="hidden" r:id="rId4"/>
    <sheet name="Povrchy - Komunikace II.tř" sheetId="2" r:id="rId5"/>
    <sheet name="R1 - Vodovodní řad R1" sheetId="3" r:id="rId6"/>
    <sheet name="R2 - Vodovodní řad R2" sheetId="4" r:id="rId7"/>
    <sheet name="R3 - Vodovodní řad R3" sheetId="5" r:id="rId8"/>
    <sheet name="P - Vodovodní přípojky" sheetId="6" r:id="rId9"/>
    <sheet name="VN - Vedlejší a ostatní n..." sheetId="7" r:id="rId10"/>
  </sheets>
  <definedNames>
    <definedName name="_xlnm._FilterDatabase" localSheetId="8" hidden="1">'P - Vodovodní přípojky'!$C$10:$P$80</definedName>
    <definedName name="_xlnm._FilterDatabase" localSheetId="4" hidden="1">'Povrchy - Komunikace II.tř'!$C$10:$BL$21</definedName>
    <definedName name="_xlnm._FilterDatabase" localSheetId="5" hidden="1">'R1 - Vodovodní řad R1'!$C$10:$P$82</definedName>
    <definedName name="_xlnm._FilterDatabase" localSheetId="6" hidden="1">'R2 - Vodovodní řad R2'!$B$10:$P$106</definedName>
    <definedName name="_xlnm._FilterDatabase" localSheetId="7" hidden="1">'R3 - Vodovodní řad R3'!$C$10:$P$136</definedName>
    <definedName name="_xlnm._FilterDatabase" localSheetId="9" hidden="1">'VN - Vedlejší a ostatní n...'!$C$10:$BL$31</definedName>
    <definedName name="_xlnm.Print_Titles" localSheetId="8">'P - Vodovodní přípojky'!#REF!</definedName>
    <definedName name="_xlnm.Print_Titles" localSheetId="4">'Povrchy - Komunikace II.tř'!#REF!</definedName>
    <definedName name="_xlnm.Print_Titles" localSheetId="5">'R1 - Vodovodní řad R1'!#REF!</definedName>
    <definedName name="_xlnm.Print_Titles" localSheetId="6">'R2 - Vodovodní řad R2'!#REF!</definedName>
    <definedName name="_xlnm.Print_Titles" localSheetId="7">'R3 - Vodovodní řad R3'!#REF!</definedName>
    <definedName name="_xlnm.Print_Titles" localSheetId="9">'VN - Vedlejší a ostatní n...'!#REF!</definedName>
    <definedName name="_xlnm.Print_Area" localSheetId="8">'P - Vodovodní přípojky'!$B$1:$P$84</definedName>
    <definedName name="_xlnm.Print_Area" localSheetId="4">'Povrchy - Komunikace II.tř'!$B$1:$BL$25</definedName>
    <definedName name="_xlnm.Print_Area" localSheetId="5">'R1 - Vodovodní řad R1'!$B$1:$P$86</definedName>
    <definedName name="_xlnm.Print_Area" localSheetId="6">'R2 - Vodovodní řad R2'!$B$1:$P$110</definedName>
    <definedName name="_xlnm.Print_Area" localSheetId="7">'R3 - Vodovodní řad R3'!$B$1:$P$140</definedName>
    <definedName name="_xlnm.Print_Area" localSheetId="0">'Rekapitulace stavby'!$B$1:$I$25</definedName>
    <definedName name="_xlnm.Print_Area" localSheetId="9">'VN - Vedlejší a ostatní n...'!$B$1:$BL$35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3" i="1" l="1"/>
  <c r="K128" i="5" l="1"/>
  <c r="K111" i="5"/>
  <c r="K97" i="5"/>
  <c r="K96" i="5"/>
  <c r="K95" i="5"/>
  <c r="K57" i="5"/>
  <c r="K56" i="5"/>
  <c r="K52" i="5"/>
  <c r="K51" i="5"/>
  <c r="K42" i="5"/>
  <c r="K41" i="5"/>
  <c r="K16" i="5"/>
  <c r="K19" i="5"/>
  <c r="K20" i="5"/>
  <c r="K21" i="5"/>
  <c r="K22" i="5"/>
  <c r="K23" i="5"/>
  <c r="K24" i="5"/>
  <c r="K25" i="5"/>
  <c r="K26" i="5"/>
  <c r="K27" i="5"/>
  <c r="K28" i="5"/>
  <c r="K29" i="5"/>
  <c r="K30" i="5"/>
  <c r="K31" i="5"/>
  <c r="K32" i="5"/>
  <c r="K33" i="5"/>
  <c r="K34" i="5"/>
  <c r="K35" i="5"/>
  <c r="K36" i="5"/>
  <c r="K37" i="5"/>
  <c r="AA16" i="5"/>
  <c r="AA17" i="5"/>
  <c r="AA18" i="5"/>
  <c r="AA19" i="5"/>
  <c r="AA20" i="5"/>
  <c r="AA21" i="5"/>
  <c r="AA22" i="5"/>
  <c r="AA23" i="5"/>
  <c r="AA24" i="5"/>
  <c r="AA25" i="5"/>
  <c r="AA26" i="5"/>
  <c r="AA27" i="5"/>
  <c r="AA28" i="5"/>
  <c r="AA29" i="5"/>
  <c r="AA30" i="5"/>
  <c r="AA31" i="5"/>
  <c r="AA32" i="5"/>
  <c r="AA33" i="5"/>
  <c r="AA34" i="5"/>
  <c r="AA35" i="5"/>
  <c r="AA36" i="5"/>
  <c r="AA37" i="5"/>
  <c r="AA38" i="5"/>
  <c r="AA39" i="5"/>
  <c r="AA40" i="5"/>
  <c r="AA41" i="5"/>
  <c r="AA42" i="5"/>
  <c r="AA43" i="5"/>
  <c r="AA44" i="5"/>
  <c r="AA45" i="5"/>
  <c r="AA46" i="5"/>
  <c r="AA47" i="5"/>
  <c r="AA48" i="5"/>
  <c r="AA49" i="5"/>
  <c r="AA50" i="5"/>
  <c r="AA51" i="5"/>
  <c r="AA52" i="5"/>
  <c r="AA53" i="5"/>
  <c r="AA54" i="5"/>
  <c r="AA55" i="5"/>
  <c r="AA56" i="5"/>
  <c r="AA57" i="5"/>
  <c r="AA58" i="5"/>
  <c r="AA59" i="5"/>
  <c r="AA60" i="5"/>
  <c r="AA61" i="5"/>
  <c r="AA62" i="5"/>
  <c r="AA63" i="5"/>
  <c r="AA64" i="5"/>
  <c r="AA65" i="5"/>
  <c r="AA66" i="5"/>
  <c r="AA67" i="5"/>
  <c r="AA68" i="5"/>
  <c r="AA69" i="5"/>
  <c r="AA70" i="5"/>
  <c r="AA71" i="5"/>
  <c r="AA72" i="5"/>
  <c r="AA73" i="5"/>
  <c r="AA74" i="5"/>
  <c r="AA75" i="5"/>
  <c r="AA76" i="5"/>
  <c r="AA77" i="5"/>
  <c r="AA78" i="5"/>
  <c r="AA79" i="5"/>
  <c r="AA80" i="5"/>
  <c r="AA81" i="5"/>
  <c r="AA82" i="5"/>
  <c r="AA83" i="5"/>
  <c r="AA84" i="5"/>
  <c r="AA85" i="5"/>
  <c r="AA86" i="5"/>
  <c r="AA87" i="5"/>
  <c r="AA88" i="5"/>
  <c r="AA89" i="5"/>
  <c r="AA90" i="5"/>
  <c r="AA91" i="5"/>
  <c r="AA92" i="5"/>
  <c r="AA93" i="5"/>
  <c r="AA94" i="5"/>
  <c r="AA95" i="5"/>
  <c r="AA96" i="5"/>
  <c r="AA97" i="5"/>
  <c r="AA98" i="5"/>
  <c r="AA99" i="5"/>
  <c r="AA100" i="5"/>
  <c r="AA101" i="5"/>
  <c r="AA102" i="5"/>
  <c r="AA103" i="5"/>
  <c r="AA104" i="5"/>
  <c r="AA105" i="5"/>
  <c r="AA106" i="5"/>
  <c r="AA107" i="5"/>
  <c r="AA108" i="5"/>
  <c r="AA109" i="5"/>
  <c r="AA110" i="5"/>
  <c r="AA111" i="5"/>
  <c r="AA112" i="5"/>
  <c r="AA113" i="5"/>
  <c r="AA114" i="5"/>
  <c r="AA115" i="5"/>
  <c r="AA116" i="5"/>
  <c r="AA117" i="5"/>
  <c r="AA118" i="5"/>
  <c r="AA119" i="5"/>
  <c r="AA120" i="5"/>
  <c r="AA121" i="5"/>
  <c r="AA122" i="5"/>
  <c r="AA123" i="5"/>
  <c r="AA124" i="5"/>
  <c r="AA125" i="5"/>
  <c r="AA126" i="5"/>
  <c r="AA127" i="5"/>
  <c r="AA128" i="5"/>
  <c r="AA129" i="5"/>
  <c r="AA130" i="5"/>
  <c r="AA131" i="5"/>
  <c r="AA132" i="5"/>
  <c r="AA133" i="5"/>
  <c r="AA134" i="5"/>
  <c r="AA135" i="5"/>
  <c r="AA136" i="5"/>
  <c r="K15" i="5"/>
  <c r="AA15" i="5"/>
  <c r="K106" i="4"/>
  <c r="K105" i="4"/>
  <c r="K102" i="4"/>
  <c r="K100" i="4"/>
  <c r="K98" i="4"/>
  <c r="K73" i="4"/>
  <c r="K72" i="4"/>
  <c r="K71" i="4"/>
  <c r="K55" i="4"/>
  <c r="K54" i="4"/>
  <c r="K50" i="4"/>
  <c r="K49" i="4"/>
  <c r="K41" i="4"/>
  <c r="K40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33" i="4"/>
  <c r="T34" i="4"/>
  <c r="T35" i="4"/>
  <c r="T36" i="4"/>
  <c r="T37" i="4"/>
  <c r="T38" i="4"/>
  <c r="T39" i="4"/>
  <c r="T40" i="4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T96" i="4"/>
  <c r="T97" i="4"/>
  <c r="T98" i="4"/>
  <c r="T99" i="4"/>
  <c r="T100" i="4"/>
  <c r="T101" i="4"/>
  <c r="T102" i="4"/>
  <c r="T103" i="4"/>
  <c r="T104" i="4"/>
  <c r="T105" i="4"/>
  <c r="T106" i="4"/>
  <c r="T15" i="4"/>
  <c r="K15" i="4" s="1"/>
  <c r="K82" i="3"/>
  <c r="K74" i="3"/>
  <c r="K53" i="3"/>
  <c r="K40" i="3"/>
  <c r="K19" i="3"/>
  <c r="K20" i="3"/>
  <c r="K21" i="3"/>
  <c r="K23" i="3"/>
  <c r="K24" i="3"/>
  <c r="K27" i="3"/>
  <c r="K28" i="3"/>
  <c r="K29" i="3"/>
  <c r="K31" i="3"/>
  <c r="K32" i="3"/>
  <c r="K35" i="3"/>
  <c r="K36" i="3"/>
  <c r="K37" i="3"/>
  <c r="Q16" i="3"/>
  <c r="Q17" i="3"/>
  <c r="Q18" i="3"/>
  <c r="K18" i="3" s="1"/>
  <c r="Q19" i="3"/>
  <c r="Q20" i="3"/>
  <c r="Q21" i="3"/>
  <c r="Q22" i="3"/>
  <c r="K22" i="3" s="1"/>
  <c r="Q23" i="3"/>
  <c r="Q24" i="3"/>
  <c r="Q25" i="3"/>
  <c r="K25" i="3" s="1"/>
  <c r="Q26" i="3"/>
  <c r="K26" i="3" s="1"/>
  <c r="Q27" i="3"/>
  <c r="Q28" i="3"/>
  <c r="Q29" i="3"/>
  <c r="Q30" i="3"/>
  <c r="K30" i="3" s="1"/>
  <c r="Q31" i="3"/>
  <c r="Q32" i="3"/>
  <c r="Q33" i="3"/>
  <c r="K33" i="3" s="1"/>
  <c r="Q34" i="3"/>
  <c r="K34" i="3" s="1"/>
  <c r="Q35" i="3"/>
  <c r="Q36" i="3"/>
  <c r="Q37" i="3"/>
  <c r="Q38" i="3"/>
  <c r="Q39" i="3"/>
  <c r="K39" i="3" s="1"/>
  <c r="Q40" i="3"/>
  <c r="Q41" i="3"/>
  <c r="Q42" i="3"/>
  <c r="Q43" i="3"/>
  <c r="Q44" i="3"/>
  <c r="Q45" i="3"/>
  <c r="Q46" i="3"/>
  <c r="Q47" i="3"/>
  <c r="Q48" i="3"/>
  <c r="Q49" i="3"/>
  <c r="K49" i="3" s="1"/>
  <c r="Q50" i="3"/>
  <c r="K50" i="3" s="1"/>
  <c r="Q51" i="3"/>
  <c r="Q52" i="3"/>
  <c r="Q53" i="3"/>
  <c r="Q54" i="3"/>
  <c r="K54" i="3" s="1"/>
  <c r="Q55" i="3"/>
  <c r="Q56" i="3"/>
  <c r="Q57" i="3"/>
  <c r="Q58" i="3"/>
  <c r="Q59" i="3"/>
  <c r="Q60" i="3"/>
  <c r="Q61" i="3"/>
  <c r="Q62" i="3"/>
  <c r="K62" i="3" s="1"/>
  <c r="Q63" i="3"/>
  <c r="K63" i="3" s="1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K76" i="3" s="1"/>
  <c r="Q77" i="3"/>
  <c r="Q78" i="3"/>
  <c r="K78" i="3" s="1"/>
  <c r="Q79" i="3"/>
  <c r="Q80" i="3"/>
  <c r="Q81" i="3"/>
  <c r="K81" i="3" s="1"/>
  <c r="Q82" i="3"/>
  <c r="Q15" i="3"/>
  <c r="K15" i="3" s="1"/>
  <c r="H15" i="1" l="1"/>
  <c r="F15" i="1"/>
  <c r="F22" i="1"/>
  <c r="H21" i="1"/>
  <c r="F21" i="1"/>
  <c r="F16" i="1"/>
  <c r="P82" i="6"/>
  <c r="M82" i="6"/>
  <c r="P14" i="6"/>
  <c r="M14" i="6"/>
  <c r="P38" i="6"/>
  <c r="M38" i="6"/>
  <c r="P41" i="6"/>
  <c r="M41" i="6"/>
  <c r="P47" i="6"/>
  <c r="M47" i="6"/>
  <c r="P64" i="6"/>
  <c r="M64" i="6"/>
  <c r="P67" i="6"/>
  <c r="M67" i="6"/>
  <c r="P71" i="6"/>
  <c r="M71" i="6"/>
  <c r="P73" i="6"/>
  <c r="M73" i="6"/>
  <c r="P74" i="6"/>
  <c r="M74" i="6"/>
  <c r="P77" i="6"/>
  <c r="M77" i="6"/>
  <c r="P78" i="6"/>
  <c r="M78" i="6"/>
  <c r="P16" i="6"/>
  <c r="P17" i="6"/>
  <c r="P18" i="6"/>
  <c r="P19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9" i="6"/>
  <c r="P40" i="6"/>
  <c r="P42" i="6"/>
  <c r="P43" i="6"/>
  <c r="P44" i="6"/>
  <c r="P45" i="6"/>
  <c r="P46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5" i="6"/>
  <c r="P66" i="6"/>
  <c r="P68" i="6"/>
  <c r="P69" i="6"/>
  <c r="P70" i="6"/>
  <c r="P72" i="6"/>
  <c r="P75" i="6"/>
  <c r="P76" i="6"/>
  <c r="P79" i="6"/>
  <c r="P80" i="6"/>
  <c r="O16" i="6"/>
  <c r="O17" i="6"/>
  <c r="O18" i="6"/>
  <c r="O19" i="6"/>
  <c r="O20" i="6"/>
  <c r="O21" i="6"/>
  <c r="O22" i="6"/>
  <c r="O23" i="6"/>
  <c r="O24" i="6"/>
  <c r="O25" i="6"/>
  <c r="O26" i="6"/>
  <c r="O27" i="6"/>
  <c r="O28" i="6"/>
  <c r="O29" i="6"/>
  <c r="O30" i="6"/>
  <c r="O31" i="6"/>
  <c r="O32" i="6"/>
  <c r="O33" i="6"/>
  <c r="O34" i="6"/>
  <c r="O35" i="6"/>
  <c r="O36" i="6"/>
  <c r="O37" i="6"/>
  <c r="O39" i="6"/>
  <c r="O40" i="6"/>
  <c r="O42" i="6"/>
  <c r="O43" i="6"/>
  <c r="O44" i="6"/>
  <c r="O45" i="6"/>
  <c r="O46" i="6"/>
  <c r="O48" i="6"/>
  <c r="O49" i="6"/>
  <c r="O50" i="6"/>
  <c r="O51" i="6"/>
  <c r="O52" i="6"/>
  <c r="O53" i="6"/>
  <c r="O54" i="6"/>
  <c r="O55" i="6"/>
  <c r="O56" i="6"/>
  <c r="O57" i="6"/>
  <c r="O58" i="6"/>
  <c r="O59" i="6"/>
  <c r="O60" i="6"/>
  <c r="O61" i="6"/>
  <c r="O62" i="6"/>
  <c r="O63" i="6"/>
  <c r="O65" i="6"/>
  <c r="O66" i="6"/>
  <c r="O68" i="6"/>
  <c r="O69" i="6"/>
  <c r="O70" i="6"/>
  <c r="O72" i="6"/>
  <c r="O75" i="6"/>
  <c r="O76" i="6"/>
  <c r="O79" i="6"/>
  <c r="O80" i="6"/>
  <c r="N16" i="6"/>
  <c r="N17" i="6"/>
  <c r="N18" i="6"/>
  <c r="N19" i="6"/>
  <c r="N20" i="6"/>
  <c r="N21" i="6"/>
  <c r="N22" i="6"/>
  <c r="N23" i="6"/>
  <c r="N24" i="6"/>
  <c r="N25" i="6"/>
  <c r="N26" i="6"/>
  <c r="N27" i="6"/>
  <c r="N28" i="6"/>
  <c r="N29" i="6"/>
  <c r="N30" i="6"/>
  <c r="N31" i="6"/>
  <c r="N32" i="6"/>
  <c r="N33" i="6"/>
  <c r="N34" i="6"/>
  <c r="N35" i="6"/>
  <c r="N36" i="6"/>
  <c r="N37" i="6"/>
  <c r="N39" i="6"/>
  <c r="N40" i="6"/>
  <c r="N42" i="6"/>
  <c r="N43" i="6"/>
  <c r="N44" i="6"/>
  <c r="N45" i="6"/>
  <c r="N46" i="6"/>
  <c r="N48" i="6"/>
  <c r="N49" i="6"/>
  <c r="N50" i="6"/>
  <c r="N51" i="6"/>
  <c r="N52" i="6"/>
  <c r="N53" i="6"/>
  <c r="N54" i="6"/>
  <c r="N55" i="6"/>
  <c r="N56" i="6"/>
  <c r="N57" i="6"/>
  <c r="N58" i="6"/>
  <c r="N59" i="6"/>
  <c r="N60" i="6"/>
  <c r="N61" i="6"/>
  <c r="N62" i="6"/>
  <c r="N63" i="6"/>
  <c r="N65" i="6"/>
  <c r="N66" i="6"/>
  <c r="N68" i="6"/>
  <c r="N69" i="6"/>
  <c r="N70" i="6"/>
  <c r="N72" i="6"/>
  <c r="N75" i="6"/>
  <c r="N76" i="6"/>
  <c r="N79" i="6"/>
  <c r="N80" i="6"/>
  <c r="M16" i="6"/>
  <c r="M17" i="6"/>
  <c r="M18" i="6"/>
  <c r="M19" i="6"/>
  <c r="M20" i="6"/>
  <c r="M21" i="6"/>
  <c r="M22" i="6"/>
  <c r="M23" i="6"/>
  <c r="M24" i="6"/>
  <c r="M25" i="6"/>
  <c r="M26" i="6"/>
  <c r="M27" i="6"/>
  <c r="M28" i="6"/>
  <c r="M29" i="6"/>
  <c r="M30" i="6"/>
  <c r="M31" i="6"/>
  <c r="M32" i="6"/>
  <c r="M33" i="6"/>
  <c r="M34" i="6"/>
  <c r="M35" i="6"/>
  <c r="M36" i="6"/>
  <c r="M37" i="6"/>
  <c r="M39" i="6"/>
  <c r="M40" i="6"/>
  <c r="M42" i="6"/>
  <c r="M43" i="6"/>
  <c r="M44" i="6"/>
  <c r="M45" i="6"/>
  <c r="M46" i="6"/>
  <c r="M48" i="6"/>
  <c r="M49" i="6"/>
  <c r="M50" i="6"/>
  <c r="M51" i="6"/>
  <c r="M52" i="6"/>
  <c r="M53" i="6"/>
  <c r="M54" i="6"/>
  <c r="M55" i="6"/>
  <c r="M56" i="6"/>
  <c r="M57" i="6"/>
  <c r="M58" i="6"/>
  <c r="M59" i="6"/>
  <c r="M60" i="6"/>
  <c r="M61" i="6"/>
  <c r="M62" i="6"/>
  <c r="M63" i="6"/>
  <c r="M65" i="6"/>
  <c r="M66" i="6"/>
  <c r="M68" i="6"/>
  <c r="M69" i="6"/>
  <c r="M70" i="6"/>
  <c r="M72" i="6"/>
  <c r="M75" i="6"/>
  <c r="M76" i="6"/>
  <c r="M79" i="6"/>
  <c r="M80" i="6"/>
  <c r="L16" i="6"/>
  <c r="L17" i="6"/>
  <c r="L18" i="6"/>
  <c r="L19" i="6"/>
  <c r="L20" i="6"/>
  <c r="L21" i="6"/>
  <c r="L22" i="6"/>
  <c r="L23" i="6"/>
  <c r="L24" i="6"/>
  <c r="L25" i="6"/>
  <c r="L26" i="6"/>
  <c r="L27" i="6"/>
  <c r="L28" i="6"/>
  <c r="L29" i="6"/>
  <c r="L30" i="6"/>
  <c r="L31" i="6"/>
  <c r="L32" i="6"/>
  <c r="L33" i="6"/>
  <c r="L34" i="6"/>
  <c r="L35" i="6"/>
  <c r="L36" i="6"/>
  <c r="L37" i="6"/>
  <c r="L39" i="6"/>
  <c r="L40" i="6"/>
  <c r="L42" i="6"/>
  <c r="L43" i="6"/>
  <c r="L44" i="6"/>
  <c r="L45" i="6"/>
  <c r="L46" i="6"/>
  <c r="L48" i="6"/>
  <c r="L49" i="6"/>
  <c r="L50" i="6"/>
  <c r="L51" i="6"/>
  <c r="L52" i="6"/>
  <c r="L53" i="6"/>
  <c r="L54" i="6"/>
  <c r="L55" i="6"/>
  <c r="L56" i="6"/>
  <c r="L57" i="6"/>
  <c r="L58" i="6"/>
  <c r="L59" i="6"/>
  <c r="L60" i="6"/>
  <c r="L61" i="6"/>
  <c r="L62" i="6"/>
  <c r="L63" i="6"/>
  <c r="L65" i="6"/>
  <c r="L66" i="6"/>
  <c r="L68" i="6"/>
  <c r="L69" i="6"/>
  <c r="L70" i="6"/>
  <c r="L72" i="6"/>
  <c r="L75" i="6"/>
  <c r="L76" i="6"/>
  <c r="L79" i="6"/>
  <c r="L80" i="6"/>
  <c r="P15" i="6"/>
  <c r="O15" i="6"/>
  <c r="N15" i="6"/>
  <c r="M15" i="6"/>
  <c r="L15" i="6"/>
  <c r="P38" i="5"/>
  <c r="M38" i="5"/>
  <c r="P43" i="5"/>
  <c r="M43" i="5"/>
  <c r="M50" i="5"/>
  <c r="P112" i="5"/>
  <c r="M112" i="5"/>
  <c r="P116" i="5"/>
  <c r="M116" i="5"/>
  <c r="P19" i="5"/>
  <c r="P27" i="5"/>
  <c r="P29" i="5"/>
  <c r="P35" i="5"/>
  <c r="P39" i="5"/>
  <c r="P41" i="5"/>
  <c r="P42" i="5"/>
  <c r="P44" i="5"/>
  <c r="P45" i="5"/>
  <c r="P46" i="5"/>
  <c r="P47" i="5"/>
  <c r="P48" i="5"/>
  <c r="P49" i="5"/>
  <c r="P54" i="5"/>
  <c r="P55" i="5"/>
  <c r="P58" i="5"/>
  <c r="P59" i="5"/>
  <c r="P60" i="5"/>
  <c r="P61" i="5"/>
  <c r="P62" i="5"/>
  <c r="P63" i="5"/>
  <c r="P64" i="5"/>
  <c r="P65" i="5"/>
  <c r="P66" i="5"/>
  <c r="P67" i="5"/>
  <c r="P68" i="5"/>
  <c r="P69" i="5"/>
  <c r="P70" i="5"/>
  <c r="P71" i="5"/>
  <c r="P72" i="5"/>
  <c r="P73" i="5"/>
  <c r="P74" i="5"/>
  <c r="P75" i="5"/>
  <c r="P76" i="5"/>
  <c r="P77" i="5"/>
  <c r="P78" i="5"/>
  <c r="P81" i="5"/>
  <c r="P82" i="5"/>
  <c r="P83" i="5"/>
  <c r="P84" i="5"/>
  <c r="P85" i="5"/>
  <c r="P86" i="5"/>
  <c r="P87" i="5"/>
  <c r="P88" i="5"/>
  <c r="P89" i="5"/>
  <c r="P90" i="5"/>
  <c r="P91" i="5"/>
  <c r="P92" i="5"/>
  <c r="P93" i="5"/>
  <c r="P94" i="5"/>
  <c r="P95" i="5"/>
  <c r="P96" i="5"/>
  <c r="P97" i="5"/>
  <c r="P98" i="5"/>
  <c r="P99" i="5"/>
  <c r="P100" i="5"/>
  <c r="P101" i="5"/>
  <c r="P102" i="5"/>
  <c r="P103" i="5"/>
  <c r="P104" i="5"/>
  <c r="P105" i="5"/>
  <c r="P106" i="5"/>
  <c r="P107" i="5"/>
  <c r="P109" i="5"/>
  <c r="P110" i="5"/>
  <c r="P113" i="5"/>
  <c r="P114" i="5"/>
  <c r="P115" i="5"/>
  <c r="P117" i="5"/>
  <c r="P118" i="5"/>
  <c r="P119" i="5"/>
  <c r="P120" i="5"/>
  <c r="P121" i="5"/>
  <c r="P122" i="5"/>
  <c r="P123" i="5"/>
  <c r="P124" i="5"/>
  <c r="P125" i="5"/>
  <c r="P126" i="5"/>
  <c r="P129" i="5"/>
  <c r="O16" i="5"/>
  <c r="O17" i="5"/>
  <c r="O18" i="5"/>
  <c r="O19" i="5"/>
  <c r="O20" i="5"/>
  <c r="O21" i="5"/>
  <c r="O22" i="5"/>
  <c r="O23" i="5"/>
  <c r="O24" i="5"/>
  <c r="O25" i="5"/>
  <c r="O26" i="5"/>
  <c r="O27" i="5"/>
  <c r="O28" i="5"/>
  <c r="O29" i="5"/>
  <c r="O30" i="5"/>
  <c r="O31" i="5"/>
  <c r="O32" i="5"/>
  <c r="O33" i="5"/>
  <c r="O34" i="5"/>
  <c r="O35" i="5"/>
  <c r="O36" i="5"/>
  <c r="O37" i="5"/>
  <c r="O39" i="5"/>
  <c r="O41" i="5"/>
  <c r="O42" i="5"/>
  <c r="O44" i="5"/>
  <c r="O45" i="5"/>
  <c r="O46" i="5"/>
  <c r="O47" i="5"/>
  <c r="O48" i="5"/>
  <c r="O49" i="5"/>
  <c r="O51" i="5"/>
  <c r="O52" i="5"/>
  <c r="O54" i="5"/>
  <c r="O55" i="5"/>
  <c r="O56" i="5"/>
  <c r="O57" i="5"/>
  <c r="O58" i="5"/>
  <c r="O59" i="5"/>
  <c r="O60" i="5"/>
  <c r="O61" i="5"/>
  <c r="O62" i="5"/>
  <c r="O63" i="5"/>
  <c r="O64" i="5"/>
  <c r="O65" i="5"/>
  <c r="O66" i="5"/>
  <c r="O67" i="5"/>
  <c r="O68" i="5"/>
  <c r="O69" i="5"/>
  <c r="O70" i="5"/>
  <c r="O71" i="5"/>
  <c r="O72" i="5"/>
  <c r="O73" i="5"/>
  <c r="O74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93" i="5"/>
  <c r="O94" i="5"/>
  <c r="O95" i="5"/>
  <c r="O96" i="5"/>
  <c r="O97" i="5"/>
  <c r="O98" i="5"/>
  <c r="O99" i="5"/>
  <c r="O100" i="5"/>
  <c r="O101" i="5"/>
  <c r="O102" i="5"/>
  <c r="O103" i="5"/>
  <c r="O104" i="5"/>
  <c r="O105" i="5"/>
  <c r="O106" i="5"/>
  <c r="O107" i="5"/>
  <c r="O108" i="5"/>
  <c r="O109" i="5"/>
  <c r="O110" i="5"/>
  <c r="O111" i="5"/>
  <c r="O113" i="5"/>
  <c r="O114" i="5"/>
  <c r="O115" i="5"/>
  <c r="O117" i="5"/>
  <c r="O118" i="5"/>
  <c r="O119" i="5"/>
  <c r="O120" i="5"/>
  <c r="O121" i="5"/>
  <c r="O122" i="5"/>
  <c r="O123" i="5"/>
  <c r="O124" i="5"/>
  <c r="O125" i="5"/>
  <c r="O126" i="5"/>
  <c r="O128" i="5"/>
  <c r="O129" i="5"/>
  <c r="O130" i="5"/>
  <c r="O132" i="5"/>
  <c r="O135" i="5"/>
  <c r="O136" i="5"/>
  <c r="N16" i="5"/>
  <c r="P16" i="5" s="1"/>
  <c r="N17" i="5"/>
  <c r="P17" i="5" s="1"/>
  <c r="N18" i="5"/>
  <c r="P18" i="5" s="1"/>
  <c r="N19" i="5"/>
  <c r="N20" i="5"/>
  <c r="P20" i="5" s="1"/>
  <c r="N21" i="5"/>
  <c r="P21" i="5" s="1"/>
  <c r="N22" i="5"/>
  <c r="P22" i="5" s="1"/>
  <c r="N23" i="5"/>
  <c r="P23" i="5" s="1"/>
  <c r="N24" i="5"/>
  <c r="P24" i="5" s="1"/>
  <c r="N25" i="5"/>
  <c r="P25" i="5" s="1"/>
  <c r="N26" i="5"/>
  <c r="P26" i="5" s="1"/>
  <c r="N27" i="5"/>
  <c r="N28" i="5"/>
  <c r="P28" i="5" s="1"/>
  <c r="N29" i="5"/>
  <c r="N30" i="5"/>
  <c r="P30" i="5" s="1"/>
  <c r="N31" i="5"/>
  <c r="P31" i="5" s="1"/>
  <c r="N32" i="5"/>
  <c r="P32" i="5" s="1"/>
  <c r="N33" i="5"/>
  <c r="P33" i="5" s="1"/>
  <c r="N34" i="5"/>
  <c r="P34" i="5" s="1"/>
  <c r="N35" i="5"/>
  <c r="N36" i="5"/>
  <c r="P36" i="5" s="1"/>
  <c r="N37" i="5"/>
  <c r="P37" i="5" s="1"/>
  <c r="N39" i="5"/>
  <c r="N41" i="5"/>
  <c r="N42" i="5"/>
  <c r="N44" i="5"/>
  <c r="N45" i="5"/>
  <c r="N46" i="5"/>
  <c r="N47" i="5"/>
  <c r="N48" i="5"/>
  <c r="N49" i="5"/>
  <c r="N51" i="5"/>
  <c r="P51" i="5" s="1"/>
  <c r="N52" i="5"/>
  <c r="P52" i="5" s="1"/>
  <c r="N54" i="5"/>
  <c r="N55" i="5"/>
  <c r="N56" i="5"/>
  <c r="P56" i="5" s="1"/>
  <c r="N57" i="5"/>
  <c r="P57" i="5" s="1"/>
  <c r="N58" i="5"/>
  <c r="N59" i="5"/>
  <c r="N60" i="5"/>
  <c r="N61" i="5"/>
  <c r="N62" i="5"/>
  <c r="N63" i="5"/>
  <c r="N64" i="5"/>
  <c r="N65" i="5"/>
  <c r="N66" i="5"/>
  <c r="N67" i="5"/>
  <c r="N68" i="5"/>
  <c r="N69" i="5"/>
  <c r="N70" i="5"/>
  <c r="N71" i="5"/>
  <c r="N72" i="5"/>
  <c r="N73" i="5"/>
  <c r="N74" i="5"/>
  <c r="N75" i="5"/>
  <c r="N76" i="5"/>
  <c r="N77" i="5"/>
  <c r="N78" i="5"/>
  <c r="N79" i="5"/>
  <c r="P79" i="5" s="1"/>
  <c r="N80" i="5"/>
  <c r="P80" i="5" s="1"/>
  <c r="N81" i="5"/>
  <c r="N82" i="5"/>
  <c r="N83" i="5"/>
  <c r="N84" i="5"/>
  <c r="N85" i="5"/>
  <c r="N86" i="5"/>
  <c r="N87" i="5"/>
  <c r="N88" i="5"/>
  <c r="N89" i="5"/>
  <c r="N90" i="5"/>
  <c r="N91" i="5"/>
  <c r="N92" i="5"/>
  <c r="N93" i="5"/>
  <c r="N94" i="5"/>
  <c r="N95" i="5"/>
  <c r="N96" i="5"/>
  <c r="N97" i="5"/>
  <c r="N98" i="5"/>
  <c r="N99" i="5"/>
  <c r="N100" i="5"/>
  <c r="N101" i="5"/>
  <c r="N102" i="5"/>
  <c r="N103" i="5"/>
  <c r="N104" i="5"/>
  <c r="N105" i="5"/>
  <c r="N106" i="5"/>
  <c r="N107" i="5"/>
  <c r="N108" i="5"/>
  <c r="P108" i="5" s="1"/>
  <c r="N109" i="5"/>
  <c r="N110" i="5"/>
  <c r="N111" i="5"/>
  <c r="P111" i="5" s="1"/>
  <c r="N113" i="5"/>
  <c r="N114" i="5"/>
  <c r="N115" i="5"/>
  <c r="N117" i="5"/>
  <c r="N118" i="5"/>
  <c r="N119" i="5"/>
  <c r="N120" i="5"/>
  <c r="N121" i="5"/>
  <c r="N122" i="5"/>
  <c r="N123" i="5"/>
  <c r="N124" i="5"/>
  <c r="N125" i="5"/>
  <c r="N126" i="5"/>
  <c r="N128" i="5"/>
  <c r="P128" i="5" s="1"/>
  <c r="N129" i="5"/>
  <c r="N130" i="5"/>
  <c r="P130" i="5" s="1"/>
  <c r="N132" i="5"/>
  <c r="P132" i="5" s="1"/>
  <c r="P131" i="5" s="1"/>
  <c r="N135" i="5"/>
  <c r="P135" i="5" s="1"/>
  <c r="N136" i="5"/>
  <c r="P136" i="5" s="1"/>
  <c r="M16" i="5"/>
  <c r="M17" i="5"/>
  <c r="M18" i="5"/>
  <c r="M19" i="5"/>
  <c r="M20" i="5"/>
  <c r="M21" i="5"/>
  <c r="M22" i="5"/>
  <c r="M23" i="5"/>
  <c r="M24" i="5"/>
  <c r="M25" i="5"/>
  <c r="M26" i="5"/>
  <c r="M27" i="5"/>
  <c r="M28" i="5"/>
  <c r="M29" i="5"/>
  <c r="M30" i="5"/>
  <c r="M31" i="5"/>
  <c r="M32" i="5"/>
  <c r="M33" i="5"/>
  <c r="M34" i="5"/>
  <c r="M35" i="5"/>
  <c r="M36" i="5"/>
  <c r="M37" i="5"/>
  <c r="M39" i="5"/>
  <c r="M41" i="5"/>
  <c r="M42" i="5"/>
  <c r="M40" i="5" s="1"/>
  <c r="M44" i="5"/>
  <c r="M45" i="5"/>
  <c r="M46" i="5"/>
  <c r="M47" i="5"/>
  <c r="M48" i="5"/>
  <c r="M49" i="5"/>
  <c r="M51" i="5"/>
  <c r="M52" i="5"/>
  <c r="M54" i="5"/>
  <c r="M55" i="5"/>
  <c r="M56" i="5"/>
  <c r="M57" i="5"/>
  <c r="M58" i="5"/>
  <c r="M59" i="5"/>
  <c r="M60" i="5"/>
  <c r="M61" i="5"/>
  <c r="M62" i="5"/>
  <c r="M63" i="5"/>
  <c r="M64" i="5"/>
  <c r="M65" i="5"/>
  <c r="M66" i="5"/>
  <c r="M67" i="5"/>
  <c r="M68" i="5"/>
  <c r="M69" i="5"/>
  <c r="M70" i="5"/>
  <c r="M71" i="5"/>
  <c r="M72" i="5"/>
  <c r="M73" i="5"/>
  <c r="M74" i="5"/>
  <c r="M75" i="5"/>
  <c r="M76" i="5"/>
  <c r="M77" i="5"/>
  <c r="M78" i="5"/>
  <c r="M79" i="5"/>
  <c r="M80" i="5"/>
  <c r="M81" i="5"/>
  <c r="M82" i="5"/>
  <c r="M83" i="5"/>
  <c r="M84" i="5"/>
  <c r="M85" i="5"/>
  <c r="M86" i="5"/>
  <c r="M87" i="5"/>
  <c r="M88" i="5"/>
  <c r="M89" i="5"/>
  <c r="M90" i="5"/>
  <c r="M91" i="5"/>
  <c r="M92" i="5"/>
  <c r="M93" i="5"/>
  <c r="M94" i="5"/>
  <c r="M95" i="5"/>
  <c r="M96" i="5"/>
  <c r="M97" i="5"/>
  <c r="M98" i="5"/>
  <c r="M99" i="5"/>
  <c r="M100" i="5"/>
  <c r="M101" i="5"/>
  <c r="M102" i="5"/>
  <c r="M103" i="5"/>
  <c r="M104" i="5"/>
  <c r="M105" i="5"/>
  <c r="M106" i="5"/>
  <c r="M107" i="5"/>
  <c r="M108" i="5"/>
  <c r="M109" i="5"/>
  <c r="M110" i="5"/>
  <c r="M111" i="5"/>
  <c r="M113" i="5"/>
  <c r="M114" i="5"/>
  <c r="M115" i="5"/>
  <c r="M117" i="5"/>
  <c r="M118" i="5"/>
  <c r="M119" i="5"/>
  <c r="M120" i="5"/>
  <c r="M121" i="5"/>
  <c r="M122" i="5"/>
  <c r="M123" i="5"/>
  <c r="M124" i="5"/>
  <c r="M125" i="5"/>
  <c r="M126" i="5"/>
  <c r="M128" i="5"/>
  <c r="M129" i="5"/>
  <c r="M130" i="5"/>
  <c r="M127" i="5" s="1"/>
  <c r="M132" i="5"/>
  <c r="M131" i="5" s="1"/>
  <c r="M135" i="5"/>
  <c r="M136" i="5"/>
  <c r="L16" i="5"/>
  <c r="L17" i="5"/>
  <c r="L18" i="5"/>
  <c r="L19" i="5"/>
  <c r="L20" i="5"/>
  <c r="L21" i="5"/>
  <c r="L22" i="5"/>
  <c r="L23" i="5"/>
  <c r="L24" i="5"/>
  <c r="L25" i="5"/>
  <c r="L26" i="5"/>
  <c r="L27" i="5"/>
  <c r="L28" i="5"/>
  <c r="L29" i="5"/>
  <c r="L30" i="5"/>
  <c r="L31" i="5"/>
  <c r="L32" i="5"/>
  <c r="L33" i="5"/>
  <c r="L34" i="5"/>
  <c r="L35" i="5"/>
  <c r="L36" i="5"/>
  <c r="L37" i="5"/>
  <c r="L39" i="5"/>
  <c r="L41" i="5"/>
  <c r="L42" i="5"/>
  <c r="L44" i="5"/>
  <c r="L45" i="5"/>
  <c r="L46" i="5"/>
  <c r="L47" i="5"/>
  <c r="L48" i="5"/>
  <c r="L49" i="5"/>
  <c r="L51" i="5"/>
  <c r="L52" i="5"/>
  <c r="L54" i="5"/>
  <c r="L55" i="5"/>
  <c r="L56" i="5"/>
  <c r="L57" i="5"/>
  <c r="L58" i="5"/>
  <c r="L59" i="5"/>
  <c r="L60" i="5"/>
  <c r="L61" i="5"/>
  <c r="L62" i="5"/>
  <c r="L63" i="5"/>
  <c r="L64" i="5"/>
  <c r="L65" i="5"/>
  <c r="L66" i="5"/>
  <c r="L67" i="5"/>
  <c r="L68" i="5"/>
  <c r="L69" i="5"/>
  <c r="L70" i="5"/>
  <c r="L71" i="5"/>
  <c r="L72" i="5"/>
  <c r="L73" i="5"/>
  <c r="L74" i="5"/>
  <c r="L75" i="5"/>
  <c r="L76" i="5"/>
  <c r="L77" i="5"/>
  <c r="L78" i="5"/>
  <c r="L79" i="5"/>
  <c r="L80" i="5"/>
  <c r="L81" i="5"/>
  <c r="L82" i="5"/>
  <c r="L83" i="5"/>
  <c r="L84" i="5"/>
  <c r="L85" i="5"/>
  <c r="L86" i="5"/>
  <c r="L87" i="5"/>
  <c r="L88" i="5"/>
  <c r="L89" i="5"/>
  <c r="L90" i="5"/>
  <c r="L91" i="5"/>
  <c r="L92" i="5"/>
  <c r="L93" i="5"/>
  <c r="L94" i="5"/>
  <c r="L95" i="5"/>
  <c r="L96" i="5"/>
  <c r="L97" i="5"/>
  <c r="L98" i="5"/>
  <c r="L99" i="5"/>
  <c r="L100" i="5"/>
  <c r="L101" i="5"/>
  <c r="L102" i="5"/>
  <c r="L103" i="5"/>
  <c r="L104" i="5"/>
  <c r="L105" i="5"/>
  <c r="L106" i="5"/>
  <c r="L107" i="5"/>
  <c r="L108" i="5"/>
  <c r="L109" i="5"/>
  <c r="L110" i="5"/>
  <c r="L111" i="5"/>
  <c r="L113" i="5"/>
  <c r="L114" i="5"/>
  <c r="L115" i="5"/>
  <c r="L117" i="5"/>
  <c r="L118" i="5"/>
  <c r="L119" i="5"/>
  <c r="L120" i="5"/>
  <c r="L121" i="5"/>
  <c r="L122" i="5"/>
  <c r="L123" i="5"/>
  <c r="L124" i="5"/>
  <c r="L125" i="5"/>
  <c r="L126" i="5"/>
  <c r="L128" i="5"/>
  <c r="L129" i="5"/>
  <c r="L130" i="5"/>
  <c r="L132" i="5"/>
  <c r="L135" i="5"/>
  <c r="L136" i="5"/>
  <c r="P15" i="5"/>
  <c r="O15" i="5"/>
  <c r="N15" i="5"/>
  <c r="M15" i="5"/>
  <c r="L15" i="5"/>
  <c r="J108" i="4"/>
  <c r="P37" i="4"/>
  <c r="M37" i="4"/>
  <c r="P42" i="4"/>
  <c r="M42" i="4"/>
  <c r="P83" i="4"/>
  <c r="M83" i="4"/>
  <c r="P87" i="4"/>
  <c r="M87" i="4"/>
  <c r="P19" i="4"/>
  <c r="P22" i="4"/>
  <c r="P24" i="4"/>
  <c r="P27" i="4"/>
  <c r="P30" i="4"/>
  <c r="P32" i="4"/>
  <c r="P35" i="4"/>
  <c r="P38" i="4"/>
  <c r="P40" i="4"/>
  <c r="P41" i="4"/>
  <c r="P43" i="4"/>
  <c r="P44" i="4"/>
  <c r="P45" i="4"/>
  <c r="P46" i="4"/>
  <c r="P47" i="4"/>
  <c r="P52" i="4"/>
  <c r="P53" i="4"/>
  <c r="P56" i="4"/>
  <c r="P57" i="4"/>
  <c r="P58" i="4"/>
  <c r="P59" i="4"/>
  <c r="P60" i="4"/>
  <c r="P61" i="4"/>
  <c r="P62" i="4"/>
  <c r="P63" i="4"/>
  <c r="P64" i="4"/>
  <c r="P65" i="4"/>
  <c r="P66" i="4"/>
  <c r="P67" i="4"/>
  <c r="P68" i="4"/>
  <c r="P69" i="4"/>
  <c r="P70" i="4"/>
  <c r="P71" i="4"/>
  <c r="P74" i="4"/>
  <c r="P75" i="4"/>
  <c r="P76" i="4"/>
  <c r="P77" i="4"/>
  <c r="P78" i="4"/>
  <c r="P79" i="4"/>
  <c r="P80" i="4"/>
  <c r="P81" i="4"/>
  <c r="P84" i="4"/>
  <c r="P85" i="4"/>
  <c r="P86" i="4"/>
  <c r="P88" i="4"/>
  <c r="P89" i="4"/>
  <c r="P90" i="4"/>
  <c r="P91" i="4"/>
  <c r="P92" i="4"/>
  <c r="P93" i="4"/>
  <c r="P94" i="4"/>
  <c r="P95" i="4"/>
  <c r="P96" i="4"/>
  <c r="P98" i="4"/>
  <c r="P97" i="4" s="1"/>
  <c r="P99" i="4"/>
  <c r="P100" i="4"/>
  <c r="P102" i="4"/>
  <c r="P101" i="4" s="1"/>
  <c r="O16" i="4"/>
  <c r="O17" i="4"/>
  <c r="O18" i="4"/>
  <c r="O19" i="4"/>
  <c r="O20" i="4"/>
  <c r="O21" i="4"/>
  <c r="O22" i="4"/>
  <c r="O23" i="4"/>
  <c r="O24" i="4"/>
  <c r="O25" i="4"/>
  <c r="O26" i="4"/>
  <c r="O27" i="4"/>
  <c r="O28" i="4"/>
  <c r="O29" i="4"/>
  <c r="O30" i="4"/>
  <c r="O31" i="4"/>
  <c r="O32" i="4"/>
  <c r="O33" i="4"/>
  <c r="O34" i="4"/>
  <c r="O35" i="4"/>
  <c r="O36" i="4"/>
  <c r="O38" i="4"/>
  <c r="O40" i="4"/>
  <c r="O41" i="4"/>
  <c r="O43" i="4"/>
  <c r="O44" i="4"/>
  <c r="O45" i="4"/>
  <c r="O46" i="4"/>
  <c r="O47" i="4"/>
  <c r="O49" i="4"/>
  <c r="O50" i="4"/>
  <c r="O52" i="4"/>
  <c r="O53" i="4"/>
  <c r="O54" i="4"/>
  <c r="O55" i="4"/>
  <c r="O56" i="4"/>
  <c r="O57" i="4"/>
  <c r="O58" i="4"/>
  <c r="O59" i="4"/>
  <c r="O60" i="4"/>
  <c r="O61" i="4"/>
  <c r="O62" i="4"/>
  <c r="O63" i="4"/>
  <c r="O64" i="4"/>
  <c r="O65" i="4"/>
  <c r="O66" i="4"/>
  <c r="O67" i="4"/>
  <c r="O68" i="4"/>
  <c r="O69" i="4"/>
  <c r="O70" i="4"/>
  <c r="O71" i="4"/>
  <c r="O72" i="4"/>
  <c r="O73" i="4"/>
  <c r="O74" i="4"/>
  <c r="O75" i="4"/>
  <c r="O76" i="4"/>
  <c r="O77" i="4"/>
  <c r="O78" i="4"/>
  <c r="O79" i="4"/>
  <c r="O80" i="4"/>
  <c r="O81" i="4"/>
  <c r="O82" i="4"/>
  <c r="O84" i="4"/>
  <c r="O85" i="4"/>
  <c r="O86" i="4"/>
  <c r="O88" i="4"/>
  <c r="O89" i="4"/>
  <c r="O90" i="4"/>
  <c r="O91" i="4"/>
  <c r="O92" i="4"/>
  <c r="O93" i="4"/>
  <c r="O94" i="4"/>
  <c r="O95" i="4"/>
  <c r="O96" i="4"/>
  <c r="O98" i="4"/>
  <c r="O99" i="4"/>
  <c r="O100" i="4"/>
  <c r="O102" i="4"/>
  <c r="O105" i="4"/>
  <c r="O106" i="4"/>
  <c r="O15" i="4"/>
  <c r="N16" i="4"/>
  <c r="P16" i="4" s="1"/>
  <c r="N17" i="4"/>
  <c r="P17" i="4" s="1"/>
  <c r="N18" i="4"/>
  <c r="P18" i="4" s="1"/>
  <c r="N19" i="4"/>
  <c r="N20" i="4"/>
  <c r="P20" i="4" s="1"/>
  <c r="N21" i="4"/>
  <c r="P21" i="4" s="1"/>
  <c r="N22" i="4"/>
  <c r="N23" i="4"/>
  <c r="P23" i="4" s="1"/>
  <c r="N24" i="4"/>
  <c r="N25" i="4"/>
  <c r="P25" i="4" s="1"/>
  <c r="N26" i="4"/>
  <c r="P26" i="4" s="1"/>
  <c r="N27" i="4"/>
  <c r="N28" i="4"/>
  <c r="P28" i="4" s="1"/>
  <c r="N29" i="4"/>
  <c r="P29" i="4" s="1"/>
  <c r="N30" i="4"/>
  <c r="N31" i="4"/>
  <c r="P31" i="4" s="1"/>
  <c r="N32" i="4"/>
  <c r="N33" i="4"/>
  <c r="P33" i="4" s="1"/>
  <c r="N34" i="4"/>
  <c r="P34" i="4" s="1"/>
  <c r="N35" i="4"/>
  <c r="N36" i="4"/>
  <c r="P36" i="4" s="1"/>
  <c r="N38" i="4"/>
  <c r="N40" i="4"/>
  <c r="N41" i="4"/>
  <c r="N43" i="4"/>
  <c r="N44" i="4"/>
  <c r="N45" i="4"/>
  <c r="N46" i="4"/>
  <c r="N47" i="4"/>
  <c r="N49" i="4"/>
  <c r="P49" i="4" s="1"/>
  <c r="N50" i="4"/>
  <c r="P50" i="4" s="1"/>
  <c r="N52" i="4"/>
  <c r="N53" i="4"/>
  <c r="N54" i="4"/>
  <c r="P54" i="4" s="1"/>
  <c r="N55" i="4"/>
  <c r="P55" i="4" s="1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P72" i="4" s="1"/>
  <c r="N73" i="4"/>
  <c r="P73" i="4" s="1"/>
  <c r="N74" i="4"/>
  <c r="N75" i="4"/>
  <c r="N76" i="4"/>
  <c r="N77" i="4"/>
  <c r="N78" i="4"/>
  <c r="N79" i="4"/>
  <c r="N80" i="4"/>
  <c r="N81" i="4"/>
  <c r="N82" i="4"/>
  <c r="P82" i="4" s="1"/>
  <c r="N84" i="4"/>
  <c r="N85" i="4"/>
  <c r="N86" i="4"/>
  <c r="N88" i="4"/>
  <c r="N89" i="4"/>
  <c r="N90" i="4"/>
  <c r="N91" i="4"/>
  <c r="N92" i="4"/>
  <c r="N93" i="4"/>
  <c r="N94" i="4"/>
  <c r="N95" i="4"/>
  <c r="N96" i="4"/>
  <c r="N98" i="4"/>
  <c r="N99" i="4"/>
  <c r="N100" i="4"/>
  <c r="N102" i="4"/>
  <c r="N105" i="4"/>
  <c r="P105" i="4" s="1"/>
  <c r="N106" i="4"/>
  <c r="P106" i="4" s="1"/>
  <c r="N15" i="4"/>
  <c r="P15" i="4" s="1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35" i="4"/>
  <c r="M36" i="4"/>
  <c r="M38" i="4"/>
  <c r="M40" i="4"/>
  <c r="M41" i="4"/>
  <c r="M43" i="4"/>
  <c r="M44" i="4"/>
  <c r="M45" i="4"/>
  <c r="M46" i="4"/>
  <c r="M47" i="4"/>
  <c r="M49" i="4"/>
  <c r="M50" i="4"/>
  <c r="M52" i="4"/>
  <c r="M53" i="4"/>
  <c r="M54" i="4"/>
  <c r="M55" i="4"/>
  <c r="M56" i="4"/>
  <c r="M57" i="4"/>
  <c r="M58" i="4"/>
  <c r="M59" i="4"/>
  <c r="M60" i="4"/>
  <c r="M61" i="4"/>
  <c r="M62" i="4"/>
  <c r="M63" i="4"/>
  <c r="M64" i="4"/>
  <c r="M65" i="4"/>
  <c r="M66" i="4"/>
  <c r="M67" i="4"/>
  <c r="M68" i="4"/>
  <c r="M69" i="4"/>
  <c r="M70" i="4"/>
  <c r="M71" i="4"/>
  <c r="M72" i="4"/>
  <c r="M73" i="4"/>
  <c r="M74" i="4"/>
  <c r="M75" i="4"/>
  <c r="M76" i="4"/>
  <c r="M77" i="4"/>
  <c r="M78" i="4"/>
  <c r="M79" i="4"/>
  <c r="M80" i="4"/>
  <c r="M81" i="4"/>
  <c r="M82" i="4"/>
  <c r="M84" i="4"/>
  <c r="M85" i="4"/>
  <c r="M86" i="4"/>
  <c r="M88" i="4"/>
  <c r="M89" i="4"/>
  <c r="M90" i="4"/>
  <c r="M91" i="4"/>
  <c r="M92" i="4"/>
  <c r="M93" i="4"/>
  <c r="M94" i="4"/>
  <c r="M95" i="4"/>
  <c r="M96" i="4"/>
  <c r="M98" i="4"/>
  <c r="M99" i="4"/>
  <c r="M100" i="4"/>
  <c r="M97" i="4" s="1"/>
  <c r="M102" i="4"/>
  <c r="M101" i="4" s="1"/>
  <c r="M105" i="4"/>
  <c r="M106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35" i="4"/>
  <c r="L36" i="4"/>
  <c r="L38" i="4"/>
  <c r="L40" i="4"/>
  <c r="L41" i="4"/>
  <c r="L43" i="4"/>
  <c r="L44" i="4"/>
  <c r="L45" i="4"/>
  <c r="L46" i="4"/>
  <c r="L47" i="4"/>
  <c r="L49" i="4"/>
  <c r="L50" i="4"/>
  <c r="L52" i="4"/>
  <c r="L53" i="4"/>
  <c r="L54" i="4"/>
  <c r="L55" i="4"/>
  <c r="L56" i="4"/>
  <c r="L57" i="4"/>
  <c r="L58" i="4"/>
  <c r="L59" i="4"/>
  <c r="L60" i="4"/>
  <c r="L61" i="4"/>
  <c r="L62" i="4"/>
  <c r="L63" i="4"/>
  <c r="L64" i="4"/>
  <c r="L65" i="4"/>
  <c r="L66" i="4"/>
  <c r="L67" i="4"/>
  <c r="L68" i="4"/>
  <c r="L69" i="4"/>
  <c r="L70" i="4"/>
  <c r="L71" i="4"/>
  <c r="L72" i="4"/>
  <c r="L73" i="4"/>
  <c r="L74" i="4"/>
  <c r="L75" i="4"/>
  <c r="L76" i="4"/>
  <c r="L77" i="4"/>
  <c r="L78" i="4"/>
  <c r="L79" i="4"/>
  <c r="L80" i="4"/>
  <c r="L81" i="4"/>
  <c r="L82" i="4"/>
  <c r="L84" i="4"/>
  <c r="L85" i="4"/>
  <c r="L86" i="4"/>
  <c r="L88" i="4"/>
  <c r="L89" i="4"/>
  <c r="L90" i="4"/>
  <c r="L91" i="4"/>
  <c r="L92" i="4"/>
  <c r="L93" i="4"/>
  <c r="L94" i="4"/>
  <c r="L95" i="4"/>
  <c r="L96" i="4"/>
  <c r="L98" i="4"/>
  <c r="L99" i="4"/>
  <c r="L100" i="4"/>
  <c r="L102" i="4"/>
  <c r="L105" i="4"/>
  <c r="L106" i="4"/>
  <c r="M15" i="4"/>
  <c r="L15" i="4"/>
  <c r="M134" i="5" l="1"/>
  <c r="M133" i="5" s="1"/>
  <c r="P134" i="5"/>
  <c r="P133" i="5" s="1"/>
  <c r="P127" i="5"/>
  <c r="M53" i="5"/>
  <c r="P53" i="5"/>
  <c r="P50" i="5"/>
  <c r="P40" i="5"/>
  <c r="M14" i="5"/>
  <c r="P14" i="5"/>
  <c r="P104" i="4"/>
  <c r="P103" i="4" s="1"/>
  <c r="M104" i="4"/>
  <c r="M103" i="4" s="1"/>
  <c r="M51" i="4"/>
  <c r="P51" i="4"/>
  <c r="P48" i="4"/>
  <c r="M48" i="4"/>
  <c r="M39" i="4"/>
  <c r="P39" i="4"/>
  <c r="M14" i="4"/>
  <c r="P14" i="4"/>
  <c r="P29" i="3"/>
  <c r="P30" i="3"/>
  <c r="P31" i="3"/>
  <c r="P37" i="3"/>
  <c r="P47" i="3"/>
  <c r="P62" i="3"/>
  <c r="P74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9" i="3"/>
  <c r="O40" i="3"/>
  <c r="O42" i="3"/>
  <c r="O43" i="3"/>
  <c r="O44" i="3"/>
  <c r="P44" i="3" s="1"/>
  <c r="O45" i="3"/>
  <c r="P45" i="3" s="1"/>
  <c r="O46" i="3"/>
  <c r="P46" i="3" s="1"/>
  <c r="O47" i="3"/>
  <c r="O49" i="3"/>
  <c r="O50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1" i="3"/>
  <c r="P71" i="3" s="1"/>
  <c r="O72" i="3"/>
  <c r="P72" i="3" s="1"/>
  <c r="O73" i="3"/>
  <c r="O74" i="3"/>
  <c r="O75" i="3"/>
  <c r="O76" i="3"/>
  <c r="O78" i="3"/>
  <c r="O81" i="3"/>
  <c r="O82" i="3"/>
  <c r="N16" i="3"/>
  <c r="P16" i="3" s="1"/>
  <c r="N17" i="3"/>
  <c r="P17" i="3" s="1"/>
  <c r="N18" i="3"/>
  <c r="N19" i="3"/>
  <c r="N20" i="3"/>
  <c r="N21" i="3"/>
  <c r="P21" i="3" s="1"/>
  <c r="N22" i="3"/>
  <c r="P22" i="3" s="1"/>
  <c r="N23" i="3"/>
  <c r="P23" i="3" s="1"/>
  <c r="N24" i="3"/>
  <c r="P24" i="3" s="1"/>
  <c r="N25" i="3"/>
  <c r="P25" i="3" s="1"/>
  <c r="N26" i="3"/>
  <c r="N27" i="3"/>
  <c r="N28" i="3"/>
  <c r="N29" i="3"/>
  <c r="N30" i="3"/>
  <c r="N31" i="3"/>
  <c r="N32" i="3"/>
  <c r="P32" i="3" s="1"/>
  <c r="N33" i="3"/>
  <c r="P33" i="3" s="1"/>
  <c r="N34" i="3"/>
  <c r="N35" i="3"/>
  <c r="N36" i="3"/>
  <c r="N37" i="3"/>
  <c r="N39" i="3"/>
  <c r="P39" i="3" s="1"/>
  <c r="N40" i="3"/>
  <c r="P40" i="3" s="1"/>
  <c r="N42" i="3"/>
  <c r="P42" i="3" s="1"/>
  <c r="P41" i="3" s="1"/>
  <c r="N43" i="3"/>
  <c r="P43" i="3" s="1"/>
  <c r="N44" i="3"/>
  <c r="N45" i="3"/>
  <c r="N46" i="3"/>
  <c r="N47" i="3"/>
  <c r="N49" i="3"/>
  <c r="P49" i="3" s="1"/>
  <c r="N50" i="3"/>
  <c r="P50" i="3" s="1"/>
  <c r="N52" i="3"/>
  <c r="P52" i="3" s="1"/>
  <c r="N53" i="3"/>
  <c r="P53" i="3" s="1"/>
  <c r="N54" i="3"/>
  <c r="N55" i="3"/>
  <c r="P55" i="3" s="1"/>
  <c r="N56" i="3"/>
  <c r="P56" i="3" s="1"/>
  <c r="N57" i="3"/>
  <c r="P57" i="3" s="1"/>
  <c r="N58" i="3"/>
  <c r="P58" i="3" s="1"/>
  <c r="N59" i="3"/>
  <c r="P59" i="3" s="1"/>
  <c r="N60" i="3"/>
  <c r="P60" i="3" s="1"/>
  <c r="N61" i="3"/>
  <c r="P61" i="3" s="1"/>
  <c r="N62" i="3"/>
  <c r="N63" i="3"/>
  <c r="N64" i="3"/>
  <c r="P64" i="3" s="1"/>
  <c r="N65" i="3"/>
  <c r="P65" i="3" s="1"/>
  <c r="N66" i="3"/>
  <c r="P66" i="3" s="1"/>
  <c r="N67" i="3"/>
  <c r="P67" i="3" s="1"/>
  <c r="N68" i="3"/>
  <c r="P68" i="3" s="1"/>
  <c r="N69" i="3"/>
  <c r="P69" i="3" s="1"/>
  <c r="N71" i="3"/>
  <c r="N72" i="3"/>
  <c r="N73" i="3"/>
  <c r="N74" i="3"/>
  <c r="N75" i="3"/>
  <c r="P75" i="3" s="1"/>
  <c r="N76" i="3"/>
  <c r="P76" i="3" s="1"/>
  <c r="N78" i="3"/>
  <c r="P78" i="3" s="1"/>
  <c r="P77" i="3" s="1"/>
  <c r="N81" i="3"/>
  <c r="P81" i="3" s="1"/>
  <c r="N82" i="3"/>
  <c r="O15" i="3"/>
  <c r="N15" i="3"/>
  <c r="P15" i="3" s="1"/>
  <c r="M18" i="3"/>
  <c r="M19" i="3"/>
  <c r="M26" i="3"/>
  <c r="M27" i="3"/>
  <c r="M34" i="3"/>
  <c r="M35" i="3"/>
  <c r="M44" i="3"/>
  <c r="M45" i="3"/>
  <c r="M54" i="3"/>
  <c r="M55" i="3"/>
  <c r="M62" i="3"/>
  <c r="M63" i="3"/>
  <c r="M71" i="3"/>
  <c r="M70" i="3" s="1"/>
  <c r="M72" i="3"/>
  <c r="M82" i="3"/>
  <c r="L16" i="3"/>
  <c r="M16" i="3" s="1"/>
  <c r="L17" i="3"/>
  <c r="M17" i="3" s="1"/>
  <c r="L18" i="3"/>
  <c r="L19" i="3"/>
  <c r="L20" i="3"/>
  <c r="M20" i="3" s="1"/>
  <c r="L21" i="3"/>
  <c r="M21" i="3" s="1"/>
  <c r="L22" i="3"/>
  <c r="M22" i="3" s="1"/>
  <c r="L23" i="3"/>
  <c r="M23" i="3" s="1"/>
  <c r="L24" i="3"/>
  <c r="M24" i="3" s="1"/>
  <c r="L25" i="3"/>
  <c r="M25" i="3" s="1"/>
  <c r="L26" i="3"/>
  <c r="L27" i="3"/>
  <c r="L28" i="3"/>
  <c r="M28" i="3" s="1"/>
  <c r="L29" i="3"/>
  <c r="M29" i="3" s="1"/>
  <c r="L30" i="3"/>
  <c r="M30" i="3" s="1"/>
  <c r="L31" i="3"/>
  <c r="M31" i="3" s="1"/>
  <c r="L32" i="3"/>
  <c r="M32" i="3" s="1"/>
  <c r="L33" i="3"/>
  <c r="M33" i="3" s="1"/>
  <c r="L34" i="3"/>
  <c r="L35" i="3"/>
  <c r="L36" i="3"/>
  <c r="M36" i="3" s="1"/>
  <c r="L37" i="3"/>
  <c r="M37" i="3" s="1"/>
  <c r="L39" i="3"/>
  <c r="M39" i="3" s="1"/>
  <c r="L40" i="3"/>
  <c r="M40" i="3" s="1"/>
  <c r="L42" i="3"/>
  <c r="M42" i="3" s="1"/>
  <c r="L43" i="3"/>
  <c r="M43" i="3" s="1"/>
  <c r="L44" i="3"/>
  <c r="L45" i="3"/>
  <c r="L46" i="3"/>
  <c r="M46" i="3" s="1"/>
  <c r="L47" i="3"/>
  <c r="M47" i="3" s="1"/>
  <c r="L49" i="3"/>
  <c r="M49" i="3" s="1"/>
  <c r="L50" i="3"/>
  <c r="M50" i="3" s="1"/>
  <c r="L52" i="3"/>
  <c r="M52" i="3" s="1"/>
  <c r="L53" i="3"/>
  <c r="M53" i="3" s="1"/>
  <c r="L54" i="3"/>
  <c r="L55" i="3"/>
  <c r="L56" i="3"/>
  <c r="M56" i="3" s="1"/>
  <c r="L57" i="3"/>
  <c r="M57" i="3" s="1"/>
  <c r="L58" i="3"/>
  <c r="M58" i="3" s="1"/>
  <c r="L59" i="3"/>
  <c r="M59" i="3" s="1"/>
  <c r="L60" i="3"/>
  <c r="M60" i="3" s="1"/>
  <c r="L61" i="3"/>
  <c r="M61" i="3" s="1"/>
  <c r="L62" i="3"/>
  <c r="L63" i="3"/>
  <c r="L64" i="3"/>
  <c r="M64" i="3" s="1"/>
  <c r="L65" i="3"/>
  <c r="M65" i="3" s="1"/>
  <c r="L66" i="3"/>
  <c r="M66" i="3" s="1"/>
  <c r="L67" i="3"/>
  <c r="M67" i="3" s="1"/>
  <c r="L68" i="3"/>
  <c r="M68" i="3" s="1"/>
  <c r="L69" i="3"/>
  <c r="M69" i="3" s="1"/>
  <c r="L71" i="3"/>
  <c r="L72" i="3"/>
  <c r="L73" i="3"/>
  <c r="L74" i="3"/>
  <c r="M74" i="3" s="1"/>
  <c r="L75" i="3"/>
  <c r="M75" i="3" s="1"/>
  <c r="L76" i="3"/>
  <c r="M76" i="3" s="1"/>
  <c r="L78" i="3"/>
  <c r="M78" i="3" s="1"/>
  <c r="M77" i="3" s="1"/>
  <c r="L81" i="3"/>
  <c r="M81" i="3" s="1"/>
  <c r="L82" i="3"/>
  <c r="M15" i="3"/>
  <c r="L15" i="3"/>
  <c r="M138" i="5" l="1"/>
  <c r="F20" i="1" s="1"/>
  <c r="P138" i="5"/>
  <c r="H20" i="1" s="1"/>
  <c r="P108" i="4"/>
  <c r="H19" i="1" s="1"/>
  <c r="M108" i="4"/>
  <c r="F19" i="1" s="1"/>
  <c r="M41" i="3"/>
  <c r="M38" i="3"/>
  <c r="P70" i="3"/>
  <c r="P36" i="3"/>
  <c r="P28" i="3"/>
  <c r="P20" i="3"/>
  <c r="P63" i="3"/>
  <c r="P35" i="3"/>
  <c r="P27" i="3"/>
  <c r="P19" i="3"/>
  <c r="P82" i="3"/>
  <c r="P54" i="3"/>
  <c r="P51" i="3" s="1"/>
  <c r="P34" i="3"/>
  <c r="P26" i="3"/>
  <c r="P18" i="3"/>
  <c r="P80" i="3"/>
  <c r="P79" i="3" s="1"/>
  <c r="M80" i="3"/>
  <c r="M79" i="3" s="1"/>
  <c r="M73" i="3"/>
  <c r="P73" i="3"/>
  <c r="M51" i="3"/>
  <c r="P48" i="3"/>
  <c r="M48" i="3"/>
  <c r="P38" i="3"/>
  <c r="M14" i="3"/>
  <c r="P14" i="3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15" i="7"/>
  <c r="M84" i="3" l="1"/>
  <c r="F18" i="1" s="1"/>
  <c r="F23" i="1" s="1"/>
  <c r="P84" i="3"/>
  <c r="H18" i="1" s="1"/>
  <c r="H23" i="1" s="1"/>
  <c r="Q16" i="4"/>
  <c r="R16" i="4" s="1"/>
  <c r="Q17" i="4"/>
  <c r="R17" i="4" s="1"/>
  <c r="Q18" i="4"/>
  <c r="R18" i="4" s="1"/>
  <c r="Q19" i="4"/>
  <c r="R19" i="4" s="1"/>
  <c r="Q20" i="4"/>
  <c r="R20" i="4" s="1"/>
  <c r="Q21" i="4"/>
  <c r="R21" i="4" s="1"/>
  <c r="Q22" i="4"/>
  <c r="R22" i="4" s="1"/>
  <c r="Q23" i="4"/>
  <c r="R23" i="4" s="1"/>
  <c r="Q24" i="4"/>
  <c r="R24" i="4" s="1"/>
  <c r="Q25" i="4"/>
  <c r="R25" i="4" s="1"/>
  <c r="Q26" i="4"/>
  <c r="R26" i="4" s="1"/>
  <c r="Q27" i="4"/>
  <c r="R27" i="4" s="1"/>
  <c r="Q28" i="4"/>
  <c r="R28" i="4" s="1"/>
  <c r="Q29" i="4"/>
  <c r="R29" i="4" s="1"/>
  <c r="Q30" i="4"/>
  <c r="R30" i="4" s="1"/>
  <c r="Q31" i="4"/>
  <c r="R31" i="4"/>
  <c r="Q32" i="4"/>
  <c r="R32" i="4" s="1"/>
  <c r="Q33" i="4"/>
  <c r="R33" i="4" s="1"/>
  <c r="Q34" i="4"/>
  <c r="R34" i="4" s="1"/>
  <c r="Q35" i="4"/>
  <c r="R35" i="4" s="1"/>
  <c r="Q36" i="4"/>
  <c r="R36" i="4" s="1"/>
  <c r="Q37" i="4"/>
  <c r="R37" i="4" s="1"/>
  <c r="Q38" i="4"/>
  <c r="R38" i="4" s="1"/>
  <c r="Q39" i="4"/>
  <c r="R39" i="4" s="1"/>
  <c r="Q40" i="4"/>
  <c r="R40" i="4" s="1"/>
  <c r="Q41" i="4"/>
  <c r="R41" i="4" s="1"/>
  <c r="Q42" i="4"/>
  <c r="R42" i="4" s="1"/>
  <c r="Q43" i="4"/>
  <c r="R43" i="4"/>
  <c r="Q44" i="4"/>
  <c r="R44" i="4" s="1"/>
  <c r="Q45" i="4"/>
  <c r="R45" i="4" s="1"/>
  <c r="Q46" i="4"/>
  <c r="R46" i="4" s="1"/>
  <c r="Q47" i="4"/>
  <c r="R47" i="4" s="1"/>
  <c r="Q48" i="4"/>
  <c r="R48" i="4" s="1"/>
  <c r="Q49" i="4"/>
  <c r="R49" i="4" s="1"/>
  <c r="Q50" i="4"/>
  <c r="R50" i="4" s="1"/>
  <c r="Q51" i="4"/>
  <c r="R51" i="4" s="1"/>
  <c r="Q52" i="4"/>
  <c r="R52" i="4" s="1"/>
  <c r="Q53" i="4"/>
  <c r="R53" i="4" s="1"/>
  <c r="Q54" i="4"/>
  <c r="R54" i="4" s="1"/>
  <c r="Q55" i="4"/>
  <c r="R55" i="4" s="1"/>
  <c r="Q56" i="4"/>
  <c r="R56" i="4" s="1"/>
  <c r="Q57" i="4"/>
  <c r="R57" i="4" s="1"/>
  <c r="Q58" i="4"/>
  <c r="R58" i="4" s="1"/>
  <c r="Q59" i="4"/>
  <c r="R59" i="4" s="1"/>
  <c r="Q60" i="4"/>
  <c r="R60" i="4" s="1"/>
  <c r="Q61" i="4"/>
  <c r="R61" i="4" s="1"/>
  <c r="Q62" i="4"/>
  <c r="R62" i="4" s="1"/>
  <c r="Q63" i="4"/>
  <c r="R63" i="4" s="1"/>
  <c r="Q64" i="4"/>
  <c r="R64" i="4" s="1"/>
  <c r="Q65" i="4"/>
  <c r="R65" i="4" s="1"/>
  <c r="Q66" i="4"/>
  <c r="R66" i="4" s="1"/>
  <c r="Q67" i="4"/>
  <c r="R67" i="4" s="1"/>
  <c r="Q68" i="4"/>
  <c r="R68" i="4" s="1"/>
  <c r="Q69" i="4"/>
  <c r="R69" i="4" s="1"/>
  <c r="Q70" i="4"/>
  <c r="R70" i="4" s="1"/>
  <c r="Q71" i="4"/>
  <c r="R71" i="4" s="1"/>
  <c r="Q72" i="4"/>
  <c r="R72" i="4" s="1"/>
  <c r="Q73" i="4"/>
  <c r="R73" i="4" s="1"/>
  <c r="Q74" i="4"/>
  <c r="R74" i="4" s="1"/>
  <c r="Q75" i="4"/>
  <c r="R75" i="4" s="1"/>
  <c r="Q76" i="4"/>
  <c r="R76" i="4" s="1"/>
  <c r="Q77" i="4"/>
  <c r="R77" i="4" s="1"/>
  <c r="Q78" i="4"/>
  <c r="R78" i="4" s="1"/>
  <c r="Q79" i="4"/>
  <c r="R79" i="4" s="1"/>
  <c r="Q80" i="4"/>
  <c r="R80" i="4" s="1"/>
  <c r="Q81" i="4"/>
  <c r="R81" i="4" s="1"/>
  <c r="Q82" i="4"/>
  <c r="R82" i="4" s="1"/>
  <c r="Q83" i="4"/>
  <c r="R83" i="4" s="1"/>
  <c r="Q84" i="4"/>
  <c r="R84" i="4" s="1"/>
  <c r="Q85" i="4"/>
  <c r="R85" i="4"/>
  <c r="Q86" i="4"/>
  <c r="R86" i="4" s="1"/>
  <c r="Q87" i="4"/>
  <c r="R87" i="4" s="1"/>
  <c r="Q88" i="4"/>
  <c r="R88" i="4" s="1"/>
  <c r="Q89" i="4"/>
  <c r="R89" i="4" s="1"/>
  <c r="Q90" i="4"/>
  <c r="R90" i="4" s="1"/>
  <c r="Q91" i="4"/>
  <c r="R91" i="4" s="1"/>
  <c r="Q92" i="4"/>
  <c r="R92" i="4" s="1"/>
  <c r="Q93" i="4"/>
  <c r="R93" i="4" s="1"/>
  <c r="Q94" i="4"/>
  <c r="R94" i="4" s="1"/>
  <c r="Q95" i="4"/>
  <c r="R95" i="4" s="1"/>
  <c r="Q96" i="4"/>
  <c r="R96" i="4" s="1"/>
  <c r="Q97" i="4"/>
  <c r="R97" i="4" s="1"/>
  <c r="Q98" i="4"/>
  <c r="R98" i="4" s="1"/>
  <c r="Q99" i="4"/>
  <c r="R99" i="4" s="1"/>
  <c r="Q100" i="4"/>
  <c r="R100" i="4" s="1"/>
  <c r="Q101" i="4"/>
  <c r="R101" i="4" s="1"/>
  <c r="Q102" i="4"/>
  <c r="R102" i="4" s="1"/>
  <c r="Q103" i="4"/>
  <c r="R103" i="4" s="1"/>
  <c r="Q104" i="4"/>
  <c r="R104" i="4" s="1"/>
  <c r="Q105" i="4"/>
  <c r="R105" i="4" s="1"/>
  <c r="Q106" i="4"/>
  <c r="R106" i="4" s="1"/>
  <c r="Q15" i="4"/>
  <c r="R15" i="4" s="1"/>
  <c r="F17" i="1" l="1"/>
  <c r="H17" i="1"/>
  <c r="K16" i="2"/>
  <c r="K17" i="2"/>
  <c r="K18" i="2"/>
  <c r="K19" i="2"/>
  <c r="K20" i="2"/>
  <c r="K21" i="2"/>
  <c r="K15" i="2"/>
  <c r="E35" i="7" l="1"/>
  <c r="E84" i="6"/>
  <c r="E140" i="5"/>
  <c r="E110" i="4"/>
  <c r="E86" i="3"/>
  <c r="E25" i="2"/>
  <c r="C23" i="1" l="1"/>
  <c r="BL27" i="7" l="1"/>
  <c r="BI27" i="7"/>
  <c r="BG31" i="7" l="1"/>
  <c r="BJ31" i="7" s="1"/>
  <c r="BF31" i="7"/>
  <c r="BD31" i="7"/>
  <c r="BB31" i="7"/>
  <c r="AZ31" i="7"/>
  <c r="AX31" i="7"/>
  <c r="AV31" i="7"/>
  <c r="AT31" i="7"/>
  <c r="AR31" i="7"/>
  <c r="AP31" i="7"/>
  <c r="AN31" i="7"/>
  <c r="AL31" i="7"/>
  <c r="AJ31" i="7"/>
  <c r="AH31" i="7"/>
  <c r="AF31" i="7"/>
  <c r="AD31" i="7"/>
  <c r="AB31" i="7"/>
  <c r="Z31" i="7"/>
  <c r="X31" i="7"/>
  <c r="V31" i="7"/>
  <c r="T31" i="7"/>
  <c r="R31" i="7"/>
  <c r="P31" i="7"/>
  <c r="N31" i="7"/>
  <c r="L31" i="7"/>
  <c r="BG30" i="7"/>
  <c r="BJ30" i="7" s="1"/>
  <c r="BF30" i="7"/>
  <c r="BD30" i="7"/>
  <c r="BB30" i="7"/>
  <c r="AZ30" i="7"/>
  <c r="AX30" i="7"/>
  <c r="AV30" i="7"/>
  <c r="AT30" i="7"/>
  <c r="AR30" i="7"/>
  <c r="AP30" i="7"/>
  <c r="AN30" i="7"/>
  <c r="AL30" i="7"/>
  <c r="AJ30" i="7"/>
  <c r="AH30" i="7"/>
  <c r="AF30" i="7"/>
  <c r="AD30" i="7"/>
  <c r="AB30" i="7"/>
  <c r="Z30" i="7"/>
  <c r="X30" i="7"/>
  <c r="V30" i="7"/>
  <c r="T30" i="7"/>
  <c r="R30" i="7"/>
  <c r="P30" i="7"/>
  <c r="N30" i="7"/>
  <c r="L30" i="7"/>
  <c r="BG29" i="7"/>
  <c r="BJ29" i="7" s="1"/>
  <c r="BF29" i="7"/>
  <c r="BD29" i="7"/>
  <c r="BB29" i="7"/>
  <c r="AZ29" i="7"/>
  <c r="AX29" i="7"/>
  <c r="AV29" i="7"/>
  <c r="AT29" i="7"/>
  <c r="AR29" i="7"/>
  <c r="AP29" i="7"/>
  <c r="AN29" i="7"/>
  <c r="AL29" i="7"/>
  <c r="AJ29" i="7"/>
  <c r="AH29" i="7"/>
  <c r="AF29" i="7"/>
  <c r="AD29" i="7"/>
  <c r="AB29" i="7"/>
  <c r="Z29" i="7"/>
  <c r="X29" i="7"/>
  <c r="V29" i="7"/>
  <c r="T29" i="7"/>
  <c r="R29" i="7"/>
  <c r="P29" i="7"/>
  <c r="N29" i="7"/>
  <c r="L29" i="7"/>
  <c r="BG28" i="7"/>
  <c r="BJ28" i="7" s="1"/>
  <c r="BF28" i="7"/>
  <c r="BD28" i="7"/>
  <c r="BB28" i="7"/>
  <c r="AZ28" i="7"/>
  <c r="AX28" i="7"/>
  <c r="AV28" i="7"/>
  <c r="AT28" i="7"/>
  <c r="AR28" i="7"/>
  <c r="AP28" i="7"/>
  <c r="AN28" i="7"/>
  <c r="AL28" i="7"/>
  <c r="AJ28" i="7"/>
  <c r="AH28" i="7"/>
  <c r="AF28" i="7"/>
  <c r="AD28" i="7"/>
  <c r="AB28" i="7"/>
  <c r="Z28" i="7"/>
  <c r="X28" i="7"/>
  <c r="V28" i="7"/>
  <c r="T28" i="7"/>
  <c r="R28" i="7"/>
  <c r="P28" i="7"/>
  <c r="N28" i="7"/>
  <c r="L28" i="7"/>
  <c r="BG27" i="7"/>
  <c r="BJ27" i="7" s="1"/>
  <c r="BF27" i="7"/>
  <c r="BD27" i="7"/>
  <c r="BB27" i="7"/>
  <c r="AZ27" i="7"/>
  <c r="AX27" i="7"/>
  <c r="AV27" i="7"/>
  <c r="AT27" i="7"/>
  <c r="AR27" i="7"/>
  <c r="AP27" i="7"/>
  <c r="AN27" i="7"/>
  <c r="AL27" i="7"/>
  <c r="AJ27" i="7"/>
  <c r="AH27" i="7"/>
  <c r="AF27" i="7"/>
  <c r="AD27" i="7"/>
  <c r="AB27" i="7"/>
  <c r="Z27" i="7"/>
  <c r="X27" i="7"/>
  <c r="V27" i="7"/>
  <c r="T27" i="7"/>
  <c r="R27" i="7"/>
  <c r="P27" i="7"/>
  <c r="N27" i="7"/>
  <c r="L27" i="7"/>
  <c r="BG26" i="7"/>
  <c r="BJ26" i="7" s="1"/>
  <c r="BF26" i="7"/>
  <c r="BD26" i="7"/>
  <c r="BB26" i="7"/>
  <c r="AZ26" i="7"/>
  <c r="AX26" i="7"/>
  <c r="AV26" i="7"/>
  <c r="AT26" i="7"/>
  <c r="AR26" i="7"/>
  <c r="AP26" i="7"/>
  <c r="AN26" i="7"/>
  <c r="AL26" i="7"/>
  <c r="AJ26" i="7"/>
  <c r="AH26" i="7"/>
  <c r="AF26" i="7"/>
  <c r="AD26" i="7"/>
  <c r="AB26" i="7"/>
  <c r="Z26" i="7"/>
  <c r="X26" i="7"/>
  <c r="V26" i="7"/>
  <c r="T26" i="7"/>
  <c r="R26" i="7"/>
  <c r="P26" i="7"/>
  <c r="N26" i="7"/>
  <c r="L26" i="7"/>
  <c r="BG25" i="7"/>
  <c r="BJ25" i="7" s="1"/>
  <c r="BF25" i="7"/>
  <c r="BD25" i="7"/>
  <c r="BB25" i="7"/>
  <c r="AZ25" i="7"/>
  <c r="AX25" i="7"/>
  <c r="AV25" i="7"/>
  <c r="AT25" i="7"/>
  <c r="AR25" i="7"/>
  <c r="AP25" i="7"/>
  <c r="AN25" i="7"/>
  <c r="AL25" i="7"/>
  <c r="AJ25" i="7"/>
  <c r="AH25" i="7"/>
  <c r="AF25" i="7"/>
  <c r="AD25" i="7"/>
  <c r="AB25" i="7"/>
  <c r="Z25" i="7"/>
  <c r="X25" i="7"/>
  <c r="V25" i="7"/>
  <c r="T25" i="7"/>
  <c r="R25" i="7"/>
  <c r="P25" i="7"/>
  <c r="N25" i="7"/>
  <c r="L25" i="7"/>
  <c r="BG24" i="7"/>
  <c r="BJ24" i="7" s="1"/>
  <c r="BF24" i="7"/>
  <c r="BD24" i="7"/>
  <c r="BB24" i="7"/>
  <c r="AZ24" i="7"/>
  <c r="AX24" i="7"/>
  <c r="AV24" i="7"/>
  <c r="AT24" i="7"/>
  <c r="AR24" i="7"/>
  <c r="AP24" i="7"/>
  <c r="AN24" i="7"/>
  <c r="AL24" i="7"/>
  <c r="AJ24" i="7"/>
  <c r="AH24" i="7"/>
  <c r="AF24" i="7"/>
  <c r="AD24" i="7"/>
  <c r="AB24" i="7"/>
  <c r="Z24" i="7"/>
  <c r="X24" i="7"/>
  <c r="V24" i="7"/>
  <c r="T24" i="7"/>
  <c r="R24" i="7"/>
  <c r="P24" i="7"/>
  <c r="N24" i="7"/>
  <c r="L24" i="7"/>
  <c r="BG23" i="7"/>
  <c r="BJ23" i="7" s="1"/>
  <c r="BF23" i="7"/>
  <c r="BD23" i="7"/>
  <c r="BB23" i="7"/>
  <c r="AZ23" i="7"/>
  <c r="AX23" i="7"/>
  <c r="AV23" i="7"/>
  <c r="AT23" i="7"/>
  <c r="AR23" i="7"/>
  <c r="AP23" i="7"/>
  <c r="AN23" i="7"/>
  <c r="AL23" i="7"/>
  <c r="AJ23" i="7"/>
  <c r="AH23" i="7"/>
  <c r="AF23" i="7"/>
  <c r="AD23" i="7"/>
  <c r="AB23" i="7"/>
  <c r="Z23" i="7"/>
  <c r="X23" i="7"/>
  <c r="V23" i="7"/>
  <c r="T23" i="7"/>
  <c r="R23" i="7"/>
  <c r="P23" i="7"/>
  <c r="N23" i="7"/>
  <c r="L23" i="7"/>
  <c r="BG22" i="7"/>
  <c r="BJ22" i="7" s="1"/>
  <c r="BF22" i="7"/>
  <c r="BD22" i="7"/>
  <c r="BB22" i="7"/>
  <c r="AZ22" i="7"/>
  <c r="AX22" i="7"/>
  <c r="AV22" i="7"/>
  <c r="AT22" i="7"/>
  <c r="AR22" i="7"/>
  <c r="AP22" i="7"/>
  <c r="AN22" i="7"/>
  <c r="AL22" i="7"/>
  <c r="AJ22" i="7"/>
  <c r="AH22" i="7"/>
  <c r="AF22" i="7"/>
  <c r="AD22" i="7"/>
  <c r="AB22" i="7"/>
  <c r="Z22" i="7"/>
  <c r="X22" i="7"/>
  <c r="V22" i="7"/>
  <c r="T22" i="7"/>
  <c r="R22" i="7"/>
  <c r="P22" i="7"/>
  <c r="N22" i="7"/>
  <c r="L22" i="7"/>
  <c r="BG21" i="7"/>
  <c r="BJ21" i="7" s="1"/>
  <c r="BF21" i="7"/>
  <c r="BD21" i="7"/>
  <c r="BB21" i="7"/>
  <c r="AZ21" i="7"/>
  <c r="AX21" i="7"/>
  <c r="AV21" i="7"/>
  <c r="AT21" i="7"/>
  <c r="AR21" i="7"/>
  <c r="AP21" i="7"/>
  <c r="AN21" i="7"/>
  <c r="AL21" i="7"/>
  <c r="AJ21" i="7"/>
  <c r="AH21" i="7"/>
  <c r="AF21" i="7"/>
  <c r="AD21" i="7"/>
  <c r="AB21" i="7"/>
  <c r="Z21" i="7"/>
  <c r="X21" i="7"/>
  <c r="V21" i="7"/>
  <c r="T21" i="7"/>
  <c r="R21" i="7"/>
  <c r="P21" i="7"/>
  <c r="N21" i="7"/>
  <c r="L21" i="7"/>
  <c r="BG20" i="7"/>
  <c r="BJ20" i="7" s="1"/>
  <c r="BF20" i="7"/>
  <c r="BD20" i="7"/>
  <c r="BB20" i="7"/>
  <c r="AZ20" i="7"/>
  <c r="AX20" i="7"/>
  <c r="AV20" i="7"/>
  <c r="AT20" i="7"/>
  <c r="AR20" i="7"/>
  <c r="AP20" i="7"/>
  <c r="AN20" i="7"/>
  <c r="AL20" i="7"/>
  <c r="AJ20" i="7"/>
  <c r="AH20" i="7"/>
  <c r="AF20" i="7"/>
  <c r="AD20" i="7"/>
  <c r="AB20" i="7"/>
  <c r="Z20" i="7"/>
  <c r="X20" i="7"/>
  <c r="V20" i="7"/>
  <c r="T20" i="7"/>
  <c r="R20" i="7"/>
  <c r="P20" i="7"/>
  <c r="N20" i="7"/>
  <c r="L20" i="7"/>
  <c r="BG19" i="7"/>
  <c r="BJ19" i="7" s="1"/>
  <c r="BF19" i="7"/>
  <c r="BD19" i="7"/>
  <c r="BB19" i="7"/>
  <c r="AZ19" i="7"/>
  <c r="AX19" i="7"/>
  <c r="AV19" i="7"/>
  <c r="AT19" i="7"/>
  <c r="AR19" i="7"/>
  <c r="AP19" i="7"/>
  <c r="AN19" i="7"/>
  <c r="AL19" i="7"/>
  <c r="AJ19" i="7"/>
  <c r="AH19" i="7"/>
  <c r="AF19" i="7"/>
  <c r="AD19" i="7"/>
  <c r="AB19" i="7"/>
  <c r="Z19" i="7"/>
  <c r="X19" i="7"/>
  <c r="V19" i="7"/>
  <c r="T19" i="7"/>
  <c r="R19" i="7"/>
  <c r="P19" i="7"/>
  <c r="N19" i="7"/>
  <c r="L19" i="7"/>
  <c r="BG18" i="7"/>
  <c r="BJ18" i="7" s="1"/>
  <c r="BF18" i="7"/>
  <c r="BD18" i="7"/>
  <c r="BB18" i="7"/>
  <c r="AZ18" i="7"/>
  <c r="AX18" i="7"/>
  <c r="AV18" i="7"/>
  <c r="AT18" i="7"/>
  <c r="AR18" i="7"/>
  <c r="AP18" i="7"/>
  <c r="AN18" i="7"/>
  <c r="AL18" i="7"/>
  <c r="AJ18" i="7"/>
  <c r="AH18" i="7"/>
  <c r="AF18" i="7"/>
  <c r="AD18" i="7"/>
  <c r="AB18" i="7"/>
  <c r="Z18" i="7"/>
  <c r="X18" i="7"/>
  <c r="V18" i="7"/>
  <c r="T18" i="7"/>
  <c r="R18" i="7"/>
  <c r="P18" i="7"/>
  <c r="N18" i="7"/>
  <c r="L18" i="7"/>
  <c r="BG17" i="7"/>
  <c r="BJ17" i="7" s="1"/>
  <c r="BF17" i="7"/>
  <c r="BD17" i="7"/>
  <c r="BB17" i="7"/>
  <c r="AZ17" i="7"/>
  <c r="AX17" i="7"/>
  <c r="AV17" i="7"/>
  <c r="AT17" i="7"/>
  <c r="AR17" i="7"/>
  <c r="AP17" i="7"/>
  <c r="AN17" i="7"/>
  <c r="AL17" i="7"/>
  <c r="AJ17" i="7"/>
  <c r="AH17" i="7"/>
  <c r="AF17" i="7"/>
  <c r="AD17" i="7"/>
  <c r="AB17" i="7"/>
  <c r="Z17" i="7"/>
  <c r="X17" i="7"/>
  <c r="V17" i="7"/>
  <c r="T17" i="7"/>
  <c r="R17" i="7"/>
  <c r="P17" i="7"/>
  <c r="N17" i="7"/>
  <c r="L17" i="7"/>
  <c r="BG16" i="7"/>
  <c r="BJ16" i="7" s="1"/>
  <c r="BF16" i="7"/>
  <c r="BD16" i="7"/>
  <c r="BB16" i="7"/>
  <c r="AZ16" i="7"/>
  <c r="AX16" i="7"/>
  <c r="AV16" i="7"/>
  <c r="AT16" i="7"/>
  <c r="AR16" i="7"/>
  <c r="AP16" i="7"/>
  <c r="AN16" i="7"/>
  <c r="AL16" i="7"/>
  <c r="AJ16" i="7"/>
  <c r="AH16" i="7"/>
  <c r="AF16" i="7"/>
  <c r="AD16" i="7"/>
  <c r="AB16" i="7"/>
  <c r="Z16" i="7"/>
  <c r="X16" i="7"/>
  <c r="V16" i="7"/>
  <c r="T16" i="7"/>
  <c r="R16" i="7"/>
  <c r="P16" i="7"/>
  <c r="N16" i="7"/>
  <c r="L16" i="7"/>
  <c r="BG15" i="7"/>
  <c r="BJ15" i="7" s="1"/>
  <c r="BF15" i="7"/>
  <c r="BD15" i="7"/>
  <c r="BB15" i="7"/>
  <c r="AZ15" i="7"/>
  <c r="AX15" i="7"/>
  <c r="AV15" i="7"/>
  <c r="AT15" i="7"/>
  <c r="AR15" i="7"/>
  <c r="AP15" i="7"/>
  <c r="AN15" i="7"/>
  <c r="AL15" i="7"/>
  <c r="AJ15" i="7"/>
  <c r="AH15" i="7"/>
  <c r="AF15" i="7"/>
  <c r="AD15" i="7"/>
  <c r="AB15" i="7"/>
  <c r="Z15" i="7"/>
  <c r="X15" i="7"/>
  <c r="V15" i="7"/>
  <c r="T15" i="7"/>
  <c r="R15" i="7"/>
  <c r="P15" i="7"/>
  <c r="N15" i="7"/>
  <c r="L15" i="7"/>
  <c r="BK14" i="7"/>
  <c r="BJ14" i="7"/>
  <c r="BH14" i="7"/>
  <c r="BG14" i="7"/>
  <c r="BF14" i="7"/>
  <c r="BD14" i="7"/>
  <c r="BB14" i="7"/>
  <c r="AZ14" i="7"/>
  <c r="AX14" i="7"/>
  <c r="AV14" i="7"/>
  <c r="AT14" i="7"/>
  <c r="AR14" i="7"/>
  <c r="AP14" i="7"/>
  <c r="AN14" i="7"/>
  <c r="AL14" i="7"/>
  <c r="AJ14" i="7"/>
  <c r="AH14" i="7"/>
  <c r="AF14" i="7"/>
  <c r="AD14" i="7"/>
  <c r="AB14" i="7"/>
  <c r="Z14" i="7"/>
  <c r="X14" i="7"/>
  <c r="V14" i="7"/>
  <c r="T14" i="7"/>
  <c r="R14" i="7"/>
  <c r="P14" i="7"/>
  <c r="N14" i="7"/>
  <c r="L14" i="7"/>
  <c r="K14" i="7"/>
  <c r="BK13" i="7"/>
  <c r="BJ13" i="7"/>
  <c r="BH13" i="7"/>
  <c r="BG13" i="7"/>
  <c r="BF13" i="7"/>
  <c r="BD13" i="7"/>
  <c r="BB13" i="7"/>
  <c r="AZ13" i="7"/>
  <c r="AX13" i="7"/>
  <c r="AV13" i="7"/>
  <c r="AT13" i="7"/>
  <c r="AR13" i="7"/>
  <c r="AP13" i="7"/>
  <c r="AN13" i="7"/>
  <c r="AL13" i="7"/>
  <c r="AJ13" i="7"/>
  <c r="AH13" i="7"/>
  <c r="AF13" i="7"/>
  <c r="AD13" i="7"/>
  <c r="AB13" i="7"/>
  <c r="Z13" i="7"/>
  <c r="X13" i="7"/>
  <c r="V13" i="7"/>
  <c r="T13" i="7"/>
  <c r="R13" i="7"/>
  <c r="P13" i="7"/>
  <c r="N13" i="7"/>
  <c r="L13" i="7"/>
  <c r="K13" i="7"/>
  <c r="BK12" i="7"/>
  <c r="BJ12" i="7"/>
  <c r="BH12" i="7"/>
  <c r="BG12" i="7"/>
  <c r="BF12" i="7"/>
  <c r="BD12" i="7"/>
  <c r="BB12" i="7"/>
  <c r="AZ12" i="7"/>
  <c r="AX12" i="7"/>
  <c r="AV12" i="7"/>
  <c r="AT12" i="7"/>
  <c r="AR12" i="7"/>
  <c r="AP12" i="7"/>
  <c r="AN12" i="7"/>
  <c r="AL12" i="7"/>
  <c r="AJ12" i="7"/>
  <c r="AH12" i="7"/>
  <c r="AF12" i="7"/>
  <c r="AD12" i="7"/>
  <c r="AB12" i="7"/>
  <c r="Z12" i="7"/>
  <c r="X12" i="7"/>
  <c r="V12" i="7"/>
  <c r="T12" i="7"/>
  <c r="R12" i="7"/>
  <c r="P12" i="7"/>
  <c r="N12" i="7"/>
  <c r="L12" i="7"/>
  <c r="K12" i="7"/>
  <c r="BH8" i="7"/>
  <c r="O14" i="6"/>
  <c r="N14" i="6"/>
  <c r="L14" i="6"/>
  <c r="K14" i="6"/>
  <c r="O13" i="6"/>
  <c r="N13" i="6"/>
  <c r="L13" i="6"/>
  <c r="K13" i="6"/>
  <c r="O12" i="6"/>
  <c r="N12" i="6"/>
  <c r="L12" i="6"/>
  <c r="K12" i="6"/>
  <c r="L8" i="6"/>
  <c r="O14" i="5"/>
  <c r="N14" i="5"/>
  <c r="L14" i="5"/>
  <c r="K14" i="5"/>
  <c r="O13" i="5"/>
  <c r="N13" i="5"/>
  <c r="L13" i="5"/>
  <c r="K13" i="5"/>
  <c r="O12" i="5"/>
  <c r="N12" i="5"/>
  <c r="L12" i="5"/>
  <c r="K12" i="5"/>
  <c r="L8" i="5"/>
  <c r="O14" i="4"/>
  <c r="N14" i="4"/>
  <c r="L14" i="4"/>
  <c r="K14" i="4"/>
  <c r="O13" i="4"/>
  <c r="N13" i="4"/>
  <c r="L13" i="4"/>
  <c r="K13" i="4"/>
  <c r="O12" i="4"/>
  <c r="N12" i="4"/>
  <c r="L12" i="4"/>
  <c r="K12" i="4"/>
  <c r="L8" i="4"/>
  <c r="O14" i="3"/>
  <c r="N14" i="3"/>
  <c r="L14" i="3"/>
  <c r="K14" i="3"/>
  <c r="O13" i="3"/>
  <c r="N13" i="3"/>
  <c r="L13" i="3"/>
  <c r="K13" i="3"/>
  <c r="O12" i="3"/>
  <c r="N12" i="3"/>
  <c r="L12" i="3"/>
  <c r="K12" i="3"/>
  <c r="L8" i="3"/>
  <c r="BG21" i="2"/>
  <c r="BJ21" i="2" s="1"/>
  <c r="BF21" i="2"/>
  <c r="BD21" i="2"/>
  <c r="BB21" i="2"/>
  <c r="AZ21" i="2"/>
  <c r="AX21" i="2"/>
  <c r="AV21" i="2"/>
  <c r="AT21" i="2"/>
  <c r="AR21" i="2"/>
  <c r="AP21" i="2"/>
  <c r="AN21" i="2"/>
  <c r="AL21" i="2"/>
  <c r="AJ21" i="2"/>
  <c r="AH21" i="2"/>
  <c r="AF21" i="2"/>
  <c r="AD21" i="2"/>
  <c r="AB21" i="2"/>
  <c r="Z21" i="2"/>
  <c r="X21" i="2"/>
  <c r="V21" i="2"/>
  <c r="T21" i="2"/>
  <c r="R21" i="2"/>
  <c r="P21" i="2"/>
  <c r="N21" i="2"/>
  <c r="L21" i="2"/>
  <c r="BG20" i="2"/>
  <c r="BJ20" i="2" s="1"/>
  <c r="BF20" i="2"/>
  <c r="BD20" i="2"/>
  <c r="BB20" i="2"/>
  <c r="AZ20" i="2"/>
  <c r="AX20" i="2"/>
  <c r="AV20" i="2"/>
  <c r="AT20" i="2"/>
  <c r="AR20" i="2"/>
  <c r="AP20" i="2"/>
  <c r="AN20" i="2"/>
  <c r="AL20" i="2"/>
  <c r="AJ20" i="2"/>
  <c r="AH20" i="2"/>
  <c r="AF20" i="2"/>
  <c r="AD20" i="2"/>
  <c r="AB20" i="2"/>
  <c r="Z20" i="2"/>
  <c r="X20" i="2"/>
  <c r="V20" i="2"/>
  <c r="T20" i="2"/>
  <c r="R20" i="2"/>
  <c r="P20" i="2"/>
  <c r="N20" i="2"/>
  <c r="L20" i="2"/>
  <c r="BK19" i="2"/>
  <c r="BL19" i="2" s="1"/>
  <c r="BJ19" i="2"/>
  <c r="BH19" i="2"/>
  <c r="BI19" i="2" s="1"/>
  <c r="BG19" i="2"/>
  <c r="BF19" i="2"/>
  <c r="BD19" i="2"/>
  <c r="BB19" i="2"/>
  <c r="AZ19" i="2"/>
  <c r="AX19" i="2"/>
  <c r="AV19" i="2"/>
  <c r="AT19" i="2"/>
  <c r="AR19" i="2"/>
  <c r="AP19" i="2"/>
  <c r="AN19" i="2"/>
  <c r="AL19" i="2"/>
  <c r="AJ19" i="2"/>
  <c r="AH19" i="2"/>
  <c r="AF19" i="2"/>
  <c r="AD19" i="2"/>
  <c r="AB19" i="2"/>
  <c r="Z19" i="2"/>
  <c r="X19" i="2"/>
  <c r="V19" i="2"/>
  <c r="T19" i="2"/>
  <c r="R19" i="2"/>
  <c r="P19" i="2"/>
  <c r="N19" i="2"/>
  <c r="L19" i="2"/>
  <c r="BG18" i="2"/>
  <c r="BJ18" i="2" s="1"/>
  <c r="BF18" i="2"/>
  <c r="BD18" i="2"/>
  <c r="BB18" i="2"/>
  <c r="AZ18" i="2"/>
  <c r="AX18" i="2"/>
  <c r="AV18" i="2"/>
  <c r="AT18" i="2"/>
  <c r="AR18" i="2"/>
  <c r="AP18" i="2"/>
  <c r="AN18" i="2"/>
  <c r="AL18" i="2"/>
  <c r="AJ18" i="2"/>
  <c r="AH18" i="2"/>
  <c r="AF18" i="2"/>
  <c r="AD18" i="2"/>
  <c r="AB18" i="2"/>
  <c r="Z18" i="2"/>
  <c r="X18" i="2"/>
  <c r="V18" i="2"/>
  <c r="T18" i="2"/>
  <c r="R18" i="2"/>
  <c r="P18" i="2"/>
  <c r="N18" i="2"/>
  <c r="L18" i="2"/>
  <c r="BG17" i="2"/>
  <c r="BJ17" i="2" s="1"/>
  <c r="BF17" i="2"/>
  <c r="BD17" i="2"/>
  <c r="BB17" i="2"/>
  <c r="AZ17" i="2"/>
  <c r="AX17" i="2"/>
  <c r="AV17" i="2"/>
  <c r="AT17" i="2"/>
  <c r="AR17" i="2"/>
  <c r="AP17" i="2"/>
  <c r="AN17" i="2"/>
  <c r="AL17" i="2"/>
  <c r="AJ17" i="2"/>
  <c r="AH17" i="2"/>
  <c r="AF17" i="2"/>
  <c r="AD17" i="2"/>
  <c r="AB17" i="2"/>
  <c r="Z17" i="2"/>
  <c r="X17" i="2"/>
  <c r="V17" i="2"/>
  <c r="T17" i="2"/>
  <c r="R17" i="2"/>
  <c r="P17" i="2"/>
  <c r="N17" i="2"/>
  <c r="L17" i="2"/>
  <c r="BK16" i="2"/>
  <c r="BL16" i="2" s="1"/>
  <c r="BJ16" i="2"/>
  <c r="BH16" i="2"/>
  <c r="BI16" i="2" s="1"/>
  <c r="BG16" i="2"/>
  <c r="BF16" i="2"/>
  <c r="BD16" i="2"/>
  <c r="BB16" i="2"/>
  <c r="AZ16" i="2"/>
  <c r="AX16" i="2"/>
  <c r="AV16" i="2"/>
  <c r="AT16" i="2"/>
  <c r="AR16" i="2"/>
  <c r="AP16" i="2"/>
  <c r="AN16" i="2"/>
  <c r="AL16" i="2"/>
  <c r="AJ16" i="2"/>
  <c r="AH16" i="2"/>
  <c r="AF16" i="2"/>
  <c r="AD16" i="2"/>
  <c r="AB16" i="2"/>
  <c r="Z16" i="2"/>
  <c r="X16" i="2"/>
  <c r="V16" i="2"/>
  <c r="T16" i="2"/>
  <c r="R16" i="2"/>
  <c r="P16" i="2"/>
  <c r="N16" i="2"/>
  <c r="L16" i="2"/>
  <c r="BG15" i="2"/>
  <c r="BJ15" i="2" s="1"/>
  <c r="BF15" i="2"/>
  <c r="BD15" i="2"/>
  <c r="BB15" i="2"/>
  <c r="AZ15" i="2"/>
  <c r="AX15" i="2"/>
  <c r="AV15" i="2"/>
  <c r="AT15" i="2"/>
  <c r="AR15" i="2"/>
  <c r="AP15" i="2"/>
  <c r="AN15" i="2"/>
  <c r="AL15" i="2"/>
  <c r="AJ15" i="2"/>
  <c r="AH15" i="2"/>
  <c r="AF15" i="2"/>
  <c r="AD15" i="2"/>
  <c r="AB15" i="2"/>
  <c r="Z15" i="2"/>
  <c r="X15" i="2"/>
  <c r="V15" i="2"/>
  <c r="T15" i="2"/>
  <c r="R15" i="2"/>
  <c r="P15" i="2"/>
  <c r="N15" i="2"/>
  <c r="L15" i="2"/>
  <c r="BK14" i="2"/>
  <c r="BJ14" i="2"/>
  <c r="BH14" i="2"/>
  <c r="BG14" i="2"/>
  <c r="BF14" i="2"/>
  <c r="BD14" i="2"/>
  <c r="BB14" i="2"/>
  <c r="AZ14" i="2"/>
  <c r="AX14" i="2"/>
  <c r="AV14" i="2"/>
  <c r="AT14" i="2"/>
  <c r="AR14" i="2"/>
  <c r="AP14" i="2"/>
  <c r="AN14" i="2"/>
  <c r="AL14" i="2"/>
  <c r="AJ14" i="2"/>
  <c r="AH14" i="2"/>
  <c r="AF14" i="2"/>
  <c r="AD14" i="2"/>
  <c r="AB14" i="2"/>
  <c r="Z14" i="2"/>
  <c r="X14" i="2"/>
  <c r="V14" i="2"/>
  <c r="T14" i="2"/>
  <c r="R14" i="2"/>
  <c r="P14" i="2"/>
  <c r="N14" i="2"/>
  <c r="L14" i="2"/>
  <c r="K14" i="2"/>
  <c r="BK13" i="2"/>
  <c r="BJ13" i="2"/>
  <c r="BH13" i="2"/>
  <c r="BG13" i="2"/>
  <c r="BF13" i="2"/>
  <c r="BD13" i="2"/>
  <c r="BB13" i="2"/>
  <c r="AZ13" i="2"/>
  <c r="AX13" i="2"/>
  <c r="AV13" i="2"/>
  <c r="AT13" i="2"/>
  <c r="AR13" i="2"/>
  <c r="AP13" i="2"/>
  <c r="AN13" i="2"/>
  <c r="AL13" i="2"/>
  <c r="AJ13" i="2"/>
  <c r="AH13" i="2"/>
  <c r="AF13" i="2"/>
  <c r="AD13" i="2"/>
  <c r="AB13" i="2"/>
  <c r="Z13" i="2"/>
  <c r="X13" i="2"/>
  <c r="V13" i="2"/>
  <c r="T13" i="2"/>
  <c r="R13" i="2"/>
  <c r="P13" i="2"/>
  <c r="N13" i="2"/>
  <c r="L13" i="2"/>
  <c r="K13" i="2"/>
  <c r="BK12" i="2"/>
  <c r="BJ12" i="2"/>
  <c r="BH12" i="2"/>
  <c r="BG12" i="2"/>
  <c r="BF12" i="2"/>
  <c r="BD12" i="2"/>
  <c r="BB12" i="2"/>
  <c r="AZ12" i="2"/>
  <c r="AX12" i="2"/>
  <c r="AV12" i="2"/>
  <c r="AT12" i="2"/>
  <c r="AR12" i="2"/>
  <c r="AP12" i="2"/>
  <c r="AN12" i="2"/>
  <c r="AL12" i="2"/>
  <c r="AJ12" i="2"/>
  <c r="AH12" i="2"/>
  <c r="AF12" i="2"/>
  <c r="AD12" i="2"/>
  <c r="AB12" i="2"/>
  <c r="Z12" i="2"/>
  <c r="X12" i="2"/>
  <c r="V12" i="2"/>
  <c r="T12" i="2"/>
  <c r="R12" i="2"/>
  <c r="P12" i="2"/>
  <c r="N12" i="2"/>
  <c r="L12" i="2"/>
  <c r="K12" i="2"/>
  <c r="BH8" i="2"/>
  <c r="N23" i="2" l="1"/>
  <c r="AD23" i="2"/>
  <c r="AT23" i="2"/>
  <c r="BH18" i="2"/>
  <c r="BK18" i="2" s="1"/>
  <c r="BL18" i="2" s="1"/>
  <c r="V23" i="2"/>
  <c r="AL23" i="2"/>
  <c r="BB23" i="2"/>
  <c r="P33" i="7"/>
  <c r="X33" i="7"/>
  <c r="AF33" i="7"/>
  <c r="AN33" i="7"/>
  <c r="AV33" i="7"/>
  <c r="BD33" i="7"/>
  <c r="BH30" i="7"/>
  <c r="BI30" i="7" s="1"/>
  <c r="AP23" i="2"/>
  <c r="AX23" i="2"/>
  <c r="BH20" i="2"/>
  <c r="BK20" i="2" s="1"/>
  <c r="BL20" i="2" s="1"/>
  <c r="R23" i="2"/>
  <c r="Z23" i="2"/>
  <c r="AH23" i="2"/>
  <c r="BF23" i="2"/>
  <c r="R33" i="7"/>
  <c r="Z33" i="7"/>
  <c r="AH33" i="7"/>
  <c r="AP33" i="7"/>
  <c r="AX33" i="7"/>
  <c r="BF33" i="7"/>
  <c r="BH25" i="7"/>
  <c r="BK25" i="7" s="1"/>
  <c r="BL25" i="7" s="1"/>
  <c r="BH28" i="7"/>
  <c r="BK28" i="7" s="1"/>
  <c r="BL28" i="7" s="1"/>
  <c r="BH22" i="7"/>
  <c r="BK22" i="7" s="1"/>
  <c r="BL22" i="7" s="1"/>
  <c r="BH17" i="7"/>
  <c r="BK17" i="7" s="1"/>
  <c r="BL17" i="7" s="1"/>
  <c r="BH20" i="7"/>
  <c r="BK20" i="7" s="1"/>
  <c r="BL20" i="7" s="1"/>
  <c r="L23" i="2"/>
  <c r="T23" i="2"/>
  <c r="AB23" i="2"/>
  <c r="AJ23" i="2"/>
  <c r="AR23" i="2"/>
  <c r="AZ23" i="2"/>
  <c r="BH17" i="2"/>
  <c r="BH21" i="2"/>
  <c r="P23" i="2"/>
  <c r="X23" i="2"/>
  <c r="AF23" i="2"/>
  <c r="AN23" i="2"/>
  <c r="AV23" i="2"/>
  <c r="BD23" i="2"/>
  <c r="BH15" i="2"/>
  <c r="L33" i="7"/>
  <c r="T33" i="7"/>
  <c r="AB33" i="7"/>
  <c r="AJ33" i="7"/>
  <c r="AR33" i="7"/>
  <c r="AZ33" i="7"/>
  <c r="BH16" i="7"/>
  <c r="BH18" i="7"/>
  <c r="BH21" i="7"/>
  <c r="BH24" i="7"/>
  <c r="BH26" i="7"/>
  <c r="BH29" i="7"/>
  <c r="N33" i="7"/>
  <c r="V33" i="7"/>
  <c r="AD33" i="7"/>
  <c r="AL33" i="7"/>
  <c r="AT33" i="7"/>
  <c r="BB33" i="7"/>
  <c r="BH19" i="7"/>
  <c r="BH27" i="7"/>
  <c r="BK27" i="7" s="1"/>
  <c r="BH15" i="7"/>
  <c r="BH23" i="7"/>
  <c r="BH31" i="7"/>
  <c r="E19" i="1" l="1"/>
  <c r="E18" i="1"/>
  <c r="G18" i="1" s="1"/>
  <c r="E21" i="1"/>
  <c r="G21" i="1" s="1"/>
  <c r="E22" i="1"/>
  <c r="BI17" i="7"/>
  <c r="BK30" i="7"/>
  <c r="BL30" i="7" s="1"/>
  <c r="BI22" i="7"/>
  <c r="BI28" i="7"/>
  <c r="BI18" i="2"/>
  <c r="BI20" i="2"/>
  <c r="BI25" i="7"/>
  <c r="BI20" i="7"/>
  <c r="BK15" i="7"/>
  <c r="BI15" i="7"/>
  <c r="BK26" i="7"/>
  <c r="BL26" i="7" s="1"/>
  <c r="BI26" i="7"/>
  <c r="BK16" i="7"/>
  <c r="BL16" i="7" s="1"/>
  <c r="BI16" i="7"/>
  <c r="BK31" i="7"/>
  <c r="BL31" i="7" s="1"/>
  <c r="BI31" i="7"/>
  <c r="BK24" i="7"/>
  <c r="BL24" i="7" s="1"/>
  <c r="BI24" i="7"/>
  <c r="BK15" i="2"/>
  <c r="BI15" i="2"/>
  <c r="BK23" i="7"/>
  <c r="BL23" i="7" s="1"/>
  <c r="BI23" i="7"/>
  <c r="BK19" i="7"/>
  <c r="BL19" i="7" s="1"/>
  <c r="BI19" i="7"/>
  <c r="BK21" i="7"/>
  <c r="BL21" i="7" s="1"/>
  <c r="BI21" i="7"/>
  <c r="BK21" i="2"/>
  <c r="BL21" i="2" s="1"/>
  <c r="BI21" i="2"/>
  <c r="BH33" i="7"/>
  <c r="BK29" i="7"/>
  <c r="BL29" i="7" s="1"/>
  <c r="BI29" i="7"/>
  <c r="BK18" i="7"/>
  <c r="BL18" i="7" s="1"/>
  <c r="BI18" i="7"/>
  <c r="BH23" i="2"/>
  <c r="BK17" i="2"/>
  <c r="BL17" i="2" s="1"/>
  <c r="BI17" i="2"/>
  <c r="E20" i="1" l="1"/>
  <c r="G20" i="1" s="1"/>
  <c r="E16" i="1"/>
  <c r="G16" i="1" s="1"/>
  <c r="G19" i="1"/>
  <c r="G22" i="1"/>
  <c r="H22" i="1"/>
  <c r="BL15" i="7"/>
  <c r="BK33" i="7"/>
  <c r="BL15" i="2"/>
  <c r="BK23" i="2"/>
  <c r="H16" i="1" l="1"/>
</calcChain>
</file>

<file path=xl/sharedStrings.xml><?xml version="1.0" encoding="utf-8"?>
<sst xmlns="http://schemas.openxmlformats.org/spreadsheetml/2006/main" count="2321" uniqueCount="593">
  <si>
    <t>21</t>
  </si>
  <si>
    <t>15</t>
  </si>
  <si>
    <t>PÍSKOVÁ LHOTA, ZÁMOSTÍ SPLAŠKOVÁ KANALIZACE- Neuznatelné náklady stavby</t>
  </si>
  <si>
    <t>D</t>
  </si>
  <si>
    <t>02</t>
  </si>
  <si>
    <t>Neuznatelné náklady stavby</t>
  </si>
  <si>
    <t>1</t>
  </si>
  <si>
    <t>2</t>
  </si>
  <si>
    <t>Povrchy</t>
  </si>
  <si>
    <t>Komunikace II.tř</t>
  </si>
  <si>
    <t>SO 04</t>
  </si>
  <si>
    <t>Obnova vodovodních řadů</t>
  </si>
  <si>
    <t>R1</t>
  </si>
  <si>
    <t>Vodovodní řad R1</t>
  </si>
  <si>
    <t>3</t>
  </si>
  <si>
    <t>R2</t>
  </si>
  <si>
    <t>Vodovodní řad R2</t>
  </si>
  <si>
    <t>R3</t>
  </si>
  <si>
    <t>Vodovodní řad R3</t>
  </si>
  <si>
    <t>P</t>
  </si>
  <si>
    <t>Vodovodní přípojky</t>
  </si>
  <si>
    <t>VN</t>
  </si>
  <si>
    <t>Vedlejší a ostatní náklady</t>
  </si>
  <si>
    <t>Povrchy - Komunikace II.tř</t>
  </si>
  <si>
    <t>MJ</t>
  </si>
  <si>
    <t>Množství</t>
  </si>
  <si>
    <t>HSV</t>
  </si>
  <si>
    <t>Práce a dodávky HSV</t>
  </si>
  <si>
    <t>Zemní práce</t>
  </si>
  <si>
    <t>K</t>
  </si>
  <si>
    <t>113154323</t>
  </si>
  <si>
    <t>Frézování živičného krytu tl 50 mm pruh š 1 m pl do 10000 m2 bez překážek v trase</t>
  </si>
  <si>
    <t>m2</t>
  </si>
  <si>
    <t>4</t>
  </si>
  <si>
    <t>5</t>
  </si>
  <si>
    <t>Komunikace pozemní</t>
  </si>
  <si>
    <t>573211109</t>
  </si>
  <si>
    <t>Postřik živičný spojovací z asfaltu v množství 0,50 kg/m2</t>
  </si>
  <si>
    <t>577144111</t>
  </si>
  <si>
    <t>Asfaltový beton vrstva obrusná ACO 11 (ABS) tř. I tl 50 mm š do 3 m z nemodifikovaného asfaltu</t>
  </si>
  <si>
    <t>997</t>
  </si>
  <si>
    <t>Přesun sutě</t>
  </si>
  <si>
    <t>997221551.1</t>
  </si>
  <si>
    <t>Vodorovná doprava suti ze sypkých materiálů na skládku</t>
  </si>
  <si>
    <t>t</t>
  </si>
  <si>
    <t>997221845</t>
  </si>
  <si>
    <t>Poplatek za uložení na skládce (skládkovné) odpadu asfaltového bez dehtu kód odpadu 170 302</t>
  </si>
  <si>
    <t>R1 - Vodovodní řad R1</t>
  </si>
  <si>
    <t>113107223</t>
  </si>
  <si>
    <t>Odstranění podkladu z kameniva drceného tl 300 mm strojně pl přes 200 m2</t>
  </si>
  <si>
    <t>113154324</t>
  </si>
  <si>
    <t>Frézování živičného krytu tl 100 mm pruh š 1 m pl do 10000 m2 bez překážek v trase</t>
  </si>
  <si>
    <t>119001411</t>
  </si>
  <si>
    <t>Dočasné zajištění potrubí betonového, ŽB nebo kameninového DN do 200</t>
  </si>
  <si>
    <t>m</t>
  </si>
  <si>
    <t>6</t>
  </si>
  <si>
    <t>121101101</t>
  </si>
  <si>
    <t>Sejmutí ornice s přemístěním na vzdálenost do 50 m</t>
  </si>
  <si>
    <t>m3</t>
  </si>
  <si>
    <t>7</t>
  </si>
  <si>
    <t>130001101</t>
  </si>
  <si>
    <t>Příplatek za ztížení vykopávky v blízkosti podzemního vedení</t>
  </si>
  <si>
    <t>8</t>
  </si>
  <si>
    <t>132201202</t>
  </si>
  <si>
    <t>Hloubení rýh š do 2000 mm v hornině tř. 3 objemu do 1000 m3</t>
  </si>
  <si>
    <t>9</t>
  </si>
  <si>
    <t>132201209</t>
  </si>
  <si>
    <t>Příplatek za lepivost k hloubení rýh š do 2000 mm v hornině tř. 3</t>
  </si>
  <si>
    <t>10</t>
  </si>
  <si>
    <t>132301202</t>
  </si>
  <si>
    <t>Hloubení rýh š do 2000 mm v hornině tř. 4 objemu do 1000 m3</t>
  </si>
  <si>
    <t>11</t>
  </si>
  <si>
    <t>132301209</t>
  </si>
  <si>
    <t>Příplatek za lepivost k hloubení rýh š do 2000 mm v hornině tř. 4</t>
  </si>
  <si>
    <t>12</t>
  </si>
  <si>
    <t>132401R-101</t>
  </si>
  <si>
    <t>Rozpojování pevných hornin tř.5 skalního podloží rýh š do 2000 mm  frézováním včetně svislého přemístění výkopku</t>
  </si>
  <si>
    <t>13</t>
  </si>
  <si>
    <t>132501R-101</t>
  </si>
  <si>
    <t>Rozpojování pevných hornin tř.6 skalního podloží rýh š do 2000 mm  frézováním včetně svislého přemístění výkopku</t>
  </si>
  <si>
    <t>14</t>
  </si>
  <si>
    <t>151811131</t>
  </si>
  <si>
    <t>Osazení pažicího boxu hl výkopu do 4 m š do 1,2 m</t>
  </si>
  <si>
    <t>151811231</t>
  </si>
  <si>
    <t>Odstranění pažicího boxu hl výkopu do 4 m š do 1,2 m</t>
  </si>
  <si>
    <t>16</t>
  </si>
  <si>
    <t>162301R-101</t>
  </si>
  <si>
    <t>Vodorovné přemístění výkopku/sypaniny z horniny tř. 1 až 6 na mezideponii</t>
  </si>
  <si>
    <t>17</t>
  </si>
  <si>
    <t>162601R-102</t>
  </si>
  <si>
    <t>Vodorovné přemístění přebytečného výkopku/sypaniny z horniny tř. 1 až 6 na skládku</t>
  </si>
  <si>
    <t>18</t>
  </si>
  <si>
    <t>167101102</t>
  </si>
  <si>
    <t>Nakládání výkopku z hornin tř. 1 až 4 přes 100 m3</t>
  </si>
  <si>
    <t>19</t>
  </si>
  <si>
    <t>171201201</t>
  </si>
  <si>
    <t>Uložení sypaniny na skládky,  čl.1.2-TP v.1.9</t>
  </si>
  <si>
    <t>20</t>
  </si>
  <si>
    <t>171201211</t>
  </si>
  <si>
    <t>Poplatek za uložení stavebního odpadu - zeminy a kameniva na skládce</t>
  </si>
  <si>
    <t>174101101</t>
  </si>
  <si>
    <t>Zásyp jam, šachet rýh nebo kolem objektů sypaninou se zhutněním</t>
  </si>
  <si>
    <t>22</t>
  </si>
  <si>
    <t>175151101</t>
  </si>
  <si>
    <t>Obsypání potrubí strojně sypaninou bez prohození, uloženou do 3 m</t>
  </si>
  <si>
    <t>23</t>
  </si>
  <si>
    <t>M</t>
  </si>
  <si>
    <t>583373310</t>
  </si>
  <si>
    <t>štěrkopísek frakce 0/22</t>
  </si>
  <si>
    <t>24</t>
  </si>
  <si>
    <t>181301116</t>
  </si>
  <si>
    <t>Rozprostření ornice tl vrstvy do 400 mm pl přes 500 m2 v rovině nebo ve svahu do 1:5</t>
  </si>
  <si>
    <t>Vodorovné konstrukce</t>
  </si>
  <si>
    <t>25</t>
  </si>
  <si>
    <t>451573111</t>
  </si>
  <si>
    <t>Lože pod potrubí otevřený výkop ze štěrkopísku</t>
  </si>
  <si>
    <t>26</t>
  </si>
  <si>
    <t>452313151</t>
  </si>
  <si>
    <t>Podkladní bloky z betonu prostého tř. C 20/25 otevřený výkop</t>
  </si>
  <si>
    <t>27</t>
  </si>
  <si>
    <t>564871116</t>
  </si>
  <si>
    <t>Podklad ze štěrkodrtě ŠD tl. 300 mm</t>
  </si>
  <si>
    <t>28</t>
  </si>
  <si>
    <t>567132115</t>
  </si>
  <si>
    <t>Podklad ze směsi stmelené cementem SC C 8/10 (KSC I) tl 200 mm</t>
  </si>
  <si>
    <t>29</t>
  </si>
  <si>
    <t>573211107</t>
  </si>
  <si>
    <t>Postřik živičný spojovací z asfaltu v množství 0,30 kg/m2</t>
  </si>
  <si>
    <t>30</t>
  </si>
  <si>
    <t>31</t>
  </si>
  <si>
    <t>32</t>
  </si>
  <si>
    <t>577165112</t>
  </si>
  <si>
    <t>Asfaltový beton vrstva ložní ACL 16 (ABH) tl 70 mm š do 3 m z nemodifikovaného asfaltu</t>
  </si>
  <si>
    <t>Úpravy povrchů, podlahy a osazování výplní</t>
  </si>
  <si>
    <t>33</t>
  </si>
  <si>
    <t>621211011</t>
  </si>
  <si>
    <t>Montáž kontaktního zateplení vnějších podhledů z polystyrénových desek tl do 80 mm</t>
  </si>
  <si>
    <t>34</t>
  </si>
  <si>
    <t>28376440</t>
  </si>
  <si>
    <t>deska z polystyrénu XPS, hrana rovná a strukturovaný povrch tl 50mm</t>
  </si>
  <si>
    <t>Trubní vedení</t>
  </si>
  <si>
    <t>35</t>
  </si>
  <si>
    <t>850245121</t>
  </si>
  <si>
    <t>Výřez nebo výsek na potrubí z trub litinových tlakových nebo plastických hmot DN 80</t>
  </si>
  <si>
    <t>kus</t>
  </si>
  <si>
    <t>36</t>
  </si>
  <si>
    <t>851241131</t>
  </si>
  <si>
    <t>Montáž potrubí z trub litinových hrdlových s integrovaným těsněním otevřený výkop DN 80</t>
  </si>
  <si>
    <t>37</t>
  </si>
  <si>
    <t>552530000</t>
  </si>
  <si>
    <t>trouba vodovodní litinová pozinkovaná hrdlová spoj TYTON 6 m DN 80 mm</t>
  </si>
  <si>
    <t>38</t>
  </si>
  <si>
    <t>857241131</t>
  </si>
  <si>
    <t>Montáž litinových tvarovek jednoosých hrdlových otevřený výkop s integrovaným těsněním DN 80</t>
  </si>
  <si>
    <t>39</t>
  </si>
  <si>
    <t>MMK408000010</t>
  </si>
  <si>
    <t>TVAROVKA HRDLOVÁ TYTON MMK-kus 45° 80</t>
  </si>
  <si>
    <t>KS</t>
  </si>
  <si>
    <t>40</t>
  </si>
  <si>
    <t>50.5.8045</t>
  </si>
  <si>
    <t>AVK tvarovka litinová, MK, koleno hrdlové s hladkým koncem 45°, DN 80</t>
  </si>
  <si>
    <t>ks</t>
  </si>
  <si>
    <t>41</t>
  </si>
  <si>
    <t>857242122</t>
  </si>
  <si>
    <t>Montáž litinových tvarovek jednoosých přírubových otevřený výkop DN 80</t>
  </si>
  <si>
    <t>42</t>
  </si>
  <si>
    <t>50.9.80</t>
  </si>
  <si>
    <t>AVK tvarovka litinová, EU, přírubová tvarovka s hrdlem, DN80</t>
  </si>
  <si>
    <t>43</t>
  </si>
  <si>
    <t>891241222</t>
  </si>
  <si>
    <t>Montáž vodovodních šoupátek s ručním kolečkem v šachtách DN 80</t>
  </si>
  <si>
    <t>44</t>
  </si>
  <si>
    <t>891247111</t>
  </si>
  <si>
    <t>Montáž hydrantů podzemních DN 80</t>
  </si>
  <si>
    <t>45</t>
  </si>
  <si>
    <t>891248R-101</t>
  </si>
  <si>
    <t>Zkouška průchodnosti potrubí volným nástrojem</t>
  </si>
  <si>
    <t>46</t>
  </si>
  <si>
    <t>892241111</t>
  </si>
  <si>
    <t>Tlaková zkouška vodou potrubí do 80</t>
  </si>
  <si>
    <t>47</t>
  </si>
  <si>
    <t>892273122</t>
  </si>
  <si>
    <t>Proplach a dezinfekce vodovodního potrubí DN od 80 do 125</t>
  </si>
  <si>
    <t>48</t>
  </si>
  <si>
    <t>892274R-111</t>
  </si>
  <si>
    <t>Odběr vzorků a rozbor vody - krácený rozbor</t>
  </si>
  <si>
    <t>kpl</t>
  </si>
  <si>
    <t>49</t>
  </si>
  <si>
    <t>892372111</t>
  </si>
  <si>
    <t>Zabezpečení konců potrubí DN do 300 při tlakových zkouškách vodou</t>
  </si>
  <si>
    <t>50</t>
  </si>
  <si>
    <t>899401112</t>
  </si>
  <si>
    <t>Osazení poklopů litinových šoupátkových</t>
  </si>
  <si>
    <t>51</t>
  </si>
  <si>
    <t>899401113</t>
  </si>
  <si>
    <t>Osazení poklopů litinových hydrantových</t>
  </si>
  <si>
    <t>52</t>
  </si>
  <si>
    <t>899722114.1</t>
  </si>
  <si>
    <t>Krytí potrubí z plastů výstražnou fólií z PVC  šíře 100 – 300mm, barva modrá, nápis „VODOVOD“.</t>
  </si>
  <si>
    <t xml:space="preserve">  Ostatní konstrukce a práce-bourání</t>
  </si>
  <si>
    <t>53</t>
  </si>
  <si>
    <t>919732221</t>
  </si>
  <si>
    <t>Styčná spára napojení nového živičného povrchu na stávající za tepla š 15 mm hl 25 mm bez prořezání</t>
  </si>
  <si>
    <t>54</t>
  </si>
  <si>
    <t>919735111</t>
  </si>
  <si>
    <t>Řezání stávajícího živičného krytu hl do 50 mm</t>
  </si>
  <si>
    <t>55</t>
  </si>
  <si>
    <t>56</t>
  </si>
  <si>
    <t>57</t>
  </si>
  <si>
    <t>997221855</t>
  </si>
  <si>
    <t>Poplatek za uložení na skládce (skládkovné) zeminy a kameniva kód odpadu 170 504</t>
  </si>
  <si>
    <t>998</t>
  </si>
  <si>
    <t>Přesun hmot</t>
  </si>
  <si>
    <t>58</t>
  </si>
  <si>
    <t>998273102</t>
  </si>
  <si>
    <t>Přesun hmot pro trubní vedení z trub litinových otevřený výkop</t>
  </si>
  <si>
    <t>Práce a dodávky M</t>
  </si>
  <si>
    <t>21-M</t>
  </si>
  <si>
    <t>Elektromontáže</t>
  </si>
  <si>
    <t>59</t>
  </si>
  <si>
    <t>210800526</t>
  </si>
  <si>
    <t>Montáž měděných vodičů CY, HO5V, HO7V, NYY, YY 4 mm2 uložených volně</t>
  </si>
  <si>
    <t>64</t>
  </si>
  <si>
    <t>60</t>
  </si>
  <si>
    <t>341110120</t>
  </si>
  <si>
    <t>kabel silový s Cu jádrem CYKY 2x4 mm2</t>
  </si>
  <si>
    <t>R2 - Vodovodní řad R2</t>
  </si>
  <si>
    <t>119001421</t>
  </si>
  <si>
    <t>Dočasné zajištění kabelů a kabelových tratí ze 3 volně ložených kabelů</t>
  </si>
  <si>
    <t>Svislé a kompletní konstrukce</t>
  </si>
  <si>
    <t>340R-101</t>
  </si>
  <si>
    <t>Sanace stávající armaturní šachty A8 dle evidence VaK MB</t>
  </si>
  <si>
    <t>797408000016</t>
  </si>
  <si>
    <t>SYNOFLEX - SPOJKA 80 (85-105)</t>
  </si>
  <si>
    <t>50.5.8022</t>
  </si>
  <si>
    <t>AVK tvarovka litinová, MK, koleno hrdlové s hladkým koncem 22 1/2°, DN 80</t>
  </si>
  <si>
    <t>50.11.8090</t>
  </si>
  <si>
    <t>AVK tvarovka litinová, Q, koleno přírubové 90°, DN 80</t>
  </si>
  <si>
    <t>505008020016</t>
  </si>
  <si>
    <t>KOLENO PATNÍ PŘÍRUBOVÉ DLOUHÉ 80</t>
  </si>
  <si>
    <t>857243131</t>
  </si>
  <si>
    <t>Montáž litinových tvarovek odbočných hrdlových otevřený výkop s integrovaným těsněním DN 80</t>
  </si>
  <si>
    <t>MMA008008010</t>
  </si>
  <si>
    <t>TVAROVKA HRDLOVÁ TYTON MMA-kus 80/80</t>
  </si>
  <si>
    <t>400208000016</t>
  </si>
  <si>
    <t>ŠOUPĚ E2 PŘÍRUBOVÉ KRÁTKÉ 80</t>
  </si>
  <si>
    <t>950205010003</t>
  </si>
  <si>
    <t>SOUPRAVA ZEMNÍ TELESKOPICKÁ E2-1,3 -1,8 50-100 (1,3-1,8m)</t>
  </si>
  <si>
    <t>891243321</t>
  </si>
  <si>
    <t>Montáž ventilů odvzdušňovacích přírubových DN 80</t>
  </si>
  <si>
    <t>982208010016</t>
  </si>
  <si>
    <t>HYDRANT ODVZDUŠŇOVACÍ PN 1-16 1055/80</t>
  </si>
  <si>
    <t>1750KASI0001</t>
  </si>
  <si>
    <t>POKLOP ULIČNÍ SAMONIVELAČNÍ ŠOUPÁTKOVÝ (Z.S. TELE) VODA</t>
  </si>
  <si>
    <t>348100000000</t>
  </si>
  <si>
    <t>PODKLAD. DESKA  UNI UNI</t>
  </si>
  <si>
    <t>61</t>
  </si>
  <si>
    <t>62</t>
  </si>
  <si>
    <t>179000000000</t>
  </si>
  <si>
    <t>POKLOP ODVZDUŠŇOVACÍ HYDRANTY</t>
  </si>
  <si>
    <t>63</t>
  </si>
  <si>
    <t>348200000000</t>
  </si>
  <si>
    <t>PODKLAD. DESKA  POD HYDRANT.POKLOP</t>
  </si>
  <si>
    <t>Ostatní konstrukce a práce, bourání</t>
  </si>
  <si>
    <t>65</t>
  </si>
  <si>
    <t>66</t>
  </si>
  <si>
    <t>67</t>
  </si>
  <si>
    <t>961R-101</t>
  </si>
  <si>
    <t>Zrušení stávající armaturní šachty řadu R2</t>
  </si>
  <si>
    <t>900</t>
  </si>
  <si>
    <t>Provizorní vodovodní řad a přípojky</t>
  </si>
  <si>
    <t>68</t>
  </si>
  <si>
    <t>9100001.R</t>
  </si>
  <si>
    <t>Provizorní vodovodní řad z potrubí HDPE 100 RC SDR 11 d40 včetně spojovacích tvarovek - dodávka + montáž + demontáž</t>
  </si>
  <si>
    <t>69</t>
  </si>
  <si>
    <t>9100002.R</t>
  </si>
  <si>
    <t>Provizorní vodovodní přípojky z  potrubí HDPE 100 RC SDR 11 d32  - dodávka + montáž + demontáž</t>
  </si>
  <si>
    <t>70</t>
  </si>
  <si>
    <t>9100003.R</t>
  </si>
  <si>
    <t>Napojení provizorních vodovodních přípojek na provizorní řad svěrnou T spojkou HDPE d40/d32 a propojení potrubí přípojek na stávající vodoměr s osazení KK 25 před vodoměr - dodávka + montáž + demontáž</t>
  </si>
  <si>
    <t>71</t>
  </si>
  <si>
    <t>9100004.R</t>
  </si>
  <si>
    <t>Potrubí provizorního vodovodu a částí provizorních vdv přípojek vedených po veřejných pozemcích bude uloženo v rýze o šířce 0,3 m a hloubce 0,3 m - ruční hloubení rýhy a zpětný zásypu tříděným výkopkem</t>
  </si>
  <si>
    <t>72</t>
  </si>
  <si>
    <t>9100005.R</t>
  </si>
  <si>
    <t>Pažené rýhy v místech napojení provizorního vodovodu na vodovodní řad</t>
  </si>
  <si>
    <t>73</t>
  </si>
  <si>
    <t>9100006.R</t>
  </si>
  <si>
    <t>Tlaková zkouška vodou provizorního vodovodního potrubí do DN 50 včetně zabezpečení konců potrubí</t>
  </si>
  <si>
    <t>74</t>
  </si>
  <si>
    <t>9100007.R</t>
  </si>
  <si>
    <t>Proplach a dezinfekce provizorního vodovodního potrubí do DN 50</t>
  </si>
  <si>
    <t>75</t>
  </si>
  <si>
    <t>9100008.R</t>
  </si>
  <si>
    <t>Odběr vzorků a rozbor vody provizorního vodovodního řadu - krácený rozbor</t>
  </si>
  <si>
    <t>76</t>
  </si>
  <si>
    <t>9100009.R</t>
  </si>
  <si>
    <t>Napojení provizorního vodovodního řadu HDPE 100 RC SDR 11 d40 na stávající vodovodní řad LT DN80  s odstavením stávajícího rušeného vodovodního řadu - dodávka + montáž + demontáž</t>
  </si>
  <si>
    <t>77</t>
  </si>
  <si>
    <t>78</t>
  </si>
  <si>
    <t>79</t>
  </si>
  <si>
    <t>80</t>
  </si>
  <si>
    <t>81</t>
  </si>
  <si>
    <t>82</t>
  </si>
  <si>
    <t>R3 - Vodovodní řad R3</t>
  </si>
  <si>
    <t>113107224</t>
  </si>
  <si>
    <t>Odstranění podkladu z kameniva drceného tl 400 mm strojně pl přes 200 m2</t>
  </si>
  <si>
    <t>Sanace stávající armaturní šachty A14 dle evidence VaK MB</t>
  </si>
  <si>
    <t>564931412</t>
  </si>
  <si>
    <t>Podklad z asfaltového recyklátu tl 100 mm</t>
  </si>
  <si>
    <t>852241122</t>
  </si>
  <si>
    <t>Montáž potrubí z trub litinových tlakových přírubových normálních délek otevřený výkop DN 80</t>
  </si>
  <si>
    <t>850008025016</t>
  </si>
  <si>
    <t>TVAROVKA FF KUS 80/250</t>
  </si>
  <si>
    <t>MMK208000010</t>
  </si>
  <si>
    <t>TVAROVKA HRDLOVÁ TYTON MMK-kus 22° 80</t>
  </si>
  <si>
    <t>50.5.8011</t>
  </si>
  <si>
    <t>AVK tvarovka litinová, MK, koleno hrdlové s hladkým koncem 11 1/4°, DN 80</t>
  </si>
  <si>
    <t>50.12.80</t>
  </si>
  <si>
    <t>AVK tvarovka litinová, F, příruba s hladkým koncem, DN 80</t>
  </si>
  <si>
    <t>50.11.8090.1</t>
  </si>
  <si>
    <t>AVK tvarovka litinová, Q, koleno přírubové 90°, DN 50</t>
  </si>
  <si>
    <t>010205006616</t>
  </si>
  <si>
    <t>PŘÍRUBA LITINA 50/66</t>
  </si>
  <si>
    <t>010208009816</t>
  </si>
  <si>
    <t>PŘÍRUBA LITINA 80/98</t>
  </si>
  <si>
    <t>857244122</t>
  </si>
  <si>
    <t>Montáž litinových tvarovek odbočných přírubových otevřený výkop DN 80</t>
  </si>
  <si>
    <t>851008008016</t>
  </si>
  <si>
    <t>TVAROVKA T KUS 80-80</t>
  </si>
  <si>
    <t>851008005016</t>
  </si>
  <si>
    <t>TVAROVKA T KUS 80-50</t>
  </si>
  <si>
    <t>871211141</t>
  </si>
  <si>
    <t>Montáž potrubí z PE100 SDR 11 otevřený výkop svařovaných na tupo D 63 x 5,8 mm</t>
  </si>
  <si>
    <t>28613598</t>
  </si>
  <si>
    <t>potrubí dvouvrstvé PE100 s 10% signalizační vrstvou SDR 11 63x5,8 dl 12m</t>
  </si>
  <si>
    <t>891211222</t>
  </si>
  <si>
    <t>Montáž vodovodních šoupátek s ručním kolečkem v šachtách DN 50</t>
  </si>
  <si>
    <t>400205000016</t>
  </si>
  <si>
    <t>ŠOUPĚ E2 PŘÍRUBOVÉ KRÁTKÉ 50</t>
  </si>
  <si>
    <t>780005000000</t>
  </si>
  <si>
    <t>KOLO RUČNÍ HAWLE 50</t>
  </si>
  <si>
    <t>891212312</t>
  </si>
  <si>
    <t>Montáž přírubového vodoměru DN 50 v šachtě</t>
  </si>
  <si>
    <t>388217150</t>
  </si>
  <si>
    <t>vodoměr šroubový WP - Dynamic 50/50/16</t>
  </si>
  <si>
    <t>780008000000</t>
  </si>
  <si>
    <t>KOLO RUČNÍ HAWLE 65-80</t>
  </si>
  <si>
    <t>982405015000</t>
  </si>
  <si>
    <t>SOUPRAVA ODBĚROVÁ L=1,5 m (bez krytu) 50 L=1,5 m</t>
  </si>
  <si>
    <t>K24008015016</t>
  </si>
  <si>
    <t>HYDRANT DUO PODZEMNÍ 80/1,5 m</t>
  </si>
  <si>
    <t>83</t>
  </si>
  <si>
    <t>84</t>
  </si>
  <si>
    <t>85</t>
  </si>
  <si>
    <t>86</t>
  </si>
  <si>
    <t>195000000002</t>
  </si>
  <si>
    <t>HYDRANTOVÝ POKLOP 21 kg / HAWLE - HYDRANT</t>
  </si>
  <si>
    <t>87</t>
  </si>
  <si>
    <t>88</t>
  </si>
  <si>
    <t>89</t>
  </si>
  <si>
    <t>899712111</t>
  </si>
  <si>
    <t>Orientační tabulky na zdivu</t>
  </si>
  <si>
    <t>90</t>
  </si>
  <si>
    <t>91</t>
  </si>
  <si>
    <t>899911121</t>
  </si>
  <si>
    <t>Kluzná objímka výšky 41 mm vnějšího průměru potrubí do 183 mm</t>
  </si>
  <si>
    <t>92</t>
  </si>
  <si>
    <t>899913134</t>
  </si>
  <si>
    <t>Uzavírací manžeta chráničky potrubí DN 80 x 200</t>
  </si>
  <si>
    <t>93</t>
  </si>
  <si>
    <t>899R-101</t>
  </si>
  <si>
    <t>Využití stávající ocelové chráničky DN 200 pro vtažení vodovodního potrubí LTH DN 80</t>
  </si>
  <si>
    <t>94</t>
  </si>
  <si>
    <t>95</t>
  </si>
  <si>
    <t>96</t>
  </si>
  <si>
    <t>961R-102</t>
  </si>
  <si>
    <t>Zrušení stávající kalníkové šachty řadu R3</t>
  </si>
  <si>
    <t>97</t>
  </si>
  <si>
    <t>Provizorní vodovodní řad z potrubí HDPE 100 RC SDR 11 d63 včetně spojovacích tvarovek - dodávka + montáž + demontáž</t>
  </si>
  <si>
    <t>98</t>
  </si>
  <si>
    <t>99</t>
  </si>
  <si>
    <t>Napojení provizorních vodovodních přípojek na provizorní řad svěrnou T spojkou HDPE d63/d32 a propojení potrubí přípojek na stávající vodoměr s osazení KK 25 před vodoměr - dodávka + montáž + demontáž</t>
  </si>
  <si>
    <t>100</t>
  </si>
  <si>
    <t>101</t>
  </si>
  <si>
    <t>9100004.1R</t>
  </si>
  <si>
    <t>Vtažení  a vytažení potrubí provizorního vodovodu do ochr.potrubí protlaku DN 500 stoky B3</t>
  </si>
  <si>
    <t>102</t>
  </si>
  <si>
    <t>103</t>
  </si>
  <si>
    <t>104</t>
  </si>
  <si>
    <t>105</t>
  </si>
  <si>
    <t>106</t>
  </si>
  <si>
    <t>Napojení provizorního vodovodního řadu HDPE 100 RC SDR 11 d63 na stávající vodovodní řad LT DN80  s odstavením stávajícího rušeného vodovodního řadu - dodávka + montáž + demontáž</t>
  </si>
  <si>
    <t>107</t>
  </si>
  <si>
    <t>108</t>
  </si>
  <si>
    <t>109</t>
  </si>
  <si>
    <t>110</t>
  </si>
  <si>
    <t>111</t>
  </si>
  <si>
    <t>112</t>
  </si>
  <si>
    <t>P - Vodovodní přípojky</t>
  </si>
  <si>
    <t>871161211</t>
  </si>
  <si>
    <t>Montáž potrubí z PE100 SDR 11 otevřený výkop svařovaných elektrotvarovkou D 32 x 3,0 mm</t>
  </si>
  <si>
    <t>131675</t>
  </si>
  <si>
    <t>egeplast SLM 3.0 - pitná voda - roura PE100 RC+ d32x3,0mm SDR11/PN16, návin 100m</t>
  </si>
  <si>
    <t>891173111</t>
  </si>
  <si>
    <t>Montáž vodovodního ventilu hlavního pro přípojky DN 32</t>
  </si>
  <si>
    <t>268100100016</t>
  </si>
  <si>
    <t>ŠOUPÁTKO NAVRTÁVACÍ DOMOVNÍ PŘÍPOJKY "2""-6/4"""</t>
  </si>
  <si>
    <t>622103206416</t>
  </si>
  <si>
    <t>TVAROVKA ISO K 2681/3151 6/4''-32</t>
  </si>
  <si>
    <t>632003203216</t>
  </si>
  <si>
    <t>TVAROVKA ISO SPOJKA 32-32</t>
  </si>
  <si>
    <t>910103401500</t>
  </si>
  <si>
    <t>SOUPRAVA ZEMNÍ PRO PŘÍPOJKY-1,5 m "3/4""-2"" (1,5m)"</t>
  </si>
  <si>
    <t>891249111</t>
  </si>
  <si>
    <t>Montáž navrtávacích pasů na potrubí z jakýchkoli trub DN 80</t>
  </si>
  <si>
    <t>335008000216</t>
  </si>
  <si>
    <t>PAS NAVRTÁVACÍ HACOM 80-2''</t>
  </si>
  <si>
    <t>892372R-111</t>
  </si>
  <si>
    <t>Zabezpečení konců potrubí DN do 300 při tlakových zkouškách vodou - vodovodní přípojky</t>
  </si>
  <si>
    <t>899401111</t>
  </si>
  <si>
    <t>Osazení poklopů litinových ventilových</t>
  </si>
  <si>
    <t>1650KASI0000</t>
  </si>
  <si>
    <t>POKLOP ULIČNÍ SAMONIVELAČNÍ PŘÍPOJKOVÝ S LOGEM HAWLE VODA</t>
  </si>
  <si>
    <t>998276101</t>
  </si>
  <si>
    <t>Přesun hmot pro trubní vedení z trub z plastických hmot otevřený výkop</t>
  </si>
  <si>
    <t>PSV</t>
  </si>
  <si>
    <t>Práce a dodávky PSV</t>
  </si>
  <si>
    <t>722</t>
  </si>
  <si>
    <t>Zdravotechnika - vnitřní vodovod</t>
  </si>
  <si>
    <t>722262213</t>
  </si>
  <si>
    <t>Vodoměr závitový jednovtokový suchoběžný do 40°C G 3/4 x 130 mm Qn 1,5 m3/h horizontální</t>
  </si>
  <si>
    <t>722270101</t>
  </si>
  <si>
    <t>Sestava vodoměrová závitová G 3/4</t>
  </si>
  <si>
    <t>soubor</t>
  </si>
  <si>
    <t>VN - Vedlejší a ostatní náklady</t>
  </si>
  <si>
    <t>Ostatní práce a konstrukce dle TP VaK MB - Odkanalizování obcí v povodí Jizery</t>
  </si>
  <si>
    <t>900001.R</t>
  </si>
  <si>
    <t>Zařízení staveniště, čl.1.1-TP</t>
  </si>
  <si>
    <t>900003.R</t>
  </si>
  <si>
    <t>Fotodokumentace stavby, čl.1.3-TP</t>
  </si>
  <si>
    <t>900004.R</t>
  </si>
  <si>
    <t>Publicita a propagace stavby, čl.1.4-TP</t>
  </si>
  <si>
    <t>900005.R</t>
  </si>
  <si>
    <t>Realizační dokumentace stavby včetně projednání a kontroly na stavbě, čl.1.5-TP</t>
  </si>
  <si>
    <t>900006.R</t>
  </si>
  <si>
    <t>Plán bezpečnosti a ochrany zdraví při práci (BOZP), čl.1.6-TP</t>
  </si>
  <si>
    <t>900007.R</t>
  </si>
  <si>
    <t>Záchranný archeologický dohled, čl.1.7-TP</t>
  </si>
  <si>
    <t>900008.R</t>
  </si>
  <si>
    <t>Doklady požadované k předání a převzetí díla, čl.1.8-TP</t>
  </si>
  <si>
    <t>900009.R</t>
  </si>
  <si>
    <t>Dokumentace skutečného provedení stavby a dokumentace geodetického zaměření stavby, čl.1.9-TP</t>
  </si>
  <si>
    <t>900010.R</t>
  </si>
  <si>
    <t>Další doplňující průzkumy, čl.1.10-TP</t>
  </si>
  <si>
    <t>900011.R</t>
  </si>
  <si>
    <t>Pasportizace stávajících objektů – inventarizační prohlídky, čl.1.11-TP</t>
  </si>
  <si>
    <t>900012.R</t>
  </si>
  <si>
    <t>Vytyčení podzemních zařízení, rizika a zvláštní opatření, čl.1.12-TP</t>
  </si>
  <si>
    <t>900013.R</t>
  </si>
  <si>
    <t>Zaškolení pracovníků provozovatele/objednatele, čl.1.13-TP</t>
  </si>
  <si>
    <t>900014.R</t>
  </si>
  <si>
    <t>Vytyčení stavby, ochrana geodetických bodů před poškozením, čl.1.14-TP</t>
  </si>
  <si>
    <t>900015.R</t>
  </si>
  <si>
    <t>Zajištění a osvětlení výkopů a překopů, čl.1.15-TP</t>
  </si>
  <si>
    <t>900016.R</t>
  </si>
  <si>
    <t>Havarijní plán, čl.1.16-TP</t>
  </si>
  <si>
    <t>900017.R</t>
  </si>
  <si>
    <t>Zvláštní požadavky na zhotovení, čl.1.17-TP</t>
  </si>
  <si>
    <t>900018.R</t>
  </si>
  <si>
    <t>Dopravní inženýrské opatření a dopravní značení ( DIO) po dobu stavby</t>
  </si>
  <si>
    <t>NÁZEV AKCE :</t>
  </si>
  <si>
    <t>Odkanalizování povodí Jizery - část B</t>
  </si>
  <si>
    <t xml:space="preserve">ETAPA STAVBY : </t>
  </si>
  <si>
    <t>ČÍSLO SMLOUVY OBJEDNATELE :</t>
  </si>
  <si>
    <t>VRI/SOD/2020/Ži</t>
  </si>
  <si>
    <t>ČÍSLO SMLOUVY ZHOTOVITELE :</t>
  </si>
  <si>
    <t>VCES-6006</t>
  </si>
  <si>
    <t>OBJEDNATEL :</t>
  </si>
  <si>
    <t>Vododvody a kanalizace Mladá Boleslav, a.s.</t>
  </si>
  <si>
    <t>ZHOTOVITEL :</t>
  </si>
  <si>
    <t>VCES a.s.</t>
  </si>
  <si>
    <t>Dne:</t>
  </si>
  <si>
    <t>SOD</t>
  </si>
  <si>
    <t>Dosud provedeno</t>
  </si>
  <si>
    <t>Fakturace 2020/10</t>
  </si>
  <si>
    <t>Fakturace 2020/11</t>
  </si>
  <si>
    <t>Fakturace 2020/12</t>
  </si>
  <si>
    <t>Fakturace 2021/10</t>
  </si>
  <si>
    <t>Fakturace 2021/11</t>
  </si>
  <si>
    <t>Fakturace 2021/12</t>
  </si>
  <si>
    <t>Provedeno od počátku</t>
  </si>
  <si>
    <t>Zbývá provést</t>
  </si>
  <si>
    <t>zkrácený popis</t>
  </si>
  <si>
    <t>cena bez DPH</t>
  </si>
  <si>
    <t>Zhotovitel: Jiří Prokop</t>
  </si>
  <si>
    <t>Objednatel: Ing. Tomáš Žitný</t>
  </si>
  <si>
    <t>SOUPIS PROVEDENÝCH PRACÍ K DATU:</t>
  </si>
  <si>
    <t>OBJEKT :</t>
  </si>
  <si>
    <t>Fakturace 2020/5</t>
  </si>
  <si>
    <t>Fakturace 2020/6</t>
  </si>
  <si>
    <t>Fakturace 2020/7</t>
  </si>
  <si>
    <t>Fakturace 2020/8</t>
  </si>
  <si>
    <t>Fakturace 2020/9</t>
  </si>
  <si>
    <t>Fakturace 2021/1</t>
  </si>
  <si>
    <t>Fakturace 2021/2</t>
  </si>
  <si>
    <t>Fakturace 2021/3</t>
  </si>
  <si>
    <t>Fakturace 2021/4</t>
  </si>
  <si>
    <t>Fakturace 2021/5</t>
  </si>
  <si>
    <t>Fakturace 2021/6</t>
  </si>
  <si>
    <t>Fakturace 2021/7</t>
  </si>
  <si>
    <t>Fakturace 2021/8</t>
  </si>
  <si>
    <t>Fakturace 2021/9</t>
  </si>
  <si>
    <t>Fakturace 2022/1</t>
  </si>
  <si>
    <t>Fakturace 2022/2</t>
  </si>
  <si>
    <t>Fakturace 2022/3</t>
  </si>
  <si>
    <t>Č.pol.</t>
  </si>
  <si>
    <t>Kód položky</t>
  </si>
  <si>
    <t>Název</t>
  </si>
  <si>
    <t>Cena/jedn (Kč)</t>
  </si>
  <si>
    <t>Cena celkem</t>
  </si>
  <si>
    <t>množství</t>
  </si>
  <si>
    <t>a</t>
  </si>
  <si>
    <t>CELKEM Povrchy - Komunikace II.tř.</t>
  </si>
  <si>
    <t>CELKEM R1 - Vodovodní řad R1</t>
  </si>
  <si>
    <t>CELKEM R2 - Vodovodní řad R2</t>
  </si>
  <si>
    <t>CELKEM R3 - Vodovodní řad R3</t>
  </si>
  <si>
    <t>CELKEM P - Vodovodní přípojky</t>
  </si>
  <si>
    <t>CELKEM VN - Vedlejší a ostatní náklady</t>
  </si>
  <si>
    <t>procentuálně</t>
  </si>
  <si>
    <t>Nebylo použito v plné míře</t>
  </si>
  <si>
    <t>Poznámky TDS 10/21</t>
  </si>
  <si>
    <t>Opravdu již kompletně dokončno?</t>
  </si>
  <si>
    <t>Prosím ponechat 5% z fakturace</t>
  </si>
  <si>
    <t>za mě ano.</t>
  </si>
  <si>
    <t>opraveno</t>
  </si>
  <si>
    <t>prosím ponechat 5%</t>
  </si>
  <si>
    <t>Poznámky TDS 2/22</t>
  </si>
  <si>
    <t>TDS 2/22</t>
  </si>
  <si>
    <t>OK</t>
  </si>
  <si>
    <t>Nesouhlasím, kdy provedeno?</t>
  </si>
  <si>
    <t>to jsou ty přípojky na R1 vedle hlavní silnice, onehdá jsem Vám psal, že už nestíhám a teď jsem si vzpomněl, že nám to chybí</t>
  </si>
  <si>
    <t>Odkanalizování obcí v povodí Jizery - část B</t>
  </si>
  <si>
    <t>prosím opravit dle skutečné délky</t>
  </si>
  <si>
    <t>Opravdu provedeno?</t>
  </si>
  <si>
    <t>soupis prací je za 1/22</t>
  </si>
  <si>
    <t>po dohodě ponecháno</t>
  </si>
  <si>
    <t>TDS 4/22</t>
  </si>
  <si>
    <t>Fakturace není za 6/2022</t>
  </si>
  <si>
    <t>vážní lístky</t>
  </si>
  <si>
    <t>neprovedeno</t>
  </si>
  <si>
    <t>protokol nebo smazat</t>
  </si>
  <si>
    <t>vážní lískty</t>
  </si>
  <si>
    <t>dodat</t>
  </si>
  <si>
    <t>neprovedeno v této míře</t>
  </si>
  <si>
    <t>neprovedeno v tomto množství</t>
  </si>
  <si>
    <t>Vážní lístky</t>
  </si>
  <si>
    <t>není provedeno</t>
  </si>
  <si>
    <t>Procenta upravit dle dokončenosti neuznatelných nákladů</t>
  </si>
  <si>
    <t>prosím specifikovat</t>
  </si>
  <si>
    <t>Fakturace 2022/4</t>
  </si>
  <si>
    <t>TDS 06/22</t>
  </si>
  <si>
    <t>použito v 07/22</t>
  </si>
  <si>
    <t>Prosím o potvrzení, zda odpovídá kladečskému schématu.</t>
  </si>
  <si>
    <t>Prosím o sdělení, kdy byl osazen k provedení kontroly?</t>
  </si>
  <si>
    <t>osazení poklopů neprovedeno</t>
  </si>
  <si>
    <t>TDS 6/22</t>
  </si>
  <si>
    <t>nesouhlasím s fakturací pažení v plné míře. Stav. Rýhy sice částečně zajištěny byly, ale rozhodně ne ve 100%. 6ádám o ponížení na 65%.</t>
  </si>
  <si>
    <t>Z pískové Lhoty nedochází/nemá docházet k odvozům přebytečného výkopku. Prosím nefakturovat</t>
  </si>
  <si>
    <t>Nutno upravit dle skutečné délky od geodeta stavby, případně ponechat 5%</t>
  </si>
  <si>
    <t>osazení neprovedeno</t>
  </si>
  <si>
    <t>Jak provedeno, když se propojovalo až následně?</t>
  </si>
  <si>
    <t>Opravdu neprovedeno.</t>
  </si>
  <si>
    <t>Jaké prosím?</t>
  </si>
  <si>
    <t>Jaké prosím, jistě ne v objemu 0,6 položky</t>
  </si>
  <si>
    <t xml:space="preserve">viz. Uznatelné </t>
  </si>
  <si>
    <t xml:space="preserve">viz. Uznatelné a pořád zbývá 0,2 </t>
  </si>
  <si>
    <t>OK, to je pravda</t>
  </si>
  <si>
    <t xml:space="preserve">5 % není potřeba ponechat protože dle GZ je provedeno cca 123 m přípojek bez těch na C2-3, takže za mě zbytečné </t>
  </si>
  <si>
    <t>snad ano</t>
  </si>
  <si>
    <t xml:space="preserve">nemyslím že celé, ponižuji </t>
  </si>
  <si>
    <t xml:space="preserve">tak zatím ne, omlouvám se </t>
  </si>
  <si>
    <t>Fakturace 2022/7</t>
  </si>
  <si>
    <t>Ano prosím ponechat</t>
  </si>
  <si>
    <t>j. cena</t>
  </si>
  <si>
    <t>Celková cena</t>
  </si>
  <si>
    <t xml:space="preserve"> Celková cena</t>
  </si>
  <si>
    <t>Vícepráce - méněpráce</t>
  </si>
  <si>
    <t>Celkem dle realizace</t>
  </si>
  <si>
    <t>poměrný přepočet na délku (m) v tabulce geodeta</t>
  </si>
  <si>
    <t>rozdíl délek</t>
  </si>
  <si>
    <t>nenalezeno v geodetickém zaměření</t>
  </si>
  <si>
    <t>Správce stavby: Ing. Jakub Mucha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</si>
</sst>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  <numFmt numFmtId="166" formatCode="#,##0.00\ [$€-1]"/>
    <numFmt numFmtId="167" formatCode="0_ ;\-0\ "/>
    <numFmt numFmtId="168" formatCode="d/m/yyyy;@"/>
    <numFmt numFmtId="169" formatCode="#,##0.000"/>
    <numFmt numFmtId="170" formatCode="_-* #,##0.00\ [$€-1]_-;\-* #,##0.00\ [$€-1]_-;_-* &quot;-&quot;??\ [$€-1]_-;_-@_-"/>
    <numFmt numFmtId="171" formatCode="_-* #,##0\ _K_č_-;\-* #,##0\ _K_č_-;_-* &quot;-&quot;??\ _K_č_-;_-@_-"/>
    <numFmt numFmtId="172" formatCode="#,##0.00\ &quot;Kč&quot;"/>
    <numFmt numFmtId="173" formatCode="#,##0.00_ ;\-#,##0.00\ "/>
  </numFmts>
  <fonts count="85" x14ac:knownFonts="1">
    <font>
      <sz val="8"/>
      <name val="Arial CE"/>
      <family val="2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Arial CE"/>
      <family val="2"/>
    </font>
    <font>
      <sz val="12"/>
      <name val="Arial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0"/>
      <name val="Times New Roman CE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</font>
    <font>
      <sz val="12"/>
      <color indexed="60"/>
      <name val="Arial"/>
      <family val="2"/>
      <charset val="238"/>
    </font>
    <font>
      <b/>
      <sz val="12"/>
      <color indexed="18"/>
      <name val="Arial"/>
      <family val="2"/>
      <charset val="238"/>
    </font>
    <font>
      <sz val="12"/>
      <color indexed="18"/>
      <name val="Arial"/>
      <family val="2"/>
      <charset val="238"/>
    </font>
    <font>
      <sz val="12"/>
      <color indexed="17"/>
      <name val="Arial"/>
      <family val="2"/>
      <charset val="238"/>
    </font>
    <font>
      <sz val="12"/>
      <color indexed="10"/>
      <name val="Arial"/>
      <family val="2"/>
      <charset val="238"/>
    </font>
    <font>
      <sz val="12"/>
      <color indexed="60"/>
      <name val="Arial CE"/>
      <family val="2"/>
      <charset val="238"/>
    </font>
    <font>
      <b/>
      <sz val="12"/>
      <color indexed="18"/>
      <name val="Arial CE"/>
      <family val="2"/>
      <charset val="238"/>
    </font>
    <font>
      <sz val="12"/>
      <color indexed="18"/>
      <name val="Arial CE"/>
      <family val="2"/>
      <charset val="238"/>
    </font>
    <font>
      <sz val="12"/>
      <color indexed="17"/>
      <name val="Arial CE"/>
      <family val="2"/>
      <charset val="238"/>
    </font>
    <font>
      <sz val="12"/>
      <color indexed="10"/>
      <name val="Arial CE"/>
      <family val="2"/>
      <charset val="238"/>
    </font>
    <font>
      <b/>
      <sz val="12"/>
      <name val="Arial"/>
      <family val="2"/>
    </font>
    <font>
      <sz val="8"/>
      <name val="Arial"/>
      <family val="2"/>
      <charset val="238"/>
    </font>
    <font>
      <b/>
      <sz val="8"/>
      <color indexed="12"/>
      <name val="Arial"/>
      <family val="2"/>
    </font>
    <font>
      <sz val="8"/>
      <color indexed="18"/>
      <name val="Arial"/>
      <family val="2"/>
      <charset val="238"/>
    </font>
    <font>
      <b/>
      <sz val="8"/>
      <name val="Arial"/>
      <family val="2"/>
    </font>
    <font>
      <sz val="8"/>
      <name val="Arial CE"/>
      <family val="2"/>
      <charset val="238"/>
    </font>
    <font>
      <sz val="8"/>
      <color indexed="17"/>
      <name val="Arial"/>
      <family val="2"/>
      <charset val="238"/>
    </font>
    <font>
      <sz val="8"/>
      <color indexed="10"/>
      <name val="Arial"/>
      <family val="2"/>
      <charset val="238"/>
    </font>
    <font>
      <b/>
      <sz val="9"/>
      <name val="Arial CE"/>
      <family val="2"/>
      <charset val="238"/>
    </font>
    <font>
      <b/>
      <sz val="9"/>
      <color indexed="60"/>
      <name val="Arial"/>
      <family val="2"/>
    </font>
    <font>
      <b/>
      <sz val="9"/>
      <color indexed="18"/>
      <name val="Arial"/>
      <family val="2"/>
    </font>
    <font>
      <b/>
      <sz val="9"/>
      <color indexed="17"/>
      <name val="Arial"/>
      <family val="2"/>
    </font>
    <font>
      <b/>
      <sz val="9"/>
      <color indexed="10"/>
      <name val="Arial"/>
      <family val="2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60"/>
      <name val="Arial CE"/>
      <family val="2"/>
      <charset val="238"/>
    </font>
    <font>
      <sz val="9"/>
      <color indexed="17"/>
      <name val="Arial"/>
      <family val="2"/>
    </font>
    <font>
      <sz val="9"/>
      <color indexed="17"/>
      <name val="Arial CE"/>
      <family val="2"/>
      <charset val="238"/>
    </font>
    <font>
      <sz val="9"/>
      <color indexed="10"/>
      <name val="Arial"/>
      <family val="2"/>
    </font>
    <font>
      <sz val="9"/>
      <color indexed="10"/>
      <name val="Arial CE"/>
      <family val="2"/>
      <charset val="238"/>
    </font>
    <font>
      <b/>
      <sz val="12"/>
      <color theme="5" tint="-0.249977111117893"/>
      <name val="Arial CE"/>
      <family val="2"/>
      <charset val="238"/>
    </font>
    <font>
      <b/>
      <sz val="12"/>
      <color indexed="18"/>
      <name val="Arial"/>
      <family val="2"/>
    </font>
    <font>
      <b/>
      <sz val="12"/>
      <color indexed="17"/>
      <name val="Arial"/>
      <family val="2"/>
    </font>
    <font>
      <b/>
      <sz val="12"/>
      <color indexed="17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color indexed="60"/>
      <name val="Arial CE"/>
      <family val="2"/>
      <charset val="238"/>
    </font>
    <font>
      <sz val="10"/>
      <color indexed="6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b/>
      <sz val="10"/>
      <color indexed="60"/>
      <name val="Arial CE"/>
      <family val="2"/>
      <charset val="238"/>
    </font>
    <font>
      <b/>
      <sz val="10"/>
      <name val="Arial CE"/>
      <family val="2"/>
      <charset val="238"/>
    </font>
    <font>
      <b/>
      <sz val="9"/>
      <name val="Arial"/>
      <family val="2"/>
      <charset val="238"/>
    </font>
    <font>
      <b/>
      <sz val="9"/>
      <color indexed="60"/>
      <name val="Arial CE"/>
      <family val="2"/>
      <charset val="238"/>
    </font>
    <font>
      <b/>
      <sz val="9"/>
      <color indexed="18"/>
      <name val="Arial CE"/>
      <family val="2"/>
      <charset val="238"/>
    </font>
    <font>
      <b/>
      <sz val="9"/>
      <color indexed="17"/>
      <name val="Arial CE"/>
      <family val="2"/>
      <charset val="238"/>
    </font>
    <font>
      <b/>
      <sz val="9"/>
      <color indexed="10"/>
      <name val="Arial CE"/>
      <family val="2"/>
      <charset val="238"/>
    </font>
    <font>
      <sz val="9"/>
      <color indexed="18"/>
      <name val="Arial"/>
      <family val="2"/>
      <charset val="238"/>
    </font>
    <font>
      <b/>
      <sz val="9"/>
      <color indexed="18"/>
      <name val="Arial"/>
      <family val="2"/>
      <charset val="238"/>
    </font>
    <font>
      <sz val="9"/>
      <color indexed="18"/>
      <name val="Arial CE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22"/>
      <name val="Arial CE"/>
      <family val="2"/>
      <charset val="238"/>
    </font>
    <font>
      <sz val="9"/>
      <color indexed="9"/>
      <name val="Arial"/>
      <family val="2"/>
      <charset val="238"/>
    </font>
    <font>
      <sz val="10"/>
      <color indexed="9"/>
      <name val="Arial CE"/>
      <family val="2"/>
      <charset val="238"/>
    </font>
    <font>
      <sz val="9"/>
      <color rgb="FFFF0000"/>
      <name val="Arial"/>
      <family val="2"/>
    </font>
    <font>
      <b/>
      <sz val="11"/>
      <color indexed="10"/>
      <name val="Arial CE"/>
      <family val="2"/>
      <charset val="238"/>
    </font>
    <font>
      <b/>
      <sz val="11"/>
      <name val="Arial CE"/>
      <family val="2"/>
      <charset val="238"/>
    </font>
    <font>
      <b/>
      <sz val="11"/>
      <color theme="6" tint="-0.499984740745262"/>
      <name val="Arial"/>
      <family val="2"/>
    </font>
    <font>
      <b/>
      <sz val="11"/>
      <color indexed="17"/>
      <name val="Arial"/>
      <family val="2"/>
    </font>
    <font>
      <sz val="9"/>
      <color theme="3"/>
      <name val="Arial"/>
      <family val="2"/>
    </font>
    <font>
      <sz val="8"/>
      <color theme="0"/>
      <name val="Arial CE"/>
      <family val="2"/>
    </font>
    <font>
      <b/>
      <sz val="9"/>
      <color theme="0"/>
      <name val="Arial CE"/>
      <family val="2"/>
      <charset val="238"/>
    </font>
    <font>
      <sz val="9"/>
      <color theme="0"/>
      <name val="Arial"/>
      <family val="2"/>
      <charset val="238"/>
    </font>
    <font>
      <sz val="9"/>
      <color theme="3"/>
      <name val="Arial"/>
      <family val="2"/>
      <charset val="238"/>
    </font>
    <font>
      <sz val="9"/>
      <color theme="3"/>
      <name val="Arial CE"/>
      <family val="2"/>
      <charset val="238"/>
    </font>
    <font>
      <sz val="8"/>
      <color theme="3"/>
      <name val="Arial CE"/>
      <family val="2"/>
      <charset val="238"/>
    </font>
    <font>
      <sz val="10"/>
      <color theme="3"/>
      <name val="Arial CE"/>
      <family val="2"/>
      <charset val="238"/>
    </font>
    <font>
      <sz val="12"/>
      <color theme="3"/>
      <name val="Arial CE"/>
      <family val="2"/>
      <charset val="238"/>
    </font>
    <font>
      <sz val="9"/>
      <name val="Arial"/>
      <family val="2"/>
    </font>
    <font>
      <sz val="11"/>
      <name val="Arial CE"/>
      <family val="2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/>
    <xf numFmtId="0" fontId="12" fillId="0" borderId="0"/>
    <xf numFmtId="0" fontId="10" fillId="0" borderId="0"/>
  </cellStyleXfs>
  <cellXfs count="259">
    <xf numFmtId="0" fontId="0" fillId="0" borderId="0" xfId="0"/>
    <xf numFmtId="0" fontId="0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/>
    <xf numFmtId="0" fontId="0" fillId="0" borderId="0" xfId="3" applyFont="1" applyBorder="1" applyAlignment="1">
      <alignment horizontal="right"/>
    </xf>
    <xf numFmtId="0" fontId="33" fillId="0" borderId="0" xfId="3" applyFont="1" applyBorder="1" applyAlignment="1">
      <alignment vertical="center"/>
    </xf>
    <xf numFmtId="42" fontId="33" fillId="0" borderId="0" xfId="3" applyNumberFormat="1" applyFont="1" applyBorder="1" applyAlignment="1">
      <alignment horizontal="center" vertical="center" wrapText="1"/>
    </xf>
    <xf numFmtId="170" fontId="38" fillId="0" borderId="0" xfId="3" applyNumberFormat="1" applyFont="1" applyBorder="1" applyAlignment="1">
      <alignment horizontal="center" vertical="center" wrapText="1"/>
    </xf>
    <xf numFmtId="170" fontId="39" fillId="0" borderId="0" xfId="3" applyNumberFormat="1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0" fillId="0" borderId="0" xfId="0" applyBorder="1"/>
    <xf numFmtId="0" fontId="13" fillId="0" borderId="0" xfId="0" applyFont="1" applyBorder="1"/>
    <xf numFmtId="0" fontId="51" fillId="0" borderId="0" xfId="0" applyFont="1" applyBorder="1"/>
    <xf numFmtId="165" fontId="13" fillId="0" borderId="0" xfId="4" applyNumberFormat="1" applyFont="1" applyBorder="1" applyAlignment="1">
      <alignment horizontal="right"/>
    </xf>
    <xf numFmtId="42" fontId="13" fillId="0" borderId="0" xfId="0" applyNumberFormat="1" applyFont="1" applyBorder="1" applyAlignment="1"/>
    <xf numFmtId="0" fontId="11" fillId="0" borderId="0" xfId="3" applyFont="1" applyBorder="1"/>
    <xf numFmtId="0" fontId="53" fillId="0" borderId="0" xfId="0" applyFont="1" applyBorder="1"/>
    <xf numFmtId="0" fontId="33" fillId="0" borderId="0" xfId="5" applyFont="1" applyFill="1" applyBorder="1"/>
    <xf numFmtId="49" fontId="57" fillId="0" borderId="0" xfId="5" applyNumberFormat="1" applyFont="1" applyFill="1" applyBorder="1" applyAlignment="1" applyProtection="1">
      <alignment horizontal="center" vertical="center"/>
    </xf>
    <xf numFmtId="169" fontId="57" fillId="0" borderId="0" xfId="5" applyNumberFormat="1" applyFont="1" applyFill="1" applyBorder="1" applyAlignment="1" applyProtection="1">
      <alignment horizontal="center" vertical="center"/>
    </xf>
    <xf numFmtId="9" fontId="57" fillId="0" borderId="0" xfId="5" applyNumberFormat="1" applyFont="1" applyFill="1" applyBorder="1" applyAlignment="1" applyProtection="1">
      <alignment horizontal="center" vertical="center"/>
    </xf>
    <xf numFmtId="44" fontId="53" fillId="0" borderId="0" xfId="5" applyNumberFormat="1" applyFont="1" applyFill="1" applyBorder="1" applyAlignment="1" applyProtection="1">
      <alignment horizontal="center" vertical="center"/>
    </xf>
    <xf numFmtId="170" fontId="58" fillId="0" borderId="0" xfId="3" applyNumberFormat="1" applyFont="1" applyBorder="1" applyAlignment="1">
      <alignment horizontal="center" vertical="center"/>
    </xf>
    <xf numFmtId="170" fontId="58" fillId="0" borderId="0" xfId="3" applyNumberFormat="1" applyFont="1" applyBorder="1" applyAlignment="1">
      <alignment horizontal="center" vertical="center" wrapText="1"/>
    </xf>
    <xf numFmtId="170" fontId="59" fillId="0" borderId="0" xfId="3" applyNumberFormat="1" applyFont="1" applyBorder="1" applyAlignment="1">
      <alignment horizontal="center" vertical="center"/>
    </xf>
    <xf numFmtId="0" fontId="0" fillId="4" borderId="0" xfId="0" applyFill="1" applyBorder="1"/>
    <xf numFmtId="49" fontId="65" fillId="4" borderId="0" xfId="0" applyNumberFormat="1" applyFont="1" applyFill="1" applyBorder="1" applyAlignment="1" applyProtection="1">
      <alignment horizontal="left" vertical="center"/>
    </xf>
    <xf numFmtId="0" fontId="56" fillId="4" borderId="0" xfId="0" applyFont="1" applyFill="1" applyBorder="1"/>
    <xf numFmtId="2" fontId="56" fillId="4" borderId="0" xfId="0" applyNumberFormat="1" applyFont="1" applyFill="1" applyBorder="1"/>
    <xf numFmtId="44" fontId="53" fillId="4" borderId="0" xfId="0" applyNumberFormat="1" applyFont="1" applyFill="1" applyBorder="1"/>
    <xf numFmtId="0" fontId="51" fillId="4" borderId="0" xfId="0" applyFont="1" applyFill="1" applyBorder="1"/>
    <xf numFmtId="0" fontId="66" fillId="4" borderId="0" xfId="0" applyFont="1" applyFill="1" applyBorder="1"/>
    <xf numFmtId="0" fontId="10" fillId="4" borderId="0" xfId="0" applyFont="1" applyFill="1" applyBorder="1"/>
    <xf numFmtId="2" fontId="0" fillId="0" borderId="0" xfId="0" applyNumberFormat="1" applyBorder="1"/>
    <xf numFmtId="173" fontId="67" fillId="0" borderId="0" xfId="3" applyNumberFormat="1" applyFont="1" applyBorder="1" applyAlignment="1">
      <alignment horizontal="right" vertical="center" wrapText="1"/>
    </xf>
    <xf numFmtId="0" fontId="68" fillId="0" borderId="0" xfId="0" applyFont="1" applyBorder="1"/>
    <xf numFmtId="173" fontId="67" fillId="0" borderId="0" xfId="3" applyNumberFormat="1" applyFont="1" applyBorder="1" applyAlignment="1">
      <alignment horizontal="right" vertical="center"/>
    </xf>
    <xf numFmtId="173" fontId="67" fillId="0" borderId="0" xfId="3" applyNumberFormat="1" applyFont="1" applyFill="1" applyBorder="1" applyAlignment="1">
      <alignment horizontal="right" vertical="center"/>
    </xf>
    <xf numFmtId="0" fontId="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protection locked="0"/>
    </xf>
    <xf numFmtId="4" fontId="3" fillId="0" borderId="0" xfId="0" applyNumberFormat="1" applyFont="1" applyBorder="1" applyAlignment="1" applyProtection="1"/>
    <xf numFmtId="0" fontId="4" fillId="0" borderId="0" xfId="0" applyFont="1" applyBorder="1" applyAlignment="1" applyProtection="1">
      <alignment horizontal="left"/>
    </xf>
    <xf numFmtId="4" fontId="4" fillId="0" borderId="0" xfId="0" applyNumberFormat="1" applyFont="1" applyBorder="1" applyAlignment="1" applyProtection="1"/>
    <xf numFmtId="170" fontId="60" fillId="0" borderId="1" xfId="3" applyNumberFormat="1" applyFont="1" applyBorder="1" applyAlignment="1">
      <alignment horizontal="center" vertical="center"/>
    </xf>
    <xf numFmtId="170" fontId="60" fillId="0" borderId="1" xfId="3" applyNumberFormat="1" applyFont="1" applyBorder="1" applyAlignment="1">
      <alignment horizontal="center" vertical="center" wrapText="1"/>
    </xf>
    <xf numFmtId="170" fontId="61" fillId="0" borderId="1" xfId="3" applyNumberFormat="1" applyFont="1" applyBorder="1" applyAlignment="1">
      <alignment horizontal="center" vertical="center"/>
    </xf>
    <xf numFmtId="170" fontId="61" fillId="0" borderId="1" xfId="3" applyNumberFormat="1" applyFont="1" applyBorder="1" applyAlignment="1">
      <alignment horizontal="center" vertical="center" wrapText="1"/>
    </xf>
    <xf numFmtId="170" fontId="61" fillId="0" borderId="5" xfId="3" applyNumberFormat="1" applyFont="1" applyBorder="1" applyAlignment="1">
      <alignment horizontal="center" vertical="center" wrapText="1"/>
    </xf>
    <xf numFmtId="0" fontId="0" fillId="0" borderId="6" xfId="0" applyFont="1" applyBorder="1" applyAlignment="1" applyProtection="1">
      <alignment horizontal="center" vertical="center"/>
    </xf>
    <xf numFmtId="49" fontId="0" fillId="0" borderId="6" xfId="0" applyNumberFormat="1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horizontal="left" vertical="center" wrapText="1"/>
    </xf>
    <xf numFmtId="0" fontId="0" fillId="0" borderId="6" xfId="0" applyFont="1" applyBorder="1" applyAlignment="1" applyProtection="1">
      <alignment horizontal="center" vertical="center" wrapText="1"/>
    </xf>
    <xf numFmtId="4" fontId="0" fillId="0" borderId="6" xfId="0" applyNumberFormat="1" applyFont="1" applyBorder="1" applyAlignment="1" applyProtection="1">
      <alignment vertical="center"/>
    </xf>
    <xf numFmtId="4" fontId="0" fillId="2" borderId="6" xfId="0" applyNumberFormat="1" applyFont="1" applyFill="1" applyBorder="1" applyAlignment="1" applyProtection="1">
      <alignment vertical="center"/>
      <protection locked="0"/>
    </xf>
    <xf numFmtId="173" fontId="40" fillId="0" borderId="6" xfId="3" applyNumberFormat="1" applyFont="1" applyBorder="1" applyAlignment="1">
      <alignment horizontal="right" vertical="center" wrapText="1"/>
    </xf>
    <xf numFmtId="172" fontId="40" fillId="0" borderId="6" xfId="3" applyNumberFormat="1" applyFont="1" applyBorder="1" applyAlignment="1">
      <alignment vertical="center" wrapText="1"/>
    </xf>
    <xf numFmtId="173" fontId="62" fillId="0" borderId="6" xfId="3" applyNumberFormat="1" applyFont="1" applyBorder="1" applyAlignment="1">
      <alignment horizontal="right" vertical="center" wrapText="1"/>
    </xf>
    <xf numFmtId="44" fontId="63" fillId="0" borderId="6" xfId="3" applyNumberFormat="1" applyFont="1" applyBorder="1" applyAlignment="1">
      <alignment horizontal="left" vertical="center"/>
    </xf>
    <xf numFmtId="173" fontId="64" fillId="0" borderId="6" xfId="3" applyNumberFormat="1" applyFont="1" applyBorder="1" applyAlignment="1">
      <alignment horizontal="right" vertical="center"/>
    </xf>
    <xf numFmtId="173" fontId="62" fillId="0" borderId="6" xfId="3" applyNumberFormat="1" applyFont="1" applyBorder="1" applyAlignment="1">
      <alignment horizontal="right" vertical="center"/>
    </xf>
    <xf numFmtId="173" fontId="42" fillId="0" borderId="6" xfId="3" applyNumberFormat="1" applyFont="1" applyBorder="1" applyAlignment="1">
      <alignment horizontal="right" vertical="center"/>
    </xf>
    <xf numFmtId="172" fontId="42" fillId="0" borderId="6" xfId="3" applyNumberFormat="1" applyFont="1" applyBorder="1" applyAlignment="1">
      <alignment vertical="center"/>
    </xf>
    <xf numFmtId="10" fontId="41" fillId="0" borderId="6" xfId="2" applyNumberFormat="1" applyFont="1" applyBorder="1" applyAlignment="1">
      <alignment horizontal="right" vertical="center"/>
    </xf>
    <xf numFmtId="4" fontId="43" fillId="0" borderId="6" xfId="2" applyNumberFormat="1" applyFont="1" applyBorder="1" applyAlignment="1">
      <alignment horizontal="right" vertical="center"/>
    </xf>
    <xf numFmtId="172" fontId="44" fillId="0" borderId="6" xfId="3" applyNumberFormat="1" applyFont="1" applyBorder="1" applyAlignment="1">
      <alignment vertical="center"/>
    </xf>
    <xf numFmtId="0" fontId="5" fillId="0" borderId="6" xfId="0" applyFont="1" applyBorder="1" applyAlignment="1" applyProtection="1"/>
    <xf numFmtId="0" fontId="5" fillId="0" borderId="6" xfId="0" applyFont="1" applyBorder="1" applyAlignment="1" applyProtection="1">
      <alignment horizontal="left"/>
    </xf>
    <xf numFmtId="0" fontId="4" fillId="0" borderId="6" xfId="0" applyFont="1" applyBorder="1" applyAlignment="1" applyProtection="1">
      <alignment horizontal="left"/>
    </xf>
    <xf numFmtId="0" fontId="5" fillId="0" borderId="6" xfId="0" applyFont="1" applyBorder="1" applyAlignment="1" applyProtection="1">
      <protection locked="0"/>
    </xf>
    <xf numFmtId="4" fontId="4" fillId="0" borderId="6" xfId="0" applyNumberFormat="1" applyFont="1" applyBorder="1" applyAlignment="1" applyProtection="1"/>
    <xf numFmtId="0" fontId="7" fillId="0" borderId="6" xfId="0" applyFont="1" applyBorder="1" applyAlignment="1" applyProtection="1">
      <alignment horizontal="center" vertical="center"/>
    </xf>
    <xf numFmtId="49" fontId="7" fillId="0" borderId="6" xfId="0" applyNumberFormat="1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center" vertical="center" wrapText="1"/>
    </xf>
    <xf numFmtId="4" fontId="7" fillId="0" borderId="6" xfId="0" applyNumberFormat="1" applyFont="1" applyBorder="1" applyAlignment="1" applyProtection="1">
      <alignment vertical="center"/>
    </xf>
    <xf numFmtId="4" fontId="7" fillId="2" borderId="6" xfId="0" applyNumberFormat="1" applyFont="1" applyFill="1" applyBorder="1" applyAlignment="1" applyProtection="1">
      <alignment vertical="center"/>
      <protection locked="0"/>
    </xf>
    <xf numFmtId="0" fontId="0" fillId="0" borderId="0" xfId="0" applyBorder="1" applyAlignment="1"/>
    <xf numFmtId="170" fontId="59" fillId="0" borderId="0" xfId="3" applyNumberFormat="1" applyFont="1" applyBorder="1" applyAlignment="1">
      <alignment horizontal="center" vertical="center" wrapText="1"/>
    </xf>
    <xf numFmtId="170" fontId="59" fillId="0" borderId="0" xfId="3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42" fontId="14" fillId="0" borderId="0" xfId="3" applyNumberFormat="1" applyFont="1" applyBorder="1" applyAlignment="1">
      <alignment horizontal="left"/>
    </xf>
    <xf numFmtId="0" fontId="15" fillId="0" borderId="0" xfId="0" applyFont="1" applyBorder="1"/>
    <xf numFmtId="42" fontId="10" fillId="0" borderId="0" xfId="3" applyNumberFormat="1" applyFont="1" applyBorder="1" applyAlignment="1"/>
    <xf numFmtId="0" fontId="16" fillId="0" borderId="0" xfId="0" applyFont="1" applyBorder="1"/>
    <xf numFmtId="44" fontId="16" fillId="0" borderId="0" xfId="0" applyNumberFormat="1" applyFont="1" applyBorder="1"/>
    <xf numFmtId="44" fontId="17" fillId="0" borderId="0" xfId="0" applyNumberFormat="1" applyFont="1" applyBorder="1"/>
    <xf numFmtId="0" fontId="18" fillId="0" borderId="0" xfId="0" applyFont="1" applyBorder="1"/>
    <xf numFmtId="166" fontId="18" fillId="0" borderId="0" xfId="0" applyNumberFormat="1" applyFont="1" applyBorder="1"/>
    <xf numFmtId="0" fontId="19" fillId="0" borderId="0" xfId="0" applyFont="1" applyBorder="1"/>
    <xf numFmtId="0" fontId="20" fillId="0" borderId="0" xfId="3" applyFont="1" applyBorder="1"/>
    <xf numFmtId="0" fontId="21" fillId="0" borderId="0" xfId="3" applyFont="1" applyBorder="1"/>
    <xf numFmtId="44" fontId="21" fillId="0" borderId="0" xfId="3" applyNumberFormat="1" applyFont="1" applyBorder="1"/>
    <xf numFmtId="44" fontId="22" fillId="0" borderId="0" xfId="3" applyNumberFormat="1" applyFont="1" applyBorder="1"/>
    <xf numFmtId="0" fontId="23" fillId="0" borderId="0" xfId="3" applyFont="1" applyBorder="1"/>
    <xf numFmtId="166" fontId="23" fillId="0" borderId="0" xfId="3" applyNumberFormat="1" applyFont="1" applyBorder="1"/>
    <xf numFmtId="0" fontId="24" fillId="0" borderId="0" xfId="3" applyFont="1" applyBorder="1"/>
    <xf numFmtId="42" fontId="13" fillId="0" borderId="0" xfId="0" applyNumberFormat="1" applyFont="1" applyBorder="1" applyAlignment="1">
      <alignment horizontal="left"/>
    </xf>
    <xf numFmtId="165" fontId="9" fillId="0" borderId="0" xfId="4" applyNumberFormat="1" applyFont="1" applyBorder="1" applyAlignment="1">
      <alignment horizontal="right"/>
    </xf>
    <xf numFmtId="49" fontId="25" fillId="0" borderId="0" xfId="0" applyNumberFormat="1" applyFont="1" applyBorder="1" applyAlignment="1">
      <alignment horizontal="right"/>
    </xf>
    <xf numFmtId="0" fontId="26" fillId="0" borderId="0" xfId="0" applyFont="1" applyBorder="1"/>
    <xf numFmtId="0" fontId="27" fillId="0" borderId="0" xfId="3" applyFont="1" applyBorder="1"/>
    <xf numFmtId="44" fontId="28" fillId="0" borderId="0" xfId="0" applyNumberFormat="1" applyFont="1" applyFill="1" applyBorder="1"/>
    <xf numFmtId="49" fontId="25" fillId="0" borderId="0" xfId="0" applyNumberFormat="1" applyFont="1" applyFill="1" applyBorder="1" applyAlignment="1">
      <alignment horizontal="right"/>
    </xf>
    <xf numFmtId="168" fontId="25" fillId="0" borderId="0" xfId="0" applyNumberFormat="1" applyFont="1" applyFill="1" applyBorder="1" applyAlignment="1"/>
    <xf numFmtId="0" fontId="29" fillId="0" borderId="0" xfId="3" applyFont="1" applyBorder="1"/>
    <xf numFmtId="0" fontId="30" fillId="0" borderId="0" xfId="3" applyFont="1" applyBorder="1"/>
    <xf numFmtId="44" fontId="28" fillId="0" borderId="0" xfId="0" applyNumberFormat="1" applyFont="1" applyBorder="1"/>
    <xf numFmtId="0" fontId="31" fillId="0" borderId="0" xfId="0" applyFont="1" applyBorder="1"/>
    <xf numFmtId="166" fontId="31" fillId="0" borderId="0" xfId="0" applyNumberFormat="1" applyFont="1" applyBorder="1"/>
    <xf numFmtId="0" fontId="32" fillId="0" borderId="0" xfId="0" applyFont="1" applyBorder="1"/>
    <xf numFmtId="0" fontId="10" fillId="0" borderId="0" xfId="3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4" fontId="45" fillId="0" borderId="0" xfId="0" applyNumberFormat="1" applyFont="1" applyFill="1" applyBorder="1" applyAlignment="1">
      <alignment horizontal="right" vertical="center"/>
    </xf>
    <xf numFmtId="44" fontId="46" fillId="0" borderId="0" xfId="3" applyNumberFormat="1" applyFont="1" applyBorder="1" applyAlignment="1">
      <alignment horizontal="left" vertical="center"/>
    </xf>
    <xf numFmtId="10" fontId="47" fillId="0" borderId="0" xfId="2" applyNumberFormat="1" applyFont="1" applyBorder="1" applyAlignment="1">
      <alignment horizontal="right" vertical="center"/>
    </xf>
    <xf numFmtId="42" fontId="48" fillId="0" borderId="0" xfId="3" applyNumberFormat="1" applyFont="1" applyBorder="1" applyAlignment="1">
      <alignment vertical="center"/>
    </xf>
    <xf numFmtId="4" fontId="1" fillId="0" borderId="0" xfId="0" applyNumberFormat="1" applyFont="1" applyFill="1" applyBorder="1" applyAlignment="1">
      <alignment vertical="center"/>
    </xf>
    <xf numFmtId="0" fontId="49" fillId="0" borderId="0" xfId="0" applyFont="1" applyFill="1" applyBorder="1" applyAlignment="1">
      <alignment vertical="center"/>
    </xf>
    <xf numFmtId="4" fontId="49" fillId="0" borderId="0" xfId="0" applyNumberFormat="1" applyFont="1" applyFill="1" applyBorder="1" applyAlignment="1">
      <alignment vertical="center"/>
    </xf>
    <xf numFmtId="0" fontId="10" fillId="0" borderId="2" xfId="3" applyFont="1" applyBorder="1" applyAlignment="1">
      <alignment vertical="center"/>
    </xf>
    <xf numFmtId="0" fontId="10" fillId="0" borderId="3" xfId="3" applyFont="1" applyBorder="1" applyAlignment="1">
      <alignment vertical="center"/>
    </xf>
    <xf numFmtId="42" fontId="33" fillId="0" borderId="3" xfId="3" applyNumberFormat="1" applyFont="1" applyBorder="1" applyAlignment="1">
      <alignment horizontal="center" vertical="center"/>
    </xf>
    <xf numFmtId="0" fontId="33" fillId="0" borderId="7" xfId="3" applyFont="1" applyBorder="1" applyAlignment="1">
      <alignment vertical="center"/>
    </xf>
    <xf numFmtId="0" fontId="33" fillId="0" borderId="1" xfId="3" applyFont="1" applyBorder="1" applyAlignment="1">
      <alignment vertical="center"/>
    </xf>
    <xf numFmtId="42" fontId="33" fillId="0" borderId="1" xfId="3" applyNumberFormat="1" applyFont="1" applyBorder="1" applyAlignment="1">
      <alignment horizontal="center" vertical="center" wrapText="1"/>
    </xf>
    <xf numFmtId="0" fontId="49" fillId="0" borderId="6" xfId="0" applyFont="1" applyFill="1" applyBorder="1" applyAlignment="1">
      <alignment horizontal="center" vertical="center"/>
    </xf>
    <xf numFmtId="0" fontId="49" fillId="0" borderId="6" xfId="0" applyFont="1" applyFill="1" applyBorder="1" applyAlignment="1">
      <alignment vertical="center"/>
    </xf>
    <xf numFmtId="4" fontId="50" fillId="0" borderId="6" xfId="1" applyNumberFormat="1" applyFont="1" applyFill="1" applyBorder="1" applyAlignment="1">
      <alignment horizontal="right" vertical="center"/>
    </xf>
    <xf numFmtId="44" fontId="42" fillId="0" borderId="6" xfId="3" applyNumberFormat="1" applyFont="1" applyFill="1" applyBorder="1" applyAlignment="1">
      <alignment vertical="center"/>
    </xf>
    <xf numFmtId="10" fontId="43" fillId="0" borderId="6" xfId="2" applyNumberFormat="1" applyFont="1" applyBorder="1" applyAlignment="1">
      <alignment horizontal="right" vertical="center"/>
    </xf>
    <xf numFmtId="44" fontId="44" fillId="0" borderId="6" xfId="3" applyNumberFormat="1" applyFont="1" applyBorder="1" applyAlignment="1">
      <alignment vertical="center"/>
    </xf>
    <xf numFmtId="44" fontId="52" fillId="0" borderId="0" xfId="0" applyNumberFormat="1" applyFont="1" applyBorder="1"/>
    <xf numFmtId="166" fontId="19" fillId="0" borderId="0" xfId="0" applyNumberFormat="1" applyFont="1" applyBorder="1"/>
    <xf numFmtId="44" fontId="52" fillId="0" borderId="0" xfId="3" applyNumberFormat="1" applyFont="1" applyBorder="1"/>
    <xf numFmtId="166" fontId="24" fillId="0" borderId="0" xfId="3" applyNumberFormat="1" applyFont="1" applyBorder="1"/>
    <xf numFmtId="167" fontId="13" fillId="0" borderId="0" xfId="0" applyNumberFormat="1" applyFont="1" applyBorder="1" applyAlignment="1">
      <alignment horizontal="center"/>
    </xf>
    <xf numFmtId="0" fontId="54" fillId="0" borderId="0" xfId="3" applyFont="1" applyBorder="1"/>
    <xf numFmtId="0" fontId="55" fillId="0" borderId="0" xfId="3" applyFont="1" applyBorder="1" applyAlignment="1">
      <alignment horizontal="right"/>
    </xf>
    <xf numFmtId="49" fontId="54" fillId="0" borderId="0" xfId="0" applyNumberFormat="1" applyFont="1" applyBorder="1" applyAlignment="1">
      <alignment horizontal="right"/>
    </xf>
    <xf numFmtId="0" fontId="56" fillId="0" borderId="0" xfId="3" applyFont="1" applyBorder="1" applyAlignment="1">
      <alignment horizontal="right"/>
    </xf>
    <xf numFmtId="0" fontId="56" fillId="0" borderId="0" xfId="0" applyFont="1" applyFill="1" applyBorder="1"/>
    <xf numFmtId="172" fontId="53" fillId="0" borderId="0" xfId="0" applyNumberFormat="1" applyFont="1" applyBorder="1"/>
    <xf numFmtId="170" fontId="60" fillId="0" borderId="0" xfId="3" applyNumberFormat="1" applyFont="1" applyBorder="1" applyAlignment="1">
      <alignment horizontal="center" vertical="center"/>
    </xf>
    <xf numFmtId="170" fontId="60" fillId="0" borderId="0" xfId="3" applyNumberFormat="1" applyFont="1" applyBorder="1" applyAlignment="1">
      <alignment horizontal="center" vertical="center" wrapText="1"/>
    </xf>
    <xf numFmtId="170" fontId="61" fillId="0" borderId="0" xfId="3" applyNumberFormat="1" applyFont="1" applyBorder="1" applyAlignment="1">
      <alignment horizontal="center" vertical="center"/>
    </xf>
    <xf numFmtId="170" fontId="61" fillId="0" borderId="0" xfId="3" applyNumberFormat="1" applyFont="1" applyBorder="1" applyAlignment="1">
      <alignment horizontal="center" vertical="center" wrapText="1"/>
    </xf>
    <xf numFmtId="173" fontId="40" fillId="0" borderId="0" xfId="3" applyNumberFormat="1" applyFont="1" applyBorder="1" applyAlignment="1">
      <alignment horizontal="right" vertical="center" wrapText="1"/>
    </xf>
    <xf numFmtId="172" fontId="40" fillId="0" borderId="0" xfId="3" applyNumberFormat="1" applyFont="1" applyBorder="1" applyAlignment="1">
      <alignment vertical="center" wrapText="1"/>
    </xf>
    <xf numFmtId="173" fontId="62" fillId="0" borderId="0" xfId="3" applyNumberFormat="1" applyFont="1" applyBorder="1" applyAlignment="1">
      <alignment horizontal="right" vertical="center" wrapText="1"/>
    </xf>
    <xf numFmtId="44" fontId="63" fillId="0" borderId="0" xfId="3" applyNumberFormat="1" applyFont="1" applyBorder="1" applyAlignment="1">
      <alignment horizontal="left" vertical="center"/>
    </xf>
    <xf numFmtId="173" fontId="64" fillId="0" borderId="0" xfId="3" applyNumberFormat="1" applyFont="1" applyBorder="1" applyAlignment="1">
      <alignment horizontal="right" vertical="center"/>
    </xf>
    <xf numFmtId="173" fontId="62" fillId="0" borderId="0" xfId="3" applyNumberFormat="1" applyFont="1" applyBorder="1" applyAlignment="1">
      <alignment horizontal="right" vertical="center"/>
    </xf>
    <xf numFmtId="173" fontId="42" fillId="0" borderId="0" xfId="3" applyNumberFormat="1" applyFont="1" applyBorder="1" applyAlignment="1">
      <alignment horizontal="right" vertical="center"/>
    </xf>
    <xf numFmtId="172" fontId="42" fillId="0" borderId="0" xfId="3" applyNumberFormat="1" applyFont="1" applyBorder="1" applyAlignment="1">
      <alignment vertical="center"/>
    </xf>
    <xf numFmtId="4" fontId="43" fillId="0" borderId="0" xfId="2" applyNumberFormat="1" applyFont="1" applyBorder="1" applyAlignment="1">
      <alignment horizontal="right" vertical="center"/>
    </xf>
    <xf numFmtId="172" fontId="44" fillId="0" borderId="0" xfId="3" applyNumberFormat="1" applyFont="1" applyBorder="1" applyAlignment="1">
      <alignment vertical="center"/>
    </xf>
    <xf numFmtId="0" fontId="5" fillId="0" borderId="0" xfId="0" applyFont="1" applyBorder="1" applyAlignment="1"/>
    <xf numFmtId="0" fontId="0" fillId="0" borderId="0" xfId="0" applyBorder="1" applyProtection="1">
      <protection locked="0"/>
    </xf>
    <xf numFmtId="0" fontId="33" fillId="0" borderId="2" xfId="5" applyFont="1" applyFill="1" applyBorder="1"/>
    <xf numFmtId="0" fontId="33" fillId="0" borderId="3" xfId="5" applyFont="1" applyFill="1" applyBorder="1" applyAlignment="1" applyProtection="1">
      <alignment vertical="center"/>
    </xf>
    <xf numFmtId="0" fontId="33" fillId="0" borderId="3" xfId="5" applyFont="1" applyFill="1" applyBorder="1" applyAlignment="1" applyProtection="1">
      <alignment horizontal="centerContinuous" vertical="center"/>
    </xf>
    <xf numFmtId="44" fontId="53" fillId="0" borderId="3" xfId="5" applyNumberFormat="1" applyFont="1" applyFill="1" applyBorder="1" applyAlignment="1" applyProtection="1">
      <alignment vertical="center"/>
    </xf>
    <xf numFmtId="0" fontId="33" fillId="0" borderId="7" xfId="5" applyFont="1" applyFill="1" applyBorder="1"/>
    <xf numFmtId="49" fontId="57" fillId="0" borderId="1" xfId="5" applyNumberFormat="1" applyFont="1" applyFill="1" applyBorder="1" applyAlignment="1" applyProtection="1">
      <alignment horizontal="center" vertical="center"/>
    </xf>
    <xf numFmtId="169" fontId="57" fillId="0" borderId="1" xfId="5" applyNumberFormat="1" applyFont="1" applyFill="1" applyBorder="1" applyAlignment="1" applyProtection="1">
      <alignment horizontal="center" vertical="center"/>
    </xf>
    <xf numFmtId="9" fontId="57" fillId="0" borderId="1" xfId="5" applyNumberFormat="1" applyFont="1" applyFill="1" applyBorder="1" applyAlignment="1" applyProtection="1">
      <alignment horizontal="center" vertical="center"/>
    </xf>
    <xf numFmtId="44" fontId="53" fillId="0" borderId="1" xfId="5" applyNumberFormat="1" applyFont="1" applyFill="1" applyBorder="1" applyAlignment="1" applyProtection="1">
      <alignment horizontal="center" vertical="center"/>
    </xf>
    <xf numFmtId="170" fontId="58" fillId="0" borderId="1" xfId="3" applyNumberFormat="1" applyFont="1" applyBorder="1" applyAlignment="1">
      <alignment horizontal="center" vertical="center"/>
    </xf>
    <xf numFmtId="170" fontId="58" fillId="0" borderId="1" xfId="3" applyNumberFormat="1" applyFont="1" applyBorder="1" applyAlignment="1">
      <alignment horizontal="center" vertical="center" wrapText="1"/>
    </xf>
    <xf numFmtId="170" fontId="59" fillId="0" borderId="1" xfId="3" applyNumberFormat="1" applyFont="1" applyBorder="1" applyAlignment="1">
      <alignment horizontal="center" vertical="center"/>
    </xf>
    <xf numFmtId="170" fontId="59" fillId="0" borderId="1" xfId="3" applyNumberFormat="1" applyFont="1" applyBorder="1" applyAlignment="1">
      <alignment horizontal="center" vertical="center" wrapText="1"/>
    </xf>
    <xf numFmtId="10" fontId="69" fillId="0" borderId="6" xfId="2" applyNumberFormat="1" applyFont="1" applyBorder="1" applyAlignment="1">
      <alignment horizontal="right" vertical="center"/>
    </xf>
    <xf numFmtId="0" fontId="70" fillId="0" borderId="6" xfId="0" applyFont="1" applyFill="1" applyBorder="1" applyAlignment="1">
      <alignment horizontal="center" vertical="center"/>
    </xf>
    <xf numFmtId="171" fontId="71" fillId="0" borderId="6" xfId="1" applyNumberFormat="1" applyFont="1" applyFill="1" applyBorder="1" applyAlignment="1">
      <alignment horizontal="left" vertical="center"/>
    </xf>
    <xf numFmtId="4" fontId="71" fillId="0" borderId="6" xfId="1" applyNumberFormat="1" applyFont="1" applyFill="1" applyBorder="1" applyAlignment="1">
      <alignment horizontal="right" vertical="center"/>
    </xf>
    <xf numFmtId="10" fontId="72" fillId="0" borderId="6" xfId="3" applyNumberFormat="1" applyFont="1" applyBorder="1" applyAlignment="1">
      <alignment horizontal="right" vertical="center"/>
    </xf>
    <xf numFmtId="10" fontId="73" fillId="0" borderId="6" xfId="2" applyNumberFormat="1" applyFont="1" applyBorder="1" applyAlignment="1">
      <alignment horizontal="right" vertical="center"/>
    </xf>
    <xf numFmtId="172" fontId="53" fillId="4" borderId="0" xfId="0" applyNumberFormat="1" applyFont="1" applyFill="1" applyBorder="1"/>
    <xf numFmtId="4" fontId="0" fillId="0" borderId="0" xfId="0" applyNumberFormat="1" applyFont="1" applyBorder="1" applyAlignment="1">
      <alignment vertical="center"/>
    </xf>
    <xf numFmtId="0" fontId="0" fillId="5" borderId="0" xfId="0" applyFont="1" applyFill="1" applyBorder="1" applyAlignment="1">
      <alignment vertical="center" wrapText="1"/>
    </xf>
    <xf numFmtId="0" fontId="33" fillId="5" borderId="0" xfId="5" applyFont="1" applyFill="1" applyBorder="1"/>
    <xf numFmtId="0" fontId="75" fillId="0" borderId="0" xfId="0" applyFont="1" applyBorder="1" applyAlignment="1">
      <alignment vertical="center"/>
    </xf>
    <xf numFmtId="0" fontId="75" fillId="0" borderId="0" xfId="0" applyFont="1" applyBorder="1"/>
    <xf numFmtId="170" fontId="59" fillId="0" borderId="1" xfId="3" applyNumberFormat="1" applyFont="1" applyBorder="1" applyAlignment="1">
      <alignment vertical="center" wrapText="1"/>
    </xf>
    <xf numFmtId="170" fontId="76" fillId="0" borderId="0" xfId="3" applyNumberFormat="1" applyFont="1" applyBorder="1" applyAlignment="1">
      <alignment horizontal="center" vertical="center" wrapText="1"/>
    </xf>
    <xf numFmtId="173" fontId="77" fillId="0" borderId="0" xfId="3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5" fillId="6" borderId="0" xfId="0" applyFont="1" applyFill="1" applyBorder="1" applyAlignment="1"/>
    <xf numFmtId="0" fontId="5" fillId="5" borderId="0" xfId="0" applyFont="1" applyFill="1" applyBorder="1" applyAlignment="1"/>
    <xf numFmtId="0" fontId="49" fillId="5" borderId="0" xfId="0" applyFont="1" applyFill="1" applyBorder="1" applyAlignment="1">
      <alignment vertical="center"/>
    </xf>
    <xf numFmtId="170" fontId="76" fillId="0" borderId="0" xfId="3" applyNumberFormat="1" applyFont="1" applyFill="1" applyBorder="1" applyAlignment="1">
      <alignment horizontal="center" vertical="center" wrapText="1"/>
    </xf>
    <xf numFmtId="4" fontId="0" fillId="5" borderId="0" xfId="0" applyNumberFormat="1" applyFont="1" applyFill="1" applyBorder="1" applyAlignment="1">
      <alignment vertical="center"/>
    </xf>
    <xf numFmtId="172" fontId="41" fillId="0" borderId="6" xfId="2" applyNumberFormat="1" applyFont="1" applyBorder="1" applyAlignment="1">
      <alignment horizontal="right" vertical="center"/>
    </xf>
    <xf numFmtId="172" fontId="69" fillId="0" borderId="6" xfId="2" applyNumberFormat="1" applyFont="1" applyBorder="1" applyAlignment="1">
      <alignment horizontal="right" vertical="center"/>
    </xf>
    <xf numFmtId="0" fontId="5" fillId="7" borderId="6" xfId="0" applyFont="1" applyFill="1" applyBorder="1" applyAlignment="1" applyProtection="1"/>
    <xf numFmtId="0" fontId="5" fillId="7" borderId="6" xfId="0" applyFont="1" applyFill="1" applyBorder="1" applyAlignment="1" applyProtection="1">
      <alignment horizontal="left"/>
    </xf>
    <xf numFmtId="0" fontId="4" fillId="7" borderId="6" xfId="0" applyFont="1" applyFill="1" applyBorder="1" applyAlignment="1" applyProtection="1">
      <alignment horizontal="left"/>
    </xf>
    <xf numFmtId="0" fontId="5" fillId="7" borderId="6" xfId="0" applyFont="1" applyFill="1" applyBorder="1" applyAlignment="1" applyProtection="1">
      <protection locked="0"/>
    </xf>
    <xf numFmtId="4" fontId="4" fillId="7" borderId="6" xfId="0" applyNumberFormat="1" applyFont="1" applyFill="1" applyBorder="1" applyAlignment="1" applyProtection="1"/>
    <xf numFmtId="173" fontId="42" fillId="7" borderId="6" xfId="3" applyNumberFormat="1" applyFont="1" applyFill="1" applyBorder="1" applyAlignment="1">
      <alignment horizontal="right" vertical="center"/>
    </xf>
    <xf numFmtId="172" fontId="42" fillId="7" borderId="6" xfId="3" applyNumberFormat="1" applyFont="1" applyFill="1" applyBorder="1" applyAlignment="1">
      <alignment vertical="center"/>
    </xf>
    <xf numFmtId="4" fontId="43" fillId="7" borderId="6" xfId="2" applyNumberFormat="1" applyFont="1" applyFill="1" applyBorder="1" applyAlignment="1">
      <alignment horizontal="right" vertical="center"/>
    </xf>
    <xf numFmtId="172" fontId="44" fillId="7" borderId="6" xfId="3" applyNumberFormat="1" applyFont="1" applyFill="1" applyBorder="1" applyAlignment="1">
      <alignment vertical="center"/>
    </xf>
    <xf numFmtId="0" fontId="3" fillId="7" borderId="6" xfId="0" applyFont="1" applyFill="1" applyBorder="1" applyAlignment="1" applyProtection="1">
      <alignment horizontal="left"/>
    </xf>
    <xf numFmtId="4" fontId="3" fillId="7" borderId="6" xfId="0" applyNumberFormat="1" applyFont="1" applyFill="1" applyBorder="1" applyAlignment="1" applyProtection="1"/>
    <xf numFmtId="172" fontId="78" fillId="7" borderId="6" xfId="2" applyNumberFormat="1" applyFont="1" applyFill="1" applyBorder="1" applyAlignment="1">
      <alignment horizontal="right" vertical="center"/>
    </xf>
    <xf numFmtId="4" fontId="78" fillId="7" borderId="6" xfId="2" applyNumberFormat="1" applyFont="1" applyFill="1" applyBorder="1" applyAlignment="1">
      <alignment horizontal="right" vertical="center"/>
    </xf>
    <xf numFmtId="172" fontId="79" fillId="7" borderId="6" xfId="3" applyNumberFormat="1" applyFont="1" applyFill="1" applyBorder="1" applyAlignment="1">
      <alignment vertical="center"/>
    </xf>
    <xf numFmtId="172" fontId="74" fillId="7" borderId="6" xfId="2" applyNumberFormat="1" applyFont="1" applyFill="1" applyBorder="1" applyAlignment="1">
      <alignment horizontal="right" vertical="center"/>
    </xf>
    <xf numFmtId="0" fontId="80" fillId="7" borderId="0" xfId="0" applyFont="1" applyFill="1" applyBorder="1" applyAlignment="1" applyProtection="1"/>
    <xf numFmtId="0" fontId="80" fillId="7" borderId="0" xfId="0" applyFont="1" applyFill="1" applyBorder="1" applyAlignment="1" applyProtection="1">
      <alignment horizontal="left"/>
    </xf>
    <xf numFmtId="0" fontId="81" fillId="7" borderId="0" xfId="0" applyFont="1" applyFill="1" applyBorder="1" applyAlignment="1" applyProtection="1">
      <alignment horizontal="left"/>
    </xf>
    <xf numFmtId="0" fontId="80" fillId="7" borderId="0" xfId="0" applyFont="1" applyFill="1" applyBorder="1" applyAlignment="1" applyProtection="1">
      <protection locked="0"/>
    </xf>
    <xf numFmtId="4" fontId="81" fillId="7" borderId="0" xfId="0" applyNumberFormat="1" applyFont="1" applyFill="1" applyBorder="1" applyAlignment="1" applyProtection="1"/>
    <xf numFmtId="173" fontId="79" fillId="7" borderId="0" xfId="3" applyNumberFormat="1" applyFont="1" applyFill="1" applyBorder="1" applyAlignment="1">
      <alignment horizontal="right" vertical="center"/>
    </xf>
    <xf numFmtId="172" fontId="79" fillId="7" borderId="0" xfId="3" applyNumberFormat="1" applyFont="1" applyFill="1" applyBorder="1" applyAlignment="1">
      <alignment vertical="center"/>
    </xf>
    <xf numFmtId="4" fontId="78" fillId="7" borderId="0" xfId="2" applyNumberFormat="1" applyFont="1" applyFill="1" applyBorder="1" applyAlignment="1">
      <alignment horizontal="right" vertical="center"/>
    </xf>
    <xf numFmtId="0" fontId="80" fillId="7" borderId="6" xfId="0" applyFont="1" applyFill="1" applyBorder="1" applyAlignment="1" applyProtection="1">
      <alignment horizontal="left"/>
    </xf>
    <xf numFmtId="0" fontId="82" fillId="7" borderId="6" xfId="0" applyFont="1" applyFill="1" applyBorder="1" applyAlignment="1" applyProtection="1">
      <alignment horizontal="left"/>
    </xf>
    <xf numFmtId="0" fontId="80" fillId="7" borderId="6" xfId="0" applyFont="1" applyFill="1" applyBorder="1" applyAlignment="1" applyProtection="1"/>
    <xf numFmtId="0" fontId="80" fillId="7" borderId="6" xfId="0" applyFont="1" applyFill="1" applyBorder="1" applyAlignment="1" applyProtection="1">
      <protection locked="0"/>
    </xf>
    <xf numFmtId="4" fontId="82" fillId="7" borderId="6" xfId="0" applyNumberFormat="1" applyFont="1" applyFill="1" applyBorder="1" applyAlignment="1" applyProtection="1"/>
    <xf numFmtId="173" fontId="79" fillId="7" borderId="6" xfId="3" applyNumberFormat="1" applyFont="1" applyFill="1" applyBorder="1" applyAlignment="1">
      <alignment horizontal="right" vertical="center"/>
    </xf>
    <xf numFmtId="0" fontId="81" fillId="7" borderId="6" xfId="0" applyFont="1" applyFill="1" applyBorder="1" applyAlignment="1" applyProtection="1">
      <alignment horizontal="left"/>
    </xf>
    <xf numFmtId="4" fontId="81" fillId="7" borderId="6" xfId="0" applyNumberFormat="1" applyFont="1" applyFill="1" applyBorder="1" applyAlignment="1" applyProtection="1"/>
    <xf numFmtId="44" fontId="60" fillId="0" borderId="6" xfId="3" applyNumberFormat="1" applyFont="1" applyFill="1" applyBorder="1" applyAlignment="1">
      <alignment vertical="center"/>
    </xf>
    <xf numFmtId="2" fontId="83" fillId="0" borderId="0" xfId="2" applyNumberFormat="1" applyFont="1" applyBorder="1" applyAlignment="1">
      <alignment horizontal="right" vertical="center"/>
    </xf>
    <xf numFmtId="0" fontId="5" fillId="7" borderId="0" xfId="0" applyFont="1" applyFill="1" applyBorder="1" applyAlignment="1">
      <alignment wrapText="1"/>
    </xf>
    <xf numFmtId="0" fontId="49" fillId="0" borderId="0" xfId="0" applyFont="1" applyFill="1" applyBorder="1" applyAlignment="1">
      <alignment horizontal="center" vertical="center"/>
    </xf>
    <xf numFmtId="0" fontId="84" fillId="0" borderId="0" xfId="0" applyFont="1" applyBorder="1"/>
    <xf numFmtId="170" fontId="39" fillId="0" borderId="1" xfId="3" applyNumberFormat="1" applyFont="1" applyBorder="1" applyAlignment="1">
      <alignment horizontal="center" vertical="center" wrapText="1"/>
    </xf>
    <xf numFmtId="170" fontId="39" fillId="0" borderId="5" xfId="3" applyNumberFormat="1" applyFont="1" applyBorder="1" applyAlignment="1">
      <alignment horizontal="center" vertical="center" wrapText="1"/>
    </xf>
    <xf numFmtId="170" fontId="38" fillId="0" borderId="1" xfId="3" applyNumberFormat="1" applyFont="1" applyBorder="1" applyAlignment="1">
      <alignment horizontal="center" vertical="center" wrapText="1"/>
    </xf>
    <xf numFmtId="169" fontId="37" fillId="0" borderId="3" xfId="0" applyNumberFormat="1" applyFont="1" applyFill="1" applyBorder="1" applyAlignment="1">
      <alignment horizontal="center" vertical="center"/>
    </xf>
    <xf numFmtId="169" fontId="37" fillId="0" borderId="4" xfId="0" applyNumberFormat="1" applyFont="1" applyFill="1" applyBorder="1" applyAlignment="1">
      <alignment horizontal="center" vertical="center"/>
    </xf>
    <xf numFmtId="169" fontId="36" fillId="0" borderId="3" xfId="0" applyNumberFormat="1" applyFont="1" applyFill="1" applyBorder="1" applyAlignment="1">
      <alignment horizontal="center" vertical="center"/>
    </xf>
    <xf numFmtId="0" fontId="45" fillId="0" borderId="0" xfId="0" applyFont="1" applyFill="1" applyBorder="1" applyAlignment="1">
      <alignment horizontal="left" vertical="center" wrapText="1"/>
    </xf>
    <xf numFmtId="0" fontId="45" fillId="0" borderId="1" xfId="0" applyFont="1" applyFill="1" applyBorder="1" applyAlignment="1">
      <alignment horizontal="left" vertical="center" wrapText="1"/>
    </xf>
    <xf numFmtId="169" fontId="36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169" fontId="37" fillId="0" borderId="3" xfId="0" applyNumberFormat="1" applyFont="1" applyBorder="1" applyAlignment="1">
      <alignment horizontal="center" vertical="center"/>
    </xf>
    <xf numFmtId="0" fontId="0" fillId="0" borderId="4" xfId="0" applyBorder="1" applyAlignment="1"/>
    <xf numFmtId="14" fontId="53" fillId="3" borderId="0" xfId="0" applyNumberFormat="1" applyFont="1" applyFill="1" applyBorder="1" applyAlignment="1">
      <alignment horizontal="center"/>
    </xf>
    <xf numFmtId="14" fontId="53" fillId="0" borderId="0" xfId="0" applyNumberFormat="1" applyFont="1" applyFill="1" applyBorder="1" applyAlignment="1">
      <alignment horizontal="center"/>
    </xf>
    <xf numFmtId="169" fontId="34" fillId="0" borderId="3" xfId="0" applyNumberFormat="1" applyFont="1" applyBorder="1" applyAlignment="1">
      <alignment horizontal="center" vertical="center" wrapText="1"/>
    </xf>
    <xf numFmtId="169" fontId="35" fillId="0" borderId="3" xfId="0" applyNumberFormat="1" applyFont="1" applyBorder="1" applyAlignment="1">
      <alignment horizontal="center" vertical="center"/>
    </xf>
    <xf numFmtId="170" fontId="59" fillId="0" borderId="1" xfId="3" applyNumberFormat="1" applyFont="1" applyBorder="1" applyAlignment="1">
      <alignment horizontal="center" vertical="center" wrapText="1"/>
    </xf>
    <xf numFmtId="170" fontId="59" fillId="0" borderId="1" xfId="3" applyNumberFormat="1" applyFont="1" applyFill="1" applyBorder="1" applyAlignment="1">
      <alignment horizontal="center" vertical="center" wrapText="1"/>
    </xf>
    <xf numFmtId="0" fontId="0" fillId="5" borderId="8" xfId="0" applyFont="1" applyFill="1" applyBorder="1" applyAlignment="1">
      <alignment horizontal="center" vertical="center" wrapText="1"/>
    </xf>
    <xf numFmtId="0" fontId="0" fillId="5" borderId="0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0" fontId="0" fillId="5" borderId="0" xfId="0" applyFont="1" applyFill="1" applyBorder="1" applyAlignment="1">
      <alignment horizontal="center" vertical="center"/>
    </xf>
    <xf numFmtId="4" fontId="0" fillId="5" borderId="0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wrapText="1"/>
    </xf>
  </cellXfs>
  <cellStyles count="6">
    <cellStyle name="Čárka" xfId="1" builtinId="3"/>
    <cellStyle name="Normální" xfId="0" builtinId="0" customBuiltin="1"/>
    <cellStyle name="normální_4948_Odbytovy_rozpocet-Rusek" xfId="5" xr:uid="{00000000-0005-0000-0000-000002000000}"/>
    <cellStyle name="normální_Agregované položky akce389" xfId="4" xr:uid="{00000000-0005-0000-0000-000003000000}"/>
    <cellStyle name="normální_Pekapitulace výkazu výměr" xfId="3" xr:uid="{00000000-0005-0000-0000-000004000000}"/>
    <cellStyle name="Procenta" xfId="2" builtinId="5"/>
  </cellStyles>
  <dxfs count="207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66675</xdr:colOff>
      <xdr:row>0</xdr:row>
      <xdr:rowOff>161925</xdr:rowOff>
    </xdr:from>
    <xdr:to>
      <xdr:col>1</xdr:col>
      <xdr:colOff>1114425</xdr:colOff>
      <xdr:row>3</xdr:row>
      <xdr:rowOff>133350</xdr:rowOff>
    </xdr:to>
    <xdr:pic>
      <xdr:nvPicPr>
        <xdr:cNvPr id="4" name="Picture 1" descr="VCES_logo_CMYK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161925"/>
          <a:ext cx="828675" cy="657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200025</xdr:rowOff>
    </xdr:from>
    <xdr:to>
      <xdr:col>4</xdr:col>
      <xdr:colOff>495300</xdr:colOff>
      <xdr:row>3</xdr:row>
      <xdr:rowOff>85725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20002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495300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190500</xdr:rowOff>
    </xdr:from>
    <xdr:to>
      <xdr:col>4</xdr:col>
      <xdr:colOff>495300</xdr:colOff>
      <xdr:row>3</xdr:row>
      <xdr:rowOff>76200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905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114300</xdr:rowOff>
    </xdr:from>
    <xdr:to>
      <xdr:col>4</xdr:col>
      <xdr:colOff>495300</xdr:colOff>
      <xdr:row>3</xdr:row>
      <xdr:rowOff>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143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142875</xdr:rowOff>
    </xdr:from>
    <xdr:to>
      <xdr:col>4</xdr:col>
      <xdr:colOff>495300</xdr:colOff>
      <xdr:row>3</xdr:row>
      <xdr:rowOff>28575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42875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76200</xdr:colOff>
      <xdr:row>0</xdr:row>
      <xdr:rowOff>152400</xdr:rowOff>
    </xdr:from>
    <xdr:to>
      <xdr:col>4</xdr:col>
      <xdr:colOff>495300</xdr:colOff>
      <xdr:row>3</xdr:row>
      <xdr:rowOff>38100</xdr:rowOff>
    </xdr:to>
    <xdr:pic>
      <xdr:nvPicPr>
        <xdr:cNvPr id="3" name="Picture 1" descr="VCES_logo_CMYK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152400"/>
          <a:ext cx="1000125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fitToPage="1"/>
  </sheetPr>
  <dimension ref="A1:L25"/>
  <sheetViews>
    <sheetView showGridLines="0" tabSelected="1" view="pageBreakPreview" zoomScale="60" zoomScaleNormal="100" workbookViewId="0">
      <selection activeCell="C25" sqref="C25"/>
    </sheetView>
  </sheetViews>
  <sheetFormatPr defaultColWidth="9.33203125" defaultRowHeight="11.25" x14ac:dyDescent="0.2"/>
  <cols>
    <col min="1" max="1" width="9" style="79" customWidth="1"/>
    <col min="2" max="2" width="15.83203125" style="79" customWidth="1"/>
    <col min="3" max="3" width="105.83203125" style="79" customWidth="1"/>
    <col min="4" max="4" width="23.33203125" style="79" customWidth="1"/>
    <col min="5" max="5" width="9.33203125" style="79"/>
    <col min="6" max="6" width="20.83203125" style="79" customWidth="1"/>
    <col min="7" max="7" width="9.33203125" style="79"/>
    <col min="8" max="8" width="25.5" style="79" customWidth="1"/>
    <col min="9" max="9" width="30.5" style="79" hidden="1" customWidth="1"/>
    <col min="10" max="10" width="16.83203125" style="79" customWidth="1"/>
    <col min="11" max="16384" width="9.33203125" style="79"/>
  </cols>
  <sheetData>
    <row r="1" spans="1:12" s="82" customFormat="1" ht="18" customHeight="1" x14ac:dyDescent="0.2">
      <c r="B1" s="14"/>
      <c r="C1" s="12" t="s">
        <v>471</v>
      </c>
      <c r="D1" s="83" t="s">
        <v>472</v>
      </c>
      <c r="E1" s="88"/>
      <c r="F1" s="89"/>
      <c r="G1" s="90"/>
      <c r="H1" s="91"/>
    </row>
    <row r="2" spans="1:12" s="82" customFormat="1" ht="18" customHeight="1" x14ac:dyDescent="0.2">
      <c r="B2" s="14"/>
      <c r="C2" s="12" t="s">
        <v>473</v>
      </c>
      <c r="D2" s="83" t="s">
        <v>2</v>
      </c>
      <c r="E2" s="88"/>
      <c r="F2" s="89"/>
      <c r="G2" s="90"/>
      <c r="H2" s="91"/>
    </row>
    <row r="3" spans="1:12" s="82" customFormat="1" ht="18" customHeight="1" x14ac:dyDescent="0.2">
      <c r="B3" s="14"/>
      <c r="C3" s="3" t="s">
        <v>474</v>
      </c>
      <c r="D3" s="13" t="s">
        <v>475</v>
      </c>
      <c r="E3" s="88"/>
      <c r="F3" s="89"/>
      <c r="G3" s="90"/>
      <c r="H3" s="91"/>
    </row>
    <row r="4" spans="1:12" s="14" customFormat="1" ht="18" customHeight="1" x14ac:dyDescent="0.2">
      <c r="C4" s="3" t="s">
        <v>476</v>
      </c>
      <c r="D4" s="13" t="s">
        <v>477</v>
      </c>
      <c r="E4" s="95"/>
      <c r="F4" s="96"/>
      <c r="G4" s="97"/>
      <c r="H4" s="98"/>
    </row>
    <row r="5" spans="1:12" s="14" customFormat="1" ht="18" customHeight="1" x14ac:dyDescent="0.2">
      <c r="C5" s="12" t="s">
        <v>478</v>
      </c>
      <c r="D5" s="13" t="s">
        <v>479</v>
      </c>
      <c r="E5" s="95"/>
      <c r="F5" s="96"/>
      <c r="G5" s="97"/>
      <c r="H5" s="98"/>
    </row>
    <row r="6" spans="1:12" s="14" customFormat="1" ht="18" customHeight="1" x14ac:dyDescent="0.2">
      <c r="C6" s="12" t="s">
        <v>480</v>
      </c>
      <c r="D6" s="99" t="s">
        <v>481</v>
      </c>
      <c r="E6" s="95"/>
      <c r="F6" s="96"/>
      <c r="G6" s="97"/>
      <c r="H6" s="98"/>
    </row>
    <row r="7" spans="1:12" s="14" customFormat="1" ht="15.75" x14ac:dyDescent="0.25">
      <c r="D7" s="100"/>
      <c r="E7" s="95"/>
      <c r="F7" s="96"/>
      <c r="G7" s="101"/>
      <c r="H7" s="98"/>
    </row>
    <row r="8" spans="1:12" s="102" customFormat="1" ht="18" customHeight="1" x14ac:dyDescent="0.25">
      <c r="B8" s="103"/>
      <c r="D8" s="101"/>
      <c r="E8" s="104"/>
      <c r="F8" s="105"/>
      <c r="G8" s="105" t="s">
        <v>482</v>
      </c>
      <c r="H8" s="106">
        <v>44926</v>
      </c>
    </row>
    <row r="9" spans="1:12" s="102" customFormat="1" x14ac:dyDescent="0.2">
      <c r="B9" s="107"/>
      <c r="C9" s="108"/>
      <c r="D9" s="108"/>
      <c r="E9" s="109"/>
      <c r="F9" s="110"/>
      <c r="G9" s="111"/>
      <c r="H9" s="112"/>
    </row>
    <row r="10" spans="1:12" s="113" customFormat="1" ht="20.100000000000001" customHeight="1" x14ac:dyDescent="0.2">
      <c r="B10" s="123"/>
      <c r="C10" s="124"/>
      <c r="D10" s="125" t="s">
        <v>483</v>
      </c>
      <c r="E10" s="239" t="s">
        <v>587</v>
      </c>
      <c r="F10" s="239"/>
      <c r="G10" s="237" t="s">
        <v>588</v>
      </c>
      <c r="H10" s="238"/>
    </row>
    <row r="11" spans="1:12" s="4" customFormat="1" ht="20.100000000000001" customHeight="1" x14ac:dyDescent="0.2">
      <c r="B11" s="126"/>
      <c r="C11" s="127" t="s">
        <v>493</v>
      </c>
      <c r="D11" s="128" t="s">
        <v>494</v>
      </c>
      <c r="E11" s="236" t="s">
        <v>494</v>
      </c>
      <c r="F11" s="236"/>
      <c r="G11" s="234" t="s">
        <v>494</v>
      </c>
      <c r="H11" s="235"/>
    </row>
    <row r="12" spans="1:12" s="4" customFormat="1" ht="9.75" customHeight="1" x14ac:dyDescent="0.2">
      <c r="D12" s="5"/>
      <c r="E12" s="6"/>
      <c r="F12" s="6"/>
      <c r="G12" s="7"/>
      <c r="H12" s="7"/>
    </row>
    <row r="13" spans="1:12" s="114" customFormat="1" ht="15.75" customHeight="1" x14ac:dyDescent="0.2">
      <c r="A13" s="1"/>
      <c r="B13" s="1"/>
      <c r="C13" s="240" t="s">
        <v>2</v>
      </c>
      <c r="D13" s="1"/>
    </row>
    <row r="14" spans="1:12" s="115" customFormat="1" ht="20.100000000000001" customHeight="1" x14ac:dyDescent="0.2">
      <c r="C14" s="241"/>
      <c r="D14" s="116">
        <v>11581271.100000001</v>
      </c>
      <c r="E14" s="117"/>
      <c r="F14" s="117"/>
      <c r="G14" s="118"/>
      <c r="H14" s="119"/>
      <c r="J14" s="232" t="s">
        <v>590</v>
      </c>
      <c r="L14" s="120"/>
    </row>
    <row r="15" spans="1:12" s="121" customFormat="1" ht="20.100000000000001" customHeight="1" x14ac:dyDescent="0.2">
      <c r="B15" s="129" t="s">
        <v>4</v>
      </c>
      <c r="C15" s="130" t="s">
        <v>5</v>
      </c>
      <c r="D15" s="131"/>
      <c r="E15" s="65"/>
      <c r="F15" s="229">
        <f>F16</f>
        <v>0</v>
      </c>
      <c r="G15" s="133"/>
      <c r="H15" s="229">
        <f>H16</f>
        <v>31361.4</v>
      </c>
      <c r="L15" s="122"/>
    </row>
    <row r="16" spans="1:12" s="121" customFormat="1" ht="20.100000000000001" customHeight="1" x14ac:dyDescent="0.2">
      <c r="B16" s="129" t="s">
        <v>8</v>
      </c>
      <c r="C16" s="130" t="s">
        <v>9</v>
      </c>
      <c r="D16" s="131">
        <v>31361.399999999998</v>
      </c>
      <c r="E16" s="65">
        <f t="shared" ref="E16:E22" si="0">IF($D16=0,0,F16/$D16)</f>
        <v>0</v>
      </c>
      <c r="F16" s="132">
        <f>'Povrchy - Komunikace II.tř'!L23</f>
        <v>0</v>
      </c>
      <c r="G16" s="133">
        <f t="shared" ref="G16:G22" si="1">1-E16</f>
        <v>1</v>
      </c>
      <c r="H16" s="134">
        <f t="shared" ref="H16:H22" si="2">IF(ISBLANK($D16),"",ROUND($D16-F16,2))</f>
        <v>31361.4</v>
      </c>
      <c r="L16" s="122"/>
    </row>
    <row r="17" spans="2:12" s="121" customFormat="1" ht="20.100000000000001" customHeight="1" x14ac:dyDescent="0.2">
      <c r="B17" s="129" t="s">
        <v>10</v>
      </c>
      <c r="C17" s="130" t="s">
        <v>11</v>
      </c>
      <c r="D17" s="131"/>
      <c r="E17" s="65"/>
      <c r="F17" s="229">
        <f>SUM(F18:F22)</f>
        <v>-158248.47993525164</v>
      </c>
      <c r="G17" s="133"/>
      <c r="H17" s="229">
        <f>SUM(H18:H22)</f>
        <v>11391660.900364749</v>
      </c>
      <c r="L17" s="122"/>
    </row>
    <row r="18" spans="2:12" s="121" customFormat="1" ht="20.100000000000001" customHeight="1" x14ac:dyDescent="0.2">
      <c r="B18" s="129" t="s">
        <v>12</v>
      </c>
      <c r="C18" s="130" t="s">
        <v>13</v>
      </c>
      <c r="D18" s="131">
        <v>336199.30000000005</v>
      </c>
      <c r="E18" s="65">
        <f t="shared" si="0"/>
        <v>-9.1526927628939117E-3</v>
      </c>
      <c r="F18" s="132">
        <f>'R1 - Vodovodní řad R1'!M84</f>
        <v>-3077.1288999999997</v>
      </c>
      <c r="G18" s="133">
        <f t="shared" si="1"/>
        <v>1.009152692762894</v>
      </c>
      <c r="H18" s="134">
        <f>'R1 - Vodovodní řad R1'!P84</f>
        <v>333122.27980000002</v>
      </c>
      <c r="J18" s="121">
        <v>-0.7</v>
      </c>
      <c r="L18" s="122"/>
    </row>
    <row r="19" spans="2:12" s="121" customFormat="1" ht="20.100000000000001" customHeight="1" x14ac:dyDescent="0.2">
      <c r="B19" s="129" t="s">
        <v>15</v>
      </c>
      <c r="C19" s="130" t="s">
        <v>16</v>
      </c>
      <c r="D19" s="131">
        <v>2876528.1</v>
      </c>
      <c r="E19" s="65">
        <f t="shared" si="0"/>
        <v>-5.0470665313507631E-3</v>
      </c>
      <c r="F19" s="132">
        <f>'R2 - Vodovodní řad R2'!M108</f>
        <v>-14518.028700000003</v>
      </c>
      <c r="G19" s="133">
        <f t="shared" si="1"/>
        <v>1.0050470665313507</v>
      </c>
      <c r="H19" s="134">
        <f>'R2 - Vodovodní řad R2'!P108</f>
        <v>2862009.8185999999</v>
      </c>
      <c r="J19" s="121">
        <v>-3.1</v>
      </c>
      <c r="L19" s="122"/>
    </row>
    <row r="20" spans="2:12" s="121" customFormat="1" ht="20.100000000000001" customHeight="1" x14ac:dyDescent="0.2">
      <c r="B20" s="129" t="s">
        <v>17</v>
      </c>
      <c r="C20" s="130" t="s">
        <v>18</v>
      </c>
      <c r="D20" s="131">
        <v>7109051.8000000007</v>
      </c>
      <c r="E20" s="65">
        <f t="shared" si="0"/>
        <v>-1.9785103033747992E-2</v>
      </c>
      <c r="F20" s="132">
        <f>'R3 - Vodovodní řad R3'!M138</f>
        <v>-140653.32233525164</v>
      </c>
      <c r="G20" s="133">
        <f t="shared" si="1"/>
        <v>1.0197851030337479</v>
      </c>
      <c r="H20" s="134">
        <f>'R3 - Vodovodní řad R3'!P138</f>
        <v>6968398.4329647487</v>
      </c>
      <c r="J20" s="121">
        <v>-30.7</v>
      </c>
      <c r="L20" s="122"/>
    </row>
    <row r="21" spans="2:12" s="121" customFormat="1" ht="20.100000000000001" customHeight="1" x14ac:dyDescent="0.2">
      <c r="B21" s="129" t="s">
        <v>19</v>
      </c>
      <c r="C21" s="130" t="s">
        <v>20</v>
      </c>
      <c r="D21" s="131">
        <v>903849.50000000012</v>
      </c>
      <c r="E21" s="65">
        <f t="shared" si="0"/>
        <v>0</v>
      </c>
      <c r="F21" s="132">
        <f>'P - Vodovodní přípojky'!M82</f>
        <v>0</v>
      </c>
      <c r="G21" s="133">
        <f t="shared" si="1"/>
        <v>1</v>
      </c>
      <c r="H21" s="134">
        <f>'P - Vodovodní přípojky'!P82</f>
        <v>903849.36899999995</v>
      </c>
      <c r="K21" s="121" t="s">
        <v>591</v>
      </c>
      <c r="L21" s="122"/>
    </row>
    <row r="22" spans="2:12" s="121" customFormat="1" ht="20.100000000000001" customHeight="1" x14ac:dyDescent="0.2">
      <c r="B22" s="129" t="s">
        <v>21</v>
      </c>
      <c r="C22" s="130" t="s">
        <v>22</v>
      </c>
      <c r="D22" s="131">
        <v>324281</v>
      </c>
      <c r="E22" s="65">
        <f t="shared" si="0"/>
        <v>0</v>
      </c>
      <c r="F22" s="132">
        <f>'VN - Vedlejší a ostatní n...'!BI33</f>
        <v>0</v>
      </c>
      <c r="G22" s="133">
        <f t="shared" si="1"/>
        <v>1</v>
      </c>
      <c r="H22" s="134">
        <f t="shared" si="2"/>
        <v>324281</v>
      </c>
      <c r="I22" s="193" t="s">
        <v>545</v>
      </c>
      <c r="L22" s="122"/>
    </row>
    <row r="23" spans="2:12" s="8" customFormat="1" ht="20.100000000000001" customHeight="1" x14ac:dyDescent="0.2">
      <c r="B23" s="176"/>
      <c r="C23" s="177" t="str">
        <f>+C13</f>
        <v>PÍSKOVÁ LHOTA, ZÁMOSTÍ SPLAŠKOVÁ KANALIZACE- Neuznatelné náklady stavby</v>
      </c>
      <c r="D23" s="178">
        <v>11581271.1</v>
      </c>
      <c r="E23" s="179"/>
      <c r="F23" s="178">
        <f>+ROUND(F16+F18+F19+F20+F21+F22,2)</f>
        <v>-158248.48000000001</v>
      </c>
      <c r="G23" s="180"/>
      <c r="H23" s="178">
        <f>+ROUND(H16+H18+H19+H20+H21+H22,2)</f>
        <v>11423022.300000001</v>
      </c>
      <c r="J23" s="121">
        <f>SUM(J15:J22)</f>
        <v>-34.5</v>
      </c>
    </row>
    <row r="25" spans="2:12" s="8" customFormat="1" ht="20.100000000000001" customHeight="1" x14ac:dyDescent="0.2">
      <c r="B25" s="8" t="s">
        <v>495</v>
      </c>
      <c r="E25" s="8" t="s">
        <v>496</v>
      </c>
    </row>
  </sheetData>
  <sheetProtection formatColumns="0" formatRows="0"/>
  <mergeCells count="5">
    <mergeCell ref="G11:H11"/>
    <mergeCell ref="E11:F11"/>
    <mergeCell ref="G10:H10"/>
    <mergeCell ref="E10:F10"/>
    <mergeCell ref="C13:C14"/>
  </mergeCells>
  <conditionalFormatting sqref="D2">
    <cfRule type="cellIs" dxfId="206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7" fitToHeight="0" orientation="portrait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filterMode="1">
    <tabColor rgb="FF00B0F0"/>
    <pageSetUpPr fitToPage="1"/>
  </sheetPr>
  <dimension ref="B1:BO36"/>
  <sheetViews>
    <sheetView showGridLines="0" topLeftCell="A10" zoomScaleNormal="100" workbookViewId="0">
      <selection activeCell="J35" sqref="J35:R35"/>
    </sheetView>
  </sheetViews>
  <sheetFormatPr defaultColWidth="9.33203125" defaultRowHeight="11.25" x14ac:dyDescent="0.2"/>
  <cols>
    <col min="1" max="1" width="8.33203125" style="9" customWidth="1"/>
    <col min="2" max="2" width="1.6640625" style="9" customWidth="1"/>
    <col min="3" max="3" width="4.1640625" style="9" customWidth="1"/>
    <col min="4" max="4" width="4.33203125" style="9" customWidth="1"/>
    <col min="5" max="5" width="17.1640625" style="9" customWidth="1"/>
    <col min="6" max="6" width="100.83203125" style="9" customWidth="1"/>
    <col min="7" max="7" width="8.6640625" style="9" customWidth="1"/>
    <col min="8" max="8" width="11.1640625" style="9" customWidth="1"/>
    <col min="9" max="9" width="14.1640625" style="161" customWidth="1"/>
    <col min="10" max="10" width="23.5" style="9" customWidth="1"/>
    <col min="11" max="11" width="9.33203125" style="9"/>
    <col min="12" max="12" width="21.83203125" style="9" customWidth="1"/>
    <col min="13" max="27" width="9.33203125" style="9" hidden="1" customWidth="1"/>
    <col min="28" max="28" width="19.5" style="9" hidden="1" customWidth="1"/>
    <col min="29" max="29" width="9.33203125" style="9" hidden="1" customWidth="1"/>
    <col min="30" max="30" width="14.83203125" style="9" hidden="1" customWidth="1"/>
    <col min="31" max="31" width="9.33203125" style="9" hidden="1" customWidth="1"/>
    <col min="32" max="32" width="19.6640625" style="9" hidden="1" customWidth="1"/>
    <col min="33" max="33" width="9.33203125" style="9" customWidth="1"/>
    <col min="34" max="34" width="16.5" style="9" customWidth="1"/>
    <col min="35" max="58" width="9.33203125" style="9" hidden="1" customWidth="1"/>
    <col min="59" max="59" width="9.33203125" style="9"/>
    <col min="60" max="60" width="19.33203125" style="9" customWidth="1"/>
    <col min="61" max="61" width="13.83203125" style="9" bestFit="1" customWidth="1"/>
    <col min="62" max="62" width="9.33203125" style="9"/>
    <col min="63" max="63" width="20.5" style="9" customWidth="1"/>
    <col min="64" max="64" width="13.83203125" style="9" bestFit="1" customWidth="1"/>
    <col min="65" max="65" width="28.6640625" style="9" hidden="1" customWidth="1"/>
    <col min="66" max="66" width="39.6640625" style="9" hidden="1" customWidth="1"/>
    <col min="67" max="69" width="0" style="9" hidden="1" customWidth="1"/>
    <col min="70" max="16384" width="9.33203125" style="9"/>
  </cols>
  <sheetData>
    <row r="1" spans="2:66" ht="18.75" customHeight="1" x14ac:dyDescent="0.2">
      <c r="F1" s="12"/>
      <c r="G1" s="83"/>
      <c r="H1" s="82"/>
      <c r="I1" s="9"/>
      <c r="J1" s="10"/>
      <c r="K1" s="11"/>
      <c r="L1" s="11"/>
    </row>
    <row r="2" spans="2:66" s="82" customFormat="1" ht="18" customHeight="1" x14ac:dyDescent="0.25">
      <c r="E2" s="14"/>
      <c r="F2" s="12" t="s">
        <v>471</v>
      </c>
      <c r="G2" s="83" t="s">
        <v>472</v>
      </c>
      <c r="I2" s="85"/>
      <c r="J2" s="135"/>
      <c r="K2" s="84"/>
      <c r="L2" s="85"/>
      <c r="M2" s="86"/>
      <c r="N2" s="87"/>
      <c r="O2" s="86"/>
      <c r="P2" s="87"/>
      <c r="Q2" s="86"/>
      <c r="R2" s="87"/>
      <c r="S2" s="86"/>
      <c r="T2" s="87"/>
      <c r="U2" s="86"/>
      <c r="V2" s="87"/>
      <c r="W2" s="86"/>
      <c r="X2" s="87"/>
      <c r="Y2" s="86"/>
      <c r="Z2" s="87"/>
      <c r="AA2" s="86"/>
      <c r="AB2" s="87"/>
      <c r="AC2" s="86"/>
      <c r="AD2" s="87"/>
      <c r="AE2" s="86"/>
      <c r="AF2" s="87"/>
      <c r="AG2" s="86"/>
      <c r="AH2" s="87"/>
      <c r="AI2" s="86"/>
      <c r="AJ2" s="87"/>
      <c r="AK2" s="86"/>
      <c r="AL2" s="87"/>
      <c r="AM2" s="86"/>
      <c r="AN2" s="87"/>
      <c r="AO2" s="86"/>
      <c r="AP2" s="87"/>
      <c r="AQ2" s="86"/>
      <c r="AR2" s="87"/>
      <c r="AS2" s="86"/>
      <c r="AT2" s="87"/>
      <c r="AU2" s="86"/>
      <c r="AV2" s="87"/>
      <c r="AW2" s="86"/>
      <c r="AX2" s="87"/>
      <c r="AY2" s="86"/>
      <c r="AZ2" s="87"/>
      <c r="BA2" s="86"/>
      <c r="BB2" s="87"/>
      <c r="BC2" s="86"/>
      <c r="BD2" s="87"/>
      <c r="BE2" s="86"/>
      <c r="BF2" s="88"/>
      <c r="BG2" s="89"/>
      <c r="BH2" s="90"/>
      <c r="BI2" s="90"/>
      <c r="BJ2" s="91"/>
      <c r="BK2" s="136"/>
    </row>
    <row r="3" spans="2:66" s="82" customFormat="1" ht="18" customHeight="1" x14ac:dyDescent="0.25">
      <c r="E3" s="14"/>
      <c r="F3" s="12" t="s">
        <v>473</v>
      </c>
      <c r="G3" s="83" t="s">
        <v>2</v>
      </c>
      <c r="H3" s="14"/>
      <c r="I3" s="85"/>
      <c r="J3" s="135"/>
      <c r="K3" s="84"/>
      <c r="L3" s="85"/>
      <c r="M3" s="86"/>
      <c r="N3" s="87"/>
      <c r="O3" s="86"/>
      <c r="P3" s="87"/>
      <c r="Q3" s="86"/>
      <c r="R3" s="87"/>
      <c r="S3" s="86"/>
      <c r="T3" s="87"/>
      <c r="U3" s="86"/>
      <c r="V3" s="87"/>
      <c r="W3" s="86"/>
      <c r="X3" s="87"/>
      <c r="Y3" s="86"/>
      <c r="Z3" s="87"/>
      <c r="AA3" s="86"/>
      <c r="AB3" s="87"/>
      <c r="AC3" s="86"/>
      <c r="AD3" s="87"/>
      <c r="AE3" s="86"/>
      <c r="AF3" s="87"/>
      <c r="AG3" s="86"/>
      <c r="AH3" s="87"/>
      <c r="AI3" s="86"/>
      <c r="AJ3" s="87"/>
      <c r="AK3" s="86"/>
      <c r="AL3" s="87"/>
      <c r="AM3" s="86"/>
      <c r="AN3" s="87"/>
      <c r="AO3" s="86"/>
      <c r="AP3" s="87"/>
      <c r="AQ3" s="86"/>
      <c r="AR3" s="87"/>
      <c r="AS3" s="86"/>
      <c r="AT3" s="87"/>
      <c r="AU3" s="86"/>
      <c r="AV3" s="87"/>
      <c r="AW3" s="86"/>
      <c r="AX3" s="87"/>
      <c r="AY3" s="86"/>
      <c r="AZ3" s="87"/>
      <c r="BA3" s="86"/>
      <c r="BB3" s="87"/>
      <c r="BC3" s="86"/>
      <c r="BD3" s="87"/>
      <c r="BE3" s="86"/>
      <c r="BF3" s="88"/>
      <c r="BG3" s="89"/>
      <c r="BH3" s="90"/>
      <c r="BI3" s="90"/>
      <c r="BJ3" s="91"/>
      <c r="BK3" s="136"/>
    </row>
    <row r="4" spans="2:66" s="14" customFormat="1" ht="18" customHeight="1" x14ac:dyDescent="0.25">
      <c r="F4" s="3" t="s">
        <v>474</v>
      </c>
      <c r="G4" s="13" t="s">
        <v>475</v>
      </c>
      <c r="I4" s="85"/>
      <c r="J4" s="137"/>
      <c r="K4" s="92"/>
      <c r="L4" s="85"/>
      <c r="M4" s="93"/>
      <c r="N4" s="94"/>
      <c r="O4" s="93"/>
      <c r="P4" s="94"/>
      <c r="Q4" s="93"/>
      <c r="R4" s="94"/>
      <c r="S4" s="93"/>
      <c r="T4" s="94"/>
      <c r="U4" s="93"/>
      <c r="V4" s="94"/>
      <c r="W4" s="93"/>
      <c r="X4" s="94"/>
      <c r="Y4" s="93"/>
      <c r="Z4" s="94"/>
      <c r="AA4" s="93"/>
      <c r="AB4" s="94"/>
      <c r="AC4" s="93"/>
      <c r="AD4" s="94"/>
      <c r="AE4" s="93"/>
      <c r="AF4" s="94"/>
      <c r="AG4" s="93"/>
      <c r="AH4" s="94"/>
      <c r="AI4" s="93"/>
      <c r="AJ4" s="94"/>
      <c r="AK4" s="93"/>
      <c r="AL4" s="94"/>
      <c r="AM4" s="93"/>
      <c r="AN4" s="94"/>
      <c r="AO4" s="93"/>
      <c r="AP4" s="94"/>
      <c r="AQ4" s="93"/>
      <c r="AR4" s="94"/>
      <c r="AS4" s="93"/>
      <c r="AT4" s="94"/>
      <c r="AU4" s="93"/>
      <c r="AV4" s="94"/>
      <c r="AW4" s="93"/>
      <c r="AX4" s="94"/>
      <c r="AY4" s="93"/>
      <c r="AZ4" s="94"/>
      <c r="BA4" s="93"/>
      <c r="BB4" s="94"/>
      <c r="BC4" s="93"/>
      <c r="BD4" s="94"/>
      <c r="BE4" s="93"/>
      <c r="BF4" s="95"/>
      <c r="BG4" s="96"/>
      <c r="BH4" s="97"/>
      <c r="BI4" s="97"/>
      <c r="BJ4" s="98"/>
      <c r="BK4" s="138"/>
    </row>
    <row r="5" spans="2:66" s="14" customFormat="1" ht="18" customHeight="1" x14ac:dyDescent="0.25">
      <c r="F5" s="3" t="s">
        <v>476</v>
      </c>
      <c r="G5" s="13" t="s">
        <v>477</v>
      </c>
      <c r="I5" s="85"/>
      <c r="J5" s="137"/>
      <c r="K5" s="92"/>
      <c r="L5" s="85"/>
      <c r="M5" s="93"/>
      <c r="N5" s="94"/>
      <c r="O5" s="93"/>
      <c r="P5" s="94"/>
      <c r="Q5" s="93"/>
      <c r="R5" s="94"/>
      <c r="S5" s="93"/>
      <c r="T5" s="94"/>
      <c r="U5" s="93"/>
      <c r="V5" s="94"/>
      <c r="W5" s="93"/>
      <c r="X5" s="94"/>
      <c r="Y5" s="93"/>
      <c r="Z5" s="94"/>
      <c r="AA5" s="93"/>
      <c r="AB5" s="94"/>
      <c r="AC5" s="93"/>
      <c r="AD5" s="94"/>
      <c r="AE5" s="93"/>
      <c r="AF5" s="94"/>
      <c r="AG5" s="93"/>
      <c r="AH5" s="94"/>
      <c r="AI5" s="93"/>
      <c r="AJ5" s="94"/>
      <c r="AK5" s="93"/>
      <c r="AL5" s="94"/>
      <c r="AM5" s="93"/>
      <c r="AN5" s="94"/>
      <c r="AO5" s="93"/>
      <c r="AP5" s="94"/>
      <c r="AQ5" s="93"/>
      <c r="AR5" s="94"/>
      <c r="AS5" s="93"/>
      <c r="AT5" s="94"/>
      <c r="AU5" s="93"/>
      <c r="AV5" s="94"/>
      <c r="AW5" s="93"/>
      <c r="AX5" s="94"/>
      <c r="AY5" s="93"/>
      <c r="AZ5" s="94"/>
      <c r="BA5" s="93"/>
      <c r="BB5" s="94"/>
      <c r="BC5" s="93"/>
      <c r="BD5" s="94"/>
      <c r="BE5" s="93"/>
      <c r="BF5" s="95"/>
      <c r="BG5" s="96"/>
      <c r="BH5" s="97"/>
      <c r="BI5" s="97"/>
      <c r="BJ5" s="98"/>
      <c r="BK5" s="138"/>
    </row>
    <row r="6" spans="2:66" s="14" customFormat="1" ht="18" customHeight="1" x14ac:dyDescent="0.25">
      <c r="F6" s="12" t="s">
        <v>478</v>
      </c>
      <c r="G6" s="13" t="s">
        <v>479</v>
      </c>
      <c r="I6" s="85"/>
      <c r="J6" s="137"/>
      <c r="K6" s="92"/>
      <c r="L6" s="85"/>
      <c r="M6" s="93"/>
      <c r="N6" s="94"/>
      <c r="O6" s="93"/>
      <c r="P6" s="94"/>
      <c r="Q6" s="93"/>
      <c r="R6" s="94"/>
      <c r="S6" s="93"/>
      <c r="T6" s="94"/>
      <c r="U6" s="93"/>
      <c r="V6" s="94"/>
      <c r="W6" s="93"/>
      <c r="X6" s="94"/>
      <c r="Y6" s="93"/>
      <c r="Z6" s="94"/>
      <c r="AA6" s="93"/>
      <c r="AB6" s="94"/>
      <c r="AC6" s="93"/>
      <c r="AD6" s="94"/>
      <c r="AE6" s="93"/>
      <c r="AF6" s="94"/>
      <c r="AG6" s="93"/>
      <c r="AH6" s="94"/>
      <c r="AI6" s="93"/>
      <c r="AJ6" s="94"/>
      <c r="AK6" s="93"/>
      <c r="AL6" s="94"/>
      <c r="AM6" s="93"/>
      <c r="AN6" s="94"/>
      <c r="AO6" s="93"/>
      <c r="AP6" s="94"/>
      <c r="AQ6" s="93"/>
      <c r="AR6" s="94"/>
      <c r="AS6" s="93"/>
      <c r="AT6" s="94"/>
      <c r="AU6" s="93"/>
      <c r="AV6" s="94"/>
      <c r="AW6" s="93"/>
      <c r="AX6" s="94"/>
      <c r="AY6" s="93"/>
      <c r="AZ6" s="94"/>
      <c r="BA6" s="93"/>
      <c r="BB6" s="94"/>
      <c r="BC6" s="93"/>
      <c r="BD6" s="94"/>
      <c r="BE6" s="93"/>
      <c r="BF6" s="95"/>
      <c r="BG6" s="96"/>
      <c r="BH6" s="97"/>
      <c r="BI6" s="97"/>
      <c r="BJ6" s="98"/>
      <c r="BK6" s="138"/>
    </row>
    <row r="7" spans="2:66" s="14" customFormat="1" ht="18" customHeight="1" x14ac:dyDescent="0.25">
      <c r="F7" s="12" t="s">
        <v>480</v>
      </c>
      <c r="G7" s="99" t="s">
        <v>481</v>
      </c>
      <c r="H7" s="139"/>
      <c r="I7" s="85"/>
      <c r="J7" s="137"/>
      <c r="K7" s="92"/>
      <c r="L7" s="85"/>
      <c r="M7" s="93"/>
      <c r="N7" s="94"/>
      <c r="O7" s="93"/>
      <c r="P7" s="94"/>
      <c r="Q7" s="93"/>
      <c r="R7" s="94"/>
      <c r="S7" s="93"/>
      <c r="T7" s="94"/>
      <c r="U7" s="93"/>
      <c r="V7" s="94"/>
      <c r="W7" s="93"/>
      <c r="X7" s="94"/>
      <c r="Y7" s="93"/>
      <c r="Z7" s="94"/>
      <c r="AA7" s="93"/>
      <c r="AB7" s="94"/>
      <c r="AC7" s="93"/>
      <c r="AD7" s="94"/>
      <c r="AE7" s="93"/>
      <c r="AF7" s="94"/>
      <c r="AG7" s="93"/>
      <c r="AH7" s="94"/>
      <c r="AI7" s="93"/>
      <c r="AJ7" s="94"/>
      <c r="AK7" s="93"/>
      <c r="AL7" s="94"/>
      <c r="AM7" s="93"/>
      <c r="AN7" s="94"/>
      <c r="AO7" s="93"/>
      <c r="AP7" s="94"/>
      <c r="AQ7" s="93"/>
      <c r="AR7" s="94"/>
      <c r="AS7" s="93"/>
      <c r="AT7" s="94"/>
      <c r="AU7" s="93"/>
      <c r="AV7" s="94"/>
      <c r="AW7" s="93"/>
      <c r="AX7" s="94"/>
      <c r="AY7" s="93"/>
      <c r="AZ7" s="94"/>
      <c r="BA7" s="93"/>
      <c r="BB7" s="94"/>
      <c r="BC7" s="93"/>
      <c r="BD7" s="94"/>
      <c r="BE7" s="93"/>
      <c r="BF7" s="95"/>
      <c r="BG7" s="96"/>
      <c r="BH7" s="97"/>
      <c r="BI7" s="97"/>
      <c r="BJ7" s="98"/>
      <c r="BK7" s="138"/>
    </row>
    <row r="8" spans="2:66" s="15" customFormat="1" ht="18" customHeight="1" x14ac:dyDescent="0.2">
      <c r="D8" s="140"/>
      <c r="F8" s="12"/>
      <c r="G8" s="99"/>
      <c r="H8" s="139"/>
      <c r="K8" s="141"/>
      <c r="L8" s="142" t="s">
        <v>497</v>
      </c>
      <c r="M8" s="246">
        <v>43982</v>
      </c>
      <c r="N8" s="246"/>
      <c r="O8" s="247">
        <v>44012</v>
      </c>
      <c r="P8" s="247"/>
      <c r="Q8" s="247">
        <v>44043</v>
      </c>
      <c r="R8" s="247"/>
      <c r="S8" s="247">
        <v>44074</v>
      </c>
      <c r="T8" s="247"/>
      <c r="U8" s="247">
        <v>44104</v>
      </c>
      <c r="V8" s="247"/>
      <c r="W8" s="247">
        <v>44135</v>
      </c>
      <c r="X8" s="247"/>
      <c r="Y8" s="247">
        <v>44165</v>
      </c>
      <c r="Z8" s="247"/>
      <c r="AA8" s="247">
        <v>44196</v>
      </c>
      <c r="AB8" s="247"/>
      <c r="AC8" s="247">
        <v>44651</v>
      </c>
      <c r="AD8" s="247"/>
      <c r="AE8" s="247">
        <v>44681</v>
      </c>
      <c r="AF8" s="247"/>
      <c r="AG8" s="247">
        <v>44773</v>
      </c>
      <c r="AH8" s="247"/>
      <c r="AI8" s="247">
        <v>44316</v>
      </c>
      <c r="AJ8" s="247"/>
      <c r="AK8" s="247">
        <v>44347</v>
      </c>
      <c r="AL8" s="247"/>
      <c r="AM8" s="247">
        <v>44377</v>
      </c>
      <c r="AN8" s="247"/>
      <c r="AO8" s="247">
        <v>44408</v>
      </c>
      <c r="AP8" s="247"/>
      <c r="AQ8" s="247">
        <v>44439</v>
      </c>
      <c r="AR8" s="247"/>
      <c r="AS8" s="247">
        <v>44469</v>
      </c>
      <c r="AT8" s="247"/>
      <c r="AU8" s="247">
        <v>44500</v>
      </c>
      <c r="AV8" s="247"/>
      <c r="AW8" s="247">
        <v>44530</v>
      </c>
      <c r="AX8" s="247"/>
      <c r="AY8" s="247">
        <v>44561</v>
      </c>
      <c r="AZ8" s="247"/>
      <c r="BA8" s="247">
        <v>44592</v>
      </c>
      <c r="BB8" s="247"/>
      <c r="BC8" s="247">
        <v>44620</v>
      </c>
      <c r="BD8" s="247"/>
      <c r="BE8" s="247">
        <v>44651</v>
      </c>
      <c r="BF8" s="247"/>
      <c r="BG8" s="143" t="s">
        <v>498</v>
      </c>
      <c r="BH8" s="144" t="str">
        <f>+C12</f>
        <v>VN - Vedlejší a ostatní náklady</v>
      </c>
      <c r="BI8" s="144"/>
      <c r="BK8" s="145"/>
    </row>
    <row r="9" spans="2:66" s="16" customFormat="1" ht="20.100000000000001" customHeight="1" x14ac:dyDescent="0.2">
      <c r="C9" s="162"/>
      <c r="D9" s="163"/>
      <c r="E9" s="163"/>
      <c r="F9" s="163"/>
      <c r="G9" s="163"/>
      <c r="H9" s="163"/>
      <c r="I9" s="164"/>
      <c r="J9" s="165"/>
      <c r="K9" s="248" t="s">
        <v>484</v>
      </c>
      <c r="L9" s="248"/>
      <c r="M9" s="249" t="s">
        <v>499</v>
      </c>
      <c r="N9" s="249"/>
      <c r="O9" s="249" t="s">
        <v>500</v>
      </c>
      <c r="P9" s="249"/>
      <c r="Q9" s="249" t="s">
        <v>501</v>
      </c>
      <c r="R9" s="249"/>
      <c r="S9" s="249" t="s">
        <v>502</v>
      </c>
      <c r="T9" s="249"/>
      <c r="U9" s="249" t="s">
        <v>503</v>
      </c>
      <c r="V9" s="249"/>
      <c r="W9" s="249" t="s">
        <v>485</v>
      </c>
      <c r="X9" s="249"/>
      <c r="Y9" s="249" t="s">
        <v>486</v>
      </c>
      <c r="Z9" s="249"/>
      <c r="AA9" s="249" t="s">
        <v>487</v>
      </c>
      <c r="AB9" s="249"/>
      <c r="AC9" s="249" t="s">
        <v>504</v>
      </c>
      <c r="AD9" s="249"/>
      <c r="AE9" s="249" t="s">
        <v>560</v>
      </c>
      <c r="AF9" s="249"/>
      <c r="AG9" s="249" t="s">
        <v>582</v>
      </c>
      <c r="AH9" s="249"/>
      <c r="AI9" s="249" t="s">
        <v>507</v>
      </c>
      <c r="AJ9" s="249"/>
      <c r="AK9" s="249" t="s">
        <v>508</v>
      </c>
      <c r="AL9" s="249"/>
      <c r="AM9" s="249" t="s">
        <v>509</v>
      </c>
      <c r="AN9" s="249"/>
      <c r="AO9" s="249" t="s">
        <v>510</v>
      </c>
      <c r="AP9" s="249"/>
      <c r="AQ9" s="249" t="s">
        <v>511</v>
      </c>
      <c r="AR9" s="249"/>
      <c r="AS9" s="249" t="s">
        <v>512</v>
      </c>
      <c r="AT9" s="249"/>
      <c r="AU9" s="249" t="s">
        <v>488</v>
      </c>
      <c r="AV9" s="249"/>
      <c r="AW9" s="249" t="s">
        <v>489</v>
      </c>
      <c r="AX9" s="249"/>
      <c r="AY9" s="249" t="s">
        <v>490</v>
      </c>
      <c r="AZ9" s="249"/>
      <c r="BA9" s="249" t="s">
        <v>513</v>
      </c>
      <c r="BB9" s="249"/>
      <c r="BC9" s="249" t="s">
        <v>514</v>
      </c>
      <c r="BD9" s="249"/>
      <c r="BE9" s="249" t="s">
        <v>515</v>
      </c>
      <c r="BF9" s="249"/>
      <c r="BG9" s="242" t="s">
        <v>491</v>
      </c>
      <c r="BH9" s="242"/>
      <c r="BI9" s="243"/>
      <c r="BJ9" s="244" t="s">
        <v>492</v>
      </c>
      <c r="BK9" s="244"/>
      <c r="BL9" s="245"/>
    </row>
    <row r="10" spans="2:66" s="16" customFormat="1" ht="24" customHeight="1" x14ac:dyDescent="0.2">
      <c r="C10" s="166"/>
      <c r="D10" s="167" t="s">
        <v>516</v>
      </c>
      <c r="E10" s="167" t="s">
        <v>517</v>
      </c>
      <c r="F10" s="167" t="s">
        <v>518</v>
      </c>
      <c r="G10" s="167" t="s">
        <v>24</v>
      </c>
      <c r="H10" s="168" t="s">
        <v>25</v>
      </c>
      <c r="I10" s="169" t="s">
        <v>519</v>
      </c>
      <c r="J10" s="170" t="s">
        <v>520</v>
      </c>
      <c r="K10" s="171" t="s">
        <v>521</v>
      </c>
      <c r="L10" s="172" t="s">
        <v>494</v>
      </c>
      <c r="M10" s="250" t="s">
        <v>494</v>
      </c>
      <c r="N10" s="250"/>
      <c r="O10" s="251" t="s">
        <v>494</v>
      </c>
      <c r="P10" s="251"/>
      <c r="Q10" s="173" t="s">
        <v>521</v>
      </c>
      <c r="R10" s="174" t="s">
        <v>494</v>
      </c>
      <c r="S10" s="251" t="s">
        <v>494</v>
      </c>
      <c r="T10" s="251"/>
      <c r="U10" s="251" t="s">
        <v>494</v>
      </c>
      <c r="V10" s="251"/>
      <c r="W10" s="250" t="s">
        <v>494</v>
      </c>
      <c r="X10" s="250"/>
      <c r="Y10" s="250" t="s">
        <v>494</v>
      </c>
      <c r="Z10" s="250"/>
      <c r="AA10" s="250" t="s">
        <v>494</v>
      </c>
      <c r="AB10" s="250"/>
      <c r="AC10" s="187"/>
      <c r="AD10" s="187" t="s">
        <v>494</v>
      </c>
      <c r="AE10" s="187"/>
      <c r="AF10" s="187" t="s">
        <v>494</v>
      </c>
      <c r="AG10" s="187"/>
      <c r="AH10" s="187" t="s">
        <v>494</v>
      </c>
      <c r="AI10" s="250" t="s">
        <v>494</v>
      </c>
      <c r="AJ10" s="250"/>
      <c r="AK10" s="250" t="s">
        <v>494</v>
      </c>
      <c r="AL10" s="250"/>
      <c r="AM10" s="250" t="s">
        <v>494</v>
      </c>
      <c r="AN10" s="250"/>
      <c r="AO10" s="250" t="s">
        <v>494</v>
      </c>
      <c r="AP10" s="250"/>
      <c r="AQ10" s="250" t="s">
        <v>494</v>
      </c>
      <c r="AR10" s="250"/>
      <c r="AS10" s="250" t="s">
        <v>494</v>
      </c>
      <c r="AT10" s="250"/>
      <c r="AU10" s="250" t="s">
        <v>494</v>
      </c>
      <c r="AV10" s="250"/>
      <c r="AW10" s="250" t="s">
        <v>494</v>
      </c>
      <c r="AX10" s="250"/>
      <c r="AY10" s="250" t="s">
        <v>494</v>
      </c>
      <c r="AZ10" s="250"/>
      <c r="BA10" s="250" t="s">
        <v>494</v>
      </c>
      <c r="BB10" s="250"/>
      <c r="BC10" s="250" t="s">
        <v>494</v>
      </c>
      <c r="BD10" s="250"/>
      <c r="BE10" s="250" t="s">
        <v>494</v>
      </c>
      <c r="BF10" s="250"/>
      <c r="BG10" s="46" t="s">
        <v>521</v>
      </c>
      <c r="BH10" s="47" t="s">
        <v>494</v>
      </c>
      <c r="BI10" s="47" t="s">
        <v>529</v>
      </c>
      <c r="BJ10" s="48" t="s">
        <v>521</v>
      </c>
      <c r="BK10" s="49" t="s">
        <v>494</v>
      </c>
      <c r="BL10" s="50" t="s">
        <v>529</v>
      </c>
      <c r="BM10" s="184" t="s">
        <v>547</v>
      </c>
      <c r="BN10" s="184" t="s">
        <v>566</v>
      </c>
    </row>
    <row r="11" spans="2:66" s="16" customFormat="1" ht="12.75" x14ac:dyDescent="0.2">
      <c r="D11" s="17"/>
      <c r="E11" s="17"/>
      <c r="F11" s="17"/>
      <c r="G11" s="17"/>
      <c r="H11" s="18"/>
      <c r="I11" s="19"/>
      <c r="J11" s="20"/>
      <c r="K11" s="21"/>
      <c r="L11" s="22"/>
      <c r="M11" s="80"/>
      <c r="N11" s="80"/>
      <c r="O11" s="23"/>
      <c r="P11" s="80"/>
      <c r="Q11" s="80"/>
      <c r="R11" s="80"/>
      <c r="S11" s="80"/>
      <c r="T11" s="80"/>
      <c r="U11" s="80"/>
      <c r="V11" s="80"/>
      <c r="W11" s="81"/>
      <c r="X11" s="81"/>
      <c r="Y11" s="23"/>
      <c r="Z11" s="80"/>
      <c r="AA11" s="81"/>
      <c r="AB11" s="81"/>
      <c r="AC11" s="194" t="s">
        <v>522</v>
      </c>
      <c r="AD11" s="81"/>
      <c r="AE11" s="188" t="s">
        <v>522</v>
      </c>
      <c r="AF11" s="80"/>
      <c r="AG11" s="188" t="s">
        <v>522</v>
      </c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80"/>
      <c r="BD11" s="80"/>
      <c r="BE11" s="81"/>
      <c r="BF11" s="81"/>
      <c r="BG11" s="146"/>
      <c r="BH11" s="147"/>
      <c r="BI11" s="147"/>
      <c r="BJ11" s="148"/>
      <c r="BK11" s="149"/>
    </row>
    <row r="12" spans="2:66" s="114" customFormat="1" ht="22.9" customHeight="1" x14ac:dyDescent="0.25">
      <c r="B12" s="1"/>
      <c r="C12" s="37" t="s">
        <v>435</v>
      </c>
      <c r="D12" s="1"/>
      <c r="E12" s="1"/>
      <c r="F12" s="1"/>
      <c r="G12" s="1"/>
      <c r="H12" s="1"/>
      <c r="I12" s="38"/>
      <c r="J12" s="39">
        <v>324281</v>
      </c>
      <c r="K12" s="150" t="str">
        <f t="shared" ref="K12:K14" si="0">IF(ISBLANK(I12),"",SUM(M12+O12+Q12+S12+U12+W12+Y12+AA12+AC12+AE12+AG12+AI12+AK12+BE12,AM12,AO12,AQ12,AS12,AU12,AW12,AY12,BA12,BC12))</f>
        <v/>
      </c>
      <c r="L12" s="151" t="str">
        <f t="shared" ref="L12:L31" si="1">IF(ISBLANK(I12),"",K12*I12)</f>
        <v/>
      </c>
      <c r="M12" s="152"/>
      <c r="N12" s="153" t="str">
        <f t="shared" ref="N12:N31" si="2">IF(ISBLANK($H12),"",M12*$I12)</f>
        <v/>
      </c>
      <c r="O12" s="152"/>
      <c r="P12" s="153" t="str">
        <f t="shared" ref="P12:P31" si="3">IF(ISBLANK($H12),"",O12*$I12)</f>
        <v/>
      </c>
      <c r="Q12" s="154"/>
      <c r="R12" s="153" t="str">
        <f t="shared" ref="R12:R31" si="4">IF(ISBLANK($H12),"",Q12*$I12)</f>
        <v/>
      </c>
      <c r="S12" s="155"/>
      <c r="T12" s="153" t="str">
        <f t="shared" ref="T12:T31" si="5">IF(ISBLANK($H12),"",S12*$I12)</f>
        <v/>
      </c>
      <c r="U12" s="155"/>
      <c r="V12" s="153" t="str">
        <f t="shared" ref="V12:V31" si="6">IF(ISBLANK($H12),"",U12*$I12)</f>
        <v/>
      </c>
      <c r="W12" s="155"/>
      <c r="X12" s="153" t="str">
        <f t="shared" ref="X12:X31" si="7">IF(ISBLANK($H12),"",W12*$I12)</f>
        <v/>
      </c>
      <c r="Y12" s="155"/>
      <c r="Z12" s="153" t="str">
        <f t="shared" ref="Z12:Z31" si="8">IF(ISBLANK($H12),"",Y12*$I12)</f>
        <v/>
      </c>
      <c r="AA12" s="155"/>
      <c r="AB12" s="153" t="str">
        <f t="shared" ref="AB12:AB31" si="9">IF(ISBLANK($H12),"",AA12*$I12)</f>
        <v/>
      </c>
      <c r="AC12" s="189" t="s">
        <v>522</v>
      </c>
      <c r="AD12" s="153" t="str">
        <f t="shared" ref="AD12:AD31" si="10">IF(ISBLANK($H12),"",AC12*$I12)</f>
        <v/>
      </c>
      <c r="AE12" s="189" t="s">
        <v>522</v>
      </c>
      <c r="AF12" s="153" t="str">
        <f t="shared" ref="AF12:AF31" si="11">IF(ISBLANK($H12),"",AE12*$I12)</f>
        <v/>
      </c>
      <c r="AG12" s="189" t="s">
        <v>522</v>
      </c>
      <c r="AH12" s="153" t="str">
        <f t="shared" ref="AH12:AH31" si="12">IF(ISBLANK($H12),"",AG12*$I12)</f>
        <v/>
      </c>
      <c r="AI12" s="155"/>
      <c r="AJ12" s="153" t="str">
        <f t="shared" ref="AJ12:AJ31" si="13">IF(ISBLANK($H12),"",AI12*$I12)</f>
        <v/>
      </c>
      <c r="AK12" s="155"/>
      <c r="AL12" s="153" t="str">
        <f t="shared" ref="AL12:AL31" si="14">IF(ISBLANK($H12),"",AK12*$I12)</f>
        <v/>
      </c>
      <c r="AM12" s="155"/>
      <c r="AN12" s="153" t="str">
        <f t="shared" ref="AN12:AN31" si="15">IF(ISBLANK($H12),"",AM12*$I12)</f>
        <v/>
      </c>
      <c r="AO12" s="155"/>
      <c r="AP12" s="153" t="str">
        <f t="shared" ref="AP12:AP31" si="16">IF(ISBLANK($H12),"",AO12*$I12)</f>
        <v/>
      </c>
      <c r="AQ12" s="155"/>
      <c r="AR12" s="153" t="str">
        <f t="shared" ref="AR12:AR31" si="17">IF(ISBLANK($H12),"",AQ12*$I12)</f>
        <v/>
      </c>
      <c r="AS12" s="155"/>
      <c r="AT12" s="153" t="str">
        <f t="shared" ref="AT12:AT31" si="18">IF(ISBLANK($H12),"",AS12*$I12)</f>
        <v/>
      </c>
      <c r="AU12" s="155"/>
      <c r="AV12" s="153" t="str">
        <f t="shared" ref="AV12:AV31" si="19">IF(ISBLANK($H12),"",AU12*$I12)</f>
        <v/>
      </c>
      <c r="AW12" s="155"/>
      <c r="AX12" s="153" t="str">
        <f t="shared" ref="AX12:AX31" si="20">IF(ISBLANK($H12),"",AW12*$I12)</f>
        <v/>
      </c>
      <c r="AY12" s="155"/>
      <c r="AZ12" s="153" t="str">
        <f t="shared" ref="AZ12:AZ31" si="21">IF(ISBLANK($H12),"",AY12*$I12)</f>
        <v/>
      </c>
      <c r="BA12" s="155"/>
      <c r="BB12" s="153" t="str">
        <f t="shared" ref="BB12:BB31" si="22">IF(ISBLANK($H12),"",BA12*$I12)</f>
        <v/>
      </c>
      <c r="BC12" s="155"/>
      <c r="BD12" s="153" t="str">
        <f t="shared" ref="BD12:BD31" si="23">IF(ISBLANK($H12),"",BC12*$I12)</f>
        <v/>
      </c>
      <c r="BE12" s="155"/>
      <c r="BF12" s="153" t="str">
        <f t="shared" ref="BF12:BF31" si="24">IF(ISBLANK($H12),"",BE12*$I12)</f>
        <v/>
      </c>
      <c r="BG12" s="156" t="str">
        <f t="shared" ref="BG12:BG31" si="25">IF(ISBLANK(H12),"",SUM(M12+O12+Q12+S12+U12+W12+Y12+AA12+AC12+AE12+AG12+AI12+AK12+BE12+AM12,AO12,AQ12,AS12+AU12,AW12,AY12,BA12,BC12,BE12))</f>
        <v/>
      </c>
      <c r="BH12" s="157" t="str">
        <f t="shared" ref="BH12:BH31" si="26">IF(ISBLANK(H12),"",SUM(N12+P12+R12+T12+V12+X12+Z12+AB12+AD12+AF12+AH12+AJ12+AL12+BF12,BD12,BB12,AZ12,AX12,AV12,AT12,AR12,AP12,AN12))</f>
        <v/>
      </c>
      <c r="BI12" s="157"/>
      <c r="BJ12" s="158" t="str">
        <f t="shared" ref="BJ12:BJ31" si="27">IF(ISBLANK(H12),"",H12-BG12)</f>
        <v/>
      </c>
      <c r="BK12" s="159" t="str">
        <f t="shared" ref="BK12:BK31" si="28">IF(ISBLANK(H12),"",J12-BH12)</f>
        <v/>
      </c>
    </row>
    <row r="13" spans="2:66" s="160" customFormat="1" ht="25.9" customHeight="1" x14ac:dyDescent="0.2">
      <c r="B13" s="2"/>
      <c r="C13" s="2"/>
      <c r="D13" s="40" t="s">
        <v>3</v>
      </c>
      <c r="E13" s="41" t="s">
        <v>26</v>
      </c>
      <c r="F13" s="41" t="s">
        <v>27</v>
      </c>
      <c r="G13" s="2"/>
      <c r="H13" s="2"/>
      <c r="I13" s="42"/>
      <c r="J13" s="43">
        <v>324281</v>
      </c>
      <c r="K13" s="150" t="str">
        <f t="shared" si="0"/>
        <v/>
      </c>
      <c r="L13" s="151" t="str">
        <f t="shared" si="1"/>
        <v/>
      </c>
      <c r="M13" s="152"/>
      <c r="N13" s="153" t="str">
        <f t="shared" si="2"/>
        <v/>
      </c>
      <c r="O13" s="152"/>
      <c r="P13" s="153" t="str">
        <f t="shared" si="3"/>
        <v/>
      </c>
      <c r="Q13" s="154"/>
      <c r="R13" s="153" t="str">
        <f t="shared" si="4"/>
        <v/>
      </c>
      <c r="S13" s="155"/>
      <c r="T13" s="153" t="str">
        <f t="shared" si="5"/>
        <v/>
      </c>
      <c r="U13" s="155"/>
      <c r="V13" s="153" t="str">
        <f t="shared" si="6"/>
        <v/>
      </c>
      <c r="W13" s="155"/>
      <c r="X13" s="153" t="str">
        <f t="shared" si="7"/>
        <v/>
      </c>
      <c r="Y13" s="155"/>
      <c r="Z13" s="153" t="str">
        <f t="shared" si="8"/>
        <v/>
      </c>
      <c r="AA13" s="155"/>
      <c r="AB13" s="153" t="str">
        <f t="shared" si="9"/>
        <v/>
      </c>
      <c r="AC13" s="189" t="s">
        <v>522</v>
      </c>
      <c r="AD13" s="153" t="str">
        <f t="shared" si="10"/>
        <v/>
      </c>
      <c r="AE13" s="189" t="s">
        <v>522</v>
      </c>
      <c r="AF13" s="153" t="str">
        <f t="shared" si="11"/>
        <v/>
      </c>
      <c r="AG13" s="189" t="s">
        <v>522</v>
      </c>
      <c r="AH13" s="153" t="str">
        <f t="shared" si="12"/>
        <v/>
      </c>
      <c r="AI13" s="155"/>
      <c r="AJ13" s="153" t="str">
        <f t="shared" si="13"/>
        <v/>
      </c>
      <c r="AK13" s="155"/>
      <c r="AL13" s="153" t="str">
        <f t="shared" si="14"/>
        <v/>
      </c>
      <c r="AM13" s="155"/>
      <c r="AN13" s="153" t="str">
        <f t="shared" si="15"/>
        <v/>
      </c>
      <c r="AO13" s="155"/>
      <c r="AP13" s="153" t="str">
        <f t="shared" si="16"/>
        <v/>
      </c>
      <c r="AQ13" s="155"/>
      <c r="AR13" s="153" t="str">
        <f t="shared" si="17"/>
        <v/>
      </c>
      <c r="AS13" s="155"/>
      <c r="AT13" s="153" t="str">
        <f t="shared" si="18"/>
        <v/>
      </c>
      <c r="AU13" s="155"/>
      <c r="AV13" s="153" t="str">
        <f t="shared" si="19"/>
        <v/>
      </c>
      <c r="AW13" s="155"/>
      <c r="AX13" s="153" t="str">
        <f t="shared" si="20"/>
        <v/>
      </c>
      <c r="AY13" s="155"/>
      <c r="AZ13" s="153" t="str">
        <f t="shared" si="21"/>
        <v/>
      </c>
      <c r="BA13" s="155"/>
      <c r="BB13" s="153" t="str">
        <f t="shared" si="22"/>
        <v/>
      </c>
      <c r="BC13" s="155"/>
      <c r="BD13" s="153" t="str">
        <f t="shared" si="23"/>
        <v/>
      </c>
      <c r="BE13" s="155"/>
      <c r="BF13" s="153" t="str">
        <f t="shared" si="24"/>
        <v/>
      </c>
      <c r="BG13" s="156" t="str">
        <f t="shared" si="25"/>
        <v/>
      </c>
      <c r="BH13" s="157" t="str">
        <f t="shared" si="26"/>
        <v/>
      </c>
      <c r="BI13" s="157"/>
      <c r="BJ13" s="158" t="str">
        <f t="shared" si="27"/>
        <v/>
      </c>
      <c r="BK13" s="159" t="str">
        <f t="shared" si="28"/>
        <v/>
      </c>
      <c r="BM13" s="258" t="s">
        <v>558</v>
      </c>
    </row>
    <row r="14" spans="2:66" s="160" customFormat="1" ht="22.9" customHeight="1" x14ac:dyDescent="0.2">
      <c r="B14" s="2"/>
      <c r="C14" s="2"/>
      <c r="D14" s="40" t="s">
        <v>3</v>
      </c>
      <c r="E14" s="44" t="s">
        <v>269</v>
      </c>
      <c r="F14" s="44" t="s">
        <v>436</v>
      </c>
      <c r="G14" s="2"/>
      <c r="H14" s="2"/>
      <c r="I14" s="42"/>
      <c r="J14" s="45">
        <v>324281</v>
      </c>
      <c r="K14" s="150" t="str">
        <f t="shared" si="0"/>
        <v/>
      </c>
      <c r="L14" s="151" t="str">
        <f t="shared" si="1"/>
        <v/>
      </c>
      <c r="M14" s="152"/>
      <c r="N14" s="153" t="str">
        <f t="shared" si="2"/>
        <v/>
      </c>
      <c r="O14" s="152"/>
      <c r="P14" s="153" t="str">
        <f t="shared" si="3"/>
        <v/>
      </c>
      <c r="Q14" s="154"/>
      <c r="R14" s="153" t="str">
        <f t="shared" si="4"/>
        <v/>
      </c>
      <c r="S14" s="155"/>
      <c r="T14" s="153" t="str">
        <f t="shared" si="5"/>
        <v/>
      </c>
      <c r="U14" s="155"/>
      <c r="V14" s="153" t="str">
        <f t="shared" si="6"/>
        <v/>
      </c>
      <c r="W14" s="155"/>
      <c r="X14" s="153" t="str">
        <f t="shared" si="7"/>
        <v/>
      </c>
      <c r="Y14" s="155"/>
      <c r="Z14" s="153" t="str">
        <f t="shared" si="8"/>
        <v/>
      </c>
      <c r="AA14" s="155"/>
      <c r="AB14" s="153" t="str">
        <f t="shared" si="9"/>
        <v/>
      </c>
      <c r="AC14" s="189" t="s">
        <v>522</v>
      </c>
      <c r="AD14" s="153" t="str">
        <f t="shared" si="10"/>
        <v/>
      </c>
      <c r="AE14" s="189" t="s">
        <v>522</v>
      </c>
      <c r="AF14" s="153" t="str">
        <f t="shared" si="11"/>
        <v/>
      </c>
      <c r="AG14" s="189" t="s">
        <v>522</v>
      </c>
      <c r="AH14" s="153" t="str">
        <f t="shared" si="12"/>
        <v/>
      </c>
      <c r="AI14" s="155"/>
      <c r="AJ14" s="153" t="str">
        <f t="shared" si="13"/>
        <v/>
      </c>
      <c r="AK14" s="155"/>
      <c r="AL14" s="153" t="str">
        <f t="shared" si="14"/>
        <v/>
      </c>
      <c r="AM14" s="155"/>
      <c r="AN14" s="153" t="str">
        <f t="shared" si="15"/>
        <v/>
      </c>
      <c r="AO14" s="155"/>
      <c r="AP14" s="153" t="str">
        <f t="shared" si="16"/>
        <v/>
      </c>
      <c r="AQ14" s="155"/>
      <c r="AR14" s="153" t="str">
        <f t="shared" si="17"/>
        <v/>
      </c>
      <c r="AS14" s="155"/>
      <c r="AT14" s="153" t="str">
        <f t="shared" si="18"/>
        <v/>
      </c>
      <c r="AU14" s="155"/>
      <c r="AV14" s="153" t="str">
        <f t="shared" si="19"/>
        <v/>
      </c>
      <c r="AW14" s="155"/>
      <c r="AX14" s="153" t="str">
        <f t="shared" si="20"/>
        <v/>
      </c>
      <c r="AY14" s="155"/>
      <c r="AZ14" s="153" t="str">
        <f t="shared" si="21"/>
        <v/>
      </c>
      <c r="BA14" s="155"/>
      <c r="BB14" s="153" t="str">
        <f t="shared" si="22"/>
        <v/>
      </c>
      <c r="BC14" s="155"/>
      <c r="BD14" s="153" t="str">
        <f t="shared" si="23"/>
        <v/>
      </c>
      <c r="BE14" s="155"/>
      <c r="BF14" s="153" t="str">
        <f t="shared" si="24"/>
        <v/>
      </c>
      <c r="BG14" s="156" t="str">
        <f t="shared" si="25"/>
        <v/>
      </c>
      <c r="BH14" s="157" t="str">
        <f t="shared" si="26"/>
        <v/>
      </c>
      <c r="BI14" s="157"/>
      <c r="BJ14" s="158" t="str">
        <f t="shared" si="27"/>
        <v/>
      </c>
      <c r="BK14" s="159" t="str">
        <f t="shared" si="28"/>
        <v/>
      </c>
      <c r="BM14" s="258"/>
    </row>
    <row r="15" spans="2:66" s="114" customFormat="1" ht="16.5" customHeight="1" x14ac:dyDescent="0.2">
      <c r="B15" s="1"/>
      <c r="C15" s="51" t="s">
        <v>6</v>
      </c>
      <c r="D15" s="51" t="s">
        <v>29</v>
      </c>
      <c r="E15" s="52" t="s">
        <v>437</v>
      </c>
      <c r="F15" s="53" t="s">
        <v>438</v>
      </c>
      <c r="G15" s="54" t="s">
        <v>186</v>
      </c>
      <c r="H15" s="55">
        <v>1</v>
      </c>
      <c r="I15" s="56">
        <v>161343</v>
      </c>
      <c r="J15" s="55">
        <v>161343</v>
      </c>
      <c r="K15" s="57">
        <f>IF(ISBLANK(I15),"",SUM(M15+O15+Q15+S15+U15+W15+Y15+AA15+AC15+AE15))</f>
        <v>0.60000000000000009</v>
      </c>
      <c r="L15" s="58">
        <f t="shared" si="1"/>
        <v>96805.800000000017</v>
      </c>
      <c r="M15" s="59"/>
      <c r="N15" s="60">
        <f t="shared" si="2"/>
        <v>0</v>
      </c>
      <c r="O15" s="59"/>
      <c r="P15" s="60">
        <f t="shared" si="3"/>
        <v>0</v>
      </c>
      <c r="Q15" s="61"/>
      <c r="R15" s="60">
        <f t="shared" si="4"/>
        <v>0</v>
      </c>
      <c r="S15" s="62"/>
      <c r="T15" s="60">
        <f t="shared" si="5"/>
        <v>0</v>
      </c>
      <c r="U15" s="62"/>
      <c r="V15" s="60">
        <f t="shared" si="6"/>
        <v>0</v>
      </c>
      <c r="W15" s="62"/>
      <c r="X15" s="60">
        <f t="shared" si="7"/>
        <v>0</v>
      </c>
      <c r="Y15" s="62"/>
      <c r="Z15" s="60">
        <f t="shared" si="8"/>
        <v>0</v>
      </c>
      <c r="AA15" s="62"/>
      <c r="AB15" s="60">
        <f t="shared" si="9"/>
        <v>0</v>
      </c>
      <c r="AC15" s="62">
        <v>0.2</v>
      </c>
      <c r="AD15" s="60">
        <f t="shared" si="10"/>
        <v>32268.600000000002</v>
      </c>
      <c r="AE15" s="62">
        <v>0.4</v>
      </c>
      <c r="AF15" s="60">
        <f t="shared" si="11"/>
        <v>64537.200000000004</v>
      </c>
      <c r="AG15" s="62">
        <v>0.2</v>
      </c>
      <c r="AH15" s="60">
        <f t="shared" si="12"/>
        <v>32268.600000000002</v>
      </c>
      <c r="AI15" s="62"/>
      <c r="AJ15" s="60">
        <f t="shared" si="13"/>
        <v>0</v>
      </c>
      <c r="AK15" s="62"/>
      <c r="AL15" s="60">
        <f t="shared" si="14"/>
        <v>0</v>
      </c>
      <c r="AM15" s="62"/>
      <c r="AN15" s="60">
        <f t="shared" si="15"/>
        <v>0</v>
      </c>
      <c r="AO15" s="62"/>
      <c r="AP15" s="60">
        <f t="shared" si="16"/>
        <v>0</v>
      </c>
      <c r="AQ15" s="62"/>
      <c r="AR15" s="60">
        <f t="shared" si="17"/>
        <v>0</v>
      </c>
      <c r="AS15" s="62"/>
      <c r="AT15" s="60">
        <f t="shared" si="18"/>
        <v>0</v>
      </c>
      <c r="AU15" s="62"/>
      <c r="AV15" s="60">
        <f t="shared" si="19"/>
        <v>0</v>
      </c>
      <c r="AW15" s="62"/>
      <c r="AX15" s="60">
        <f t="shared" si="20"/>
        <v>0</v>
      </c>
      <c r="AY15" s="62"/>
      <c r="AZ15" s="60">
        <f t="shared" si="21"/>
        <v>0</v>
      </c>
      <c r="BA15" s="62"/>
      <c r="BB15" s="60">
        <f t="shared" si="22"/>
        <v>0</v>
      </c>
      <c r="BC15" s="62"/>
      <c r="BD15" s="60">
        <f t="shared" si="23"/>
        <v>0</v>
      </c>
      <c r="BE15" s="62"/>
      <c r="BF15" s="60">
        <f t="shared" si="24"/>
        <v>0</v>
      </c>
      <c r="BG15" s="63">
        <f t="shared" si="25"/>
        <v>0.8</v>
      </c>
      <c r="BH15" s="64">
        <f t="shared" si="26"/>
        <v>129074.40000000001</v>
      </c>
      <c r="BI15" s="65">
        <f>IFERROR(IF($J15=0,0,BH15/$J15),"")</f>
        <v>0.8</v>
      </c>
      <c r="BJ15" s="66">
        <f t="shared" si="27"/>
        <v>0.19999999999999996</v>
      </c>
      <c r="BK15" s="67">
        <f t="shared" si="28"/>
        <v>32268.599999999991</v>
      </c>
      <c r="BL15" s="175">
        <f>IFERROR(IF($J15=0,0,BK15/$J15),"")</f>
        <v>0.19999999999999996</v>
      </c>
    </row>
    <row r="16" spans="2:66" s="114" customFormat="1" ht="16.5" hidden="1" customHeight="1" x14ac:dyDescent="0.2">
      <c r="B16" s="1"/>
      <c r="C16" s="51" t="s">
        <v>7</v>
      </c>
      <c r="D16" s="51" t="s">
        <v>29</v>
      </c>
      <c r="E16" s="52" t="s">
        <v>439</v>
      </c>
      <c r="F16" s="53" t="s">
        <v>440</v>
      </c>
      <c r="G16" s="54" t="s">
        <v>186</v>
      </c>
      <c r="H16" s="55">
        <v>1</v>
      </c>
      <c r="I16" s="56">
        <v>1870</v>
      </c>
      <c r="J16" s="55">
        <v>1870</v>
      </c>
      <c r="K16" s="57">
        <f t="shared" ref="K16:K31" si="29">IF(ISBLANK(I16),"",SUM(M16+O16+Q16+S16+U16+W16+Y16+AA16+AC16+AE16))</f>
        <v>0.60000000000000009</v>
      </c>
      <c r="L16" s="58">
        <f t="shared" si="1"/>
        <v>1122.0000000000002</v>
      </c>
      <c r="M16" s="59"/>
      <c r="N16" s="60">
        <f t="shared" si="2"/>
        <v>0</v>
      </c>
      <c r="O16" s="59"/>
      <c r="P16" s="60">
        <f t="shared" si="3"/>
        <v>0</v>
      </c>
      <c r="Q16" s="61"/>
      <c r="R16" s="60">
        <f t="shared" si="4"/>
        <v>0</v>
      </c>
      <c r="S16" s="62"/>
      <c r="T16" s="60">
        <f t="shared" si="5"/>
        <v>0</v>
      </c>
      <c r="U16" s="62"/>
      <c r="V16" s="60">
        <f t="shared" si="6"/>
        <v>0</v>
      </c>
      <c r="W16" s="62"/>
      <c r="X16" s="60">
        <f t="shared" si="7"/>
        <v>0</v>
      </c>
      <c r="Y16" s="62"/>
      <c r="Z16" s="60">
        <f t="shared" si="8"/>
        <v>0</v>
      </c>
      <c r="AA16" s="62"/>
      <c r="AB16" s="60">
        <f t="shared" si="9"/>
        <v>0</v>
      </c>
      <c r="AC16" s="62">
        <v>0.2</v>
      </c>
      <c r="AD16" s="60">
        <f t="shared" si="10"/>
        <v>374</v>
      </c>
      <c r="AE16" s="62">
        <v>0.4</v>
      </c>
      <c r="AF16" s="60">
        <f t="shared" si="11"/>
        <v>748</v>
      </c>
      <c r="AG16" s="62"/>
      <c r="AH16" s="60">
        <f t="shared" si="12"/>
        <v>0</v>
      </c>
      <c r="AI16" s="62"/>
      <c r="AJ16" s="60">
        <f t="shared" si="13"/>
        <v>0</v>
      </c>
      <c r="AK16" s="62"/>
      <c r="AL16" s="60">
        <f t="shared" si="14"/>
        <v>0</v>
      </c>
      <c r="AM16" s="62"/>
      <c r="AN16" s="60">
        <f t="shared" si="15"/>
        <v>0</v>
      </c>
      <c r="AO16" s="62"/>
      <c r="AP16" s="60">
        <f t="shared" si="16"/>
        <v>0</v>
      </c>
      <c r="AQ16" s="62"/>
      <c r="AR16" s="60">
        <f t="shared" si="17"/>
        <v>0</v>
      </c>
      <c r="AS16" s="62"/>
      <c r="AT16" s="60">
        <f t="shared" si="18"/>
        <v>0</v>
      </c>
      <c r="AU16" s="62"/>
      <c r="AV16" s="60">
        <f t="shared" si="19"/>
        <v>0</v>
      </c>
      <c r="AW16" s="62"/>
      <c r="AX16" s="60">
        <f t="shared" si="20"/>
        <v>0</v>
      </c>
      <c r="AY16" s="62"/>
      <c r="AZ16" s="60">
        <f t="shared" si="21"/>
        <v>0</v>
      </c>
      <c r="BA16" s="62"/>
      <c r="BB16" s="60">
        <f t="shared" si="22"/>
        <v>0</v>
      </c>
      <c r="BC16" s="62"/>
      <c r="BD16" s="60">
        <f t="shared" si="23"/>
        <v>0</v>
      </c>
      <c r="BE16" s="62"/>
      <c r="BF16" s="60">
        <f t="shared" si="24"/>
        <v>0</v>
      </c>
      <c r="BG16" s="63">
        <f t="shared" si="25"/>
        <v>0.60000000000000009</v>
      </c>
      <c r="BH16" s="64">
        <f t="shared" si="26"/>
        <v>1122</v>
      </c>
      <c r="BI16" s="65">
        <f t="shared" ref="BI16:BI31" si="30">IFERROR(IF($J16=0,0,BH16/$J16),"")</f>
        <v>0.6</v>
      </c>
      <c r="BJ16" s="66">
        <f t="shared" si="27"/>
        <v>0.39999999999999991</v>
      </c>
      <c r="BK16" s="67">
        <f t="shared" si="28"/>
        <v>748</v>
      </c>
      <c r="BL16" s="175">
        <f t="shared" ref="BL16:BL31" si="31">IFERROR(IF($J16=0,0,BK16/$J16),"")</f>
        <v>0.4</v>
      </c>
    </row>
    <row r="17" spans="2:67" s="114" customFormat="1" ht="16.5" hidden="1" customHeight="1" x14ac:dyDescent="0.2">
      <c r="B17" s="1"/>
      <c r="C17" s="51" t="s">
        <v>14</v>
      </c>
      <c r="D17" s="51" t="s">
        <v>29</v>
      </c>
      <c r="E17" s="52" t="s">
        <v>441</v>
      </c>
      <c r="F17" s="53" t="s">
        <v>442</v>
      </c>
      <c r="G17" s="54" t="s">
        <v>186</v>
      </c>
      <c r="H17" s="55">
        <v>1</v>
      </c>
      <c r="I17" s="56">
        <v>1870</v>
      </c>
      <c r="J17" s="55">
        <v>1870</v>
      </c>
      <c r="K17" s="57">
        <f t="shared" si="29"/>
        <v>0</v>
      </c>
      <c r="L17" s="58">
        <f t="shared" si="1"/>
        <v>0</v>
      </c>
      <c r="M17" s="59"/>
      <c r="N17" s="60">
        <f t="shared" si="2"/>
        <v>0</v>
      </c>
      <c r="O17" s="59"/>
      <c r="P17" s="60">
        <f t="shared" si="3"/>
        <v>0</v>
      </c>
      <c r="Q17" s="61"/>
      <c r="R17" s="60">
        <f t="shared" si="4"/>
        <v>0</v>
      </c>
      <c r="S17" s="62"/>
      <c r="T17" s="60">
        <f t="shared" si="5"/>
        <v>0</v>
      </c>
      <c r="U17" s="62"/>
      <c r="V17" s="60">
        <f t="shared" si="6"/>
        <v>0</v>
      </c>
      <c r="W17" s="62"/>
      <c r="X17" s="60">
        <f t="shared" si="7"/>
        <v>0</v>
      </c>
      <c r="Y17" s="62"/>
      <c r="Z17" s="60">
        <f t="shared" si="8"/>
        <v>0</v>
      </c>
      <c r="AA17" s="62"/>
      <c r="AB17" s="60">
        <f t="shared" si="9"/>
        <v>0</v>
      </c>
      <c r="AC17" s="62"/>
      <c r="AD17" s="60">
        <f t="shared" si="10"/>
        <v>0</v>
      </c>
      <c r="AE17" s="62"/>
      <c r="AF17" s="60">
        <f t="shared" si="11"/>
        <v>0</v>
      </c>
      <c r="AG17" s="62"/>
      <c r="AH17" s="60">
        <f t="shared" si="12"/>
        <v>0</v>
      </c>
      <c r="AI17" s="62"/>
      <c r="AJ17" s="60">
        <f t="shared" si="13"/>
        <v>0</v>
      </c>
      <c r="AK17" s="62"/>
      <c r="AL17" s="60">
        <f t="shared" si="14"/>
        <v>0</v>
      </c>
      <c r="AM17" s="62"/>
      <c r="AN17" s="60">
        <f t="shared" si="15"/>
        <v>0</v>
      </c>
      <c r="AO17" s="62"/>
      <c r="AP17" s="60">
        <f t="shared" si="16"/>
        <v>0</v>
      </c>
      <c r="AQ17" s="62"/>
      <c r="AR17" s="60">
        <f t="shared" si="17"/>
        <v>0</v>
      </c>
      <c r="AS17" s="62"/>
      <c r="AT17" s="60">
        <f t="shared" si="18"/>
        <v>0</v>
      </c>
      <c r="AU17" s="62"/>
      <c r="AV17" s="60">
        <f t="shared" si="19"/>
        <v>0</v>
      </c>
      <c r="AW17" s="62"/>
      <c r="AX17" s="60">
        <f t="shared" si="20"/>
        <v>0</v>
      </c>
      <c r="AY17" s="62"/>
      <c r="AZ17" s="60">
        <f t="shared" si="21"/>
        <v>0</v>
      </c>
      <c r="BA17" s="62"/>
      <c r="BB17" s="60">
        <f t="shared" si="22"/>
        <v>0</v>
      </c>
      <c r="BC17" s="62"/>
      <c r="BD17" s="60">
        <f t="shared" si="23"/>
        <v>0</v>
      </c>
      <c r="BE17" s="62"/>
      <c r="BF17" s="60">
        <f t="shared" si="24"/>
        <v>0</v>
      </c>
      <c r="BG17" s="63">
        <f t="shared" si="25"/>
        <v>0</v>
      </c>
      <c r="BH17" s="64">
        <f t="shared" si="26"/>
        <v>0</v>
      </c>
      <c r="BI17" s="65">
        <f t="shared" si="30"/>
        <v>0</v>
      </c>
      <c r="BJ17" s="66">
        <f t="shared" si="27"/>
        <v>1</v>
      </c>
      <c r="BK17" s="67">
        <f t="shared" si="28"/>
        <v>1870</v>
      </c>
      <c r="BL17" s="175">
        <f t="shared" si="31"/>
        <v>1</v>
      </c>
      <c r="BM17" s="114" t="s">
        <v>557</v>
      </c>
    </row>
    <row r="18" spans="2:67" s="114" customFormat="1" ht="16.5" hidden="1" customHeight="1" x14ac:dyDescent="0.2">
      <c r="B18" s="1"/>
      <c r="C18" s="51" t="s">
        <v>33</v>
      </c>
      <c r="D18" s="51" t="s">
        <v>29</v>
      </c>
      <c r="E18" s="52" t="s">
        <v>443</v>
      </c>
      <c r="F18" s="53" t="s">
        <v>444</v>
      </c>
      <c r="G18" s="54" t="s">
        <v>186</v>
      </c>
      <c r="H18" s="55">
        <v>1</v>
      </c>
      <c r="I18" s="56">
        <v>47996</v>
      </c>
      <c r="J18" s="55">
        <v>47996</v>
      </c>
      <c r="K18" s="57">
        <f t="shared" si="29"/>
        <v>0</v>
      </c>
      <c r="L18" s="58">
        <f t="shared" si="1"/>
        <v>0</v>
      </c>
      <c r="M18" s="59"/>
      <c r="N18" s="60">
        <f t="shared" si="2"/>
        <v>0</v>
      </c>
      <c r="O18" s="59"/>
      <c r="P18" s="60">
        <f t="shared" si="3"/>
        <v>0</v>
      </c>
      <c r="Q18" s="61"/>
      <c r="R18" s="60">
        <f t="shared" si="4"/>
        <v>0</v>
      </c>
      <c r="S18" s="62"/>
      <c r="T18" s="60">
        <f t="shared" si="5"/>
        <v>0</v>
      </c>
      <c r="U18" s="62"/>
      <c r="V18" s="60">
        <f t="shared" si="6"/>
        <v>0</v>
      </c>
      <c r="W18" s="62"/>
      <c r="X18" s="60">
        <f t="shared" si="7"/>
        <v>0</v>
      </c>
      <c r="Y18" s="62"/>
      <c r="Z18" s="60">
        <f t="shared" si="8"/>
        <v>0</v>
      </c>
      <c r="AA18" s="62"/>
      <c r="AB18" s="60">
        <f t="shared" si="9"/>
        <v>0</v>
      </c>
      <c r="AC18" s="62"/>
      <c r="AD18" s="60">
        <f t="shared" si="10"/>
        <v>0</v>
      </c>
      <c r="AE18" s="62"/>
      <c r="AF18" s="60">
        <f t="shared" si="11"/>
        <v>0</v>
      </c>
      <c r="AG18" s="62"/>
      <c r="AH18" s="60">
        <f t="shared" si="12"/>
        <v>0</v>
      </c>
      <c r="AI18" s="62"/>
      <c r="AJ18" s="60">
        <f t="shared" si="13"/>
        <v>0</v>
      </c>
      <c r="AK18" s="62"/>
      <c r="AL18" s="60">
        <f t="shared" si="14"/>
        <v>0</v>
      </c>
      <c r="AM18" s="62"/>
      <c r="AN18" s="60">
        <f t="shared" si="15"/>
        <v>0</v>
      </c>
      <c r="AO18" s="62"/>
      <c r="AP18" s="60">
        <f t="shared" si="16"/>
        <v>0</v>
      </c>
      <c r="AQ18" s="62"/>
      <c r="AR18" s="60">
        <f t="shared" si="17"/>
        <v>0</v>
      </c>
      <c r="AS18" s="62"/>
      <c r="AT18" s="60">
        <f t="shared" si="18"/>
        <v>0</v>
      </c>
      <c r="AU18" s="62"/>
      <c r="AV18" s="60">
        <f t="shared" si="19"/>
        <v>0</v>
      </c>
      <c r="AW18" s="62"/>
      <c r="AX18" s="60">
        <f t="shared" si="20"/>
        <v>0</v>
      </c>
      <c r="AY18" s="62"/>
      <c r="AZ18" s="60">
        <f t="shared" si="21"/>
        <v>0</v>
      </c>
      <c r="BA18" s="62"/>
      <c r="BB18" s="60">
        <f t="shared" si="22"/>
        <v>0</v>
      </c>
      <c r="BC18" s="62"/>
      <c r="BD18" s="60">
        <f t="shared" si="23"/>
        <v>0</v>
      </c>
      <c r="BE18" s="62"/>
      <c r="BF18" s="60">
        <f t="shared" si="24"/>
        <v>0</v>
      </c>
      <c r="BG18" s="63">
        <f t="shared" si="25"/>
        <v>0</v>
      </c>
      <c r="BH18" s="64">
        <f t="shared" si="26"/>
        <v>0</v>
      </c>
      <c r="BI18" s="65">
        <f t="shared" si="30"/>
        <v>0</v>
      </c>
      <c r="BJ18" s="66">
        <f t="shared" si="27"/>
        <v>1</v>
      </c>
      <c r="BK18" s="67">
        <f t="shared" si="28"/>
        <v>47996</v>
      </c>
      <c r="BL18" s="175">
        <f t="shared" si="31"/>
        <v>1</v>
      </c>
    </row>
    <row r="19" spans="2:67" s="114" customFormat="1" ht="16.5" hidden="1" customHeight="1" x14ac:dyDescent="0.2">
      <c r="B19" s="1"/>
      <c r="C19" s="51" t="s">
        <v>34</v>
      </c>
      <c r="D19" s="51" t="s">
        <v>29</v>
      </c>
      <c r="E19" s="52" t="s">
        <v>445</v>
      </c>
      <c r="F19" s="53" t="s">
        <v>446</v>
      </c>
      <c r="G19" s="54" t="s">
        <v>186</v>
      </c>
      <c r="H19" s="55">
        <v>1</v>
      </c>
      <c r="I19" s="56">
        <v>1870</v>
      </c>
      <c r="J19" s="55">
        <v>1870</v>
      </c>
      <c r="K19" s="57">
        <f t="shared" si="29"/>
        <v>0.6</v>
      </c>
      <c r="L19" s="58">
        <f t="shared" si="1"/>
        <v>1122</v>
      </c>
      <c r="M19" s="59"/>
      <c r="N19" s="60">
        <f t="shared" si="2"/>
        <v>0</v>
      </c>
      <c r="O19" s="59"/>
      <c r="P19" s="60">
        <f t="shared" si="3"/>
        <v>0</v>
      </c>
      <c r="Q19" s="61"/>
      <c r="R19" s="60">
        <f t="shared" si="4"/>
        <v>0</v>
      </c>
      <c r="S19" s="62"/>
      <c r="T19" s="60">
        <f t="shared" si="5"/>
        <v>0</v>
      </c>
      <c r="U19" s="62"/>
      <c r="V19" s="60">
        <f t="shared" si="6"/>
        <v>0</v>
      </c>
      <c r="W19" s="62"/>
      <c r="X19" s="60">
        <f t="shared" si="7"/>
        <v>0</v>
      </c>
      <c r="Y19" s="62"/>
      <c r="Z19" s="60">
        <f t="shared" si="8"/>
        <v>0</v>
      </c>
      <c r="AA19" s="62"/>
      <c r="AB19" s="60">
        <f t="shared" si="9"/>
        <v>0</v>
      </c>
      <c r="AC19" s="62">
        <v>0.5</v>
      </c>
      <c r="AD19" s="60">
        <f t="shared" si="10"/>
        <v>935</v>
      </c>
      <c r="AE19" s="62">
        <v>0.1</v>
      </c>
      <c r="AF19" s="60">
        <f t="shared" si="11"/>
        <v>187</v>
      </c>
      <c r="AG19" s="62"/>
      <c r="AH19" s="60">
        <f t="shared" si="12"/>
        <v>0</v>
      </c>
      <c r="AI19" s="62"/>
      <c r="AJ19" s="60">
        <f t="shared" si="13"/>
        <v>0</v>
      </c>
      <c r="AK19" s="62"/>
      <c r="AL19" s="60">
        <f t="shared" si="14"/>
        <v>0</v>
      </c>
      <c r="AM19" s="62"/>
      <c r="AN19" s="60">
        <f t="shared" si="15"/>
        <v>0</v>
      </c>
      <c r="AO19" s="62"/>
      <c r="AP19" s="60">
        <f t="shared" si="16"/>
        <v>0</v>
      </c>
      <c r="AQ19" s="62"/>
      <c r="AR19" s="60">
        <f t="shared" si="17"/>
        <v>0</v>
      </c>
      <c r="AS19" s="62"/>
      <c r="AT19" s="60">
        <f t="shared" si="18"/>
        <v>0</v>
      </c>
      <c r="AU19" s="62"/>
      <c r="AV19" s="60">
        <f t="shared" si="19"/>
        <v>0</v>
      </c>
      <c r="AW19" s="62"/>
      <c r="AX19" s="60">
        <f t="shared" si="20"/>
        <v>0</v>
      </c>
      <c r="AY19" s="62"/>
      <c r="AZ19" s="60">
        <f t="shared" si="21"/>
        <v>0</v>
      </c>
      <c r="BA19" s="62"/>
      <c r="BB19" s="60">
        <f t="shared" si="22"/>
        <v>0</v>
      </c>
      <c r="BC19" s="62"/>
      <c r="BD19" s="60">
        <f t="shared" si="23"/>
        <v>0</v>
      </c>
      <c r="BE19" s="62"/>
      <c r="BF19" s="60">
        <f t="shared" si="24"/>
        <v>0</v>
      </c>
      <c r="BG19" s="63">
        <f t="shared" si="25"/>
        <v>0.6</v>
      </c>
      <c r="BH19" s="64">
        <f t="shared" si="26"/>
        <v>1122</v>
      </c>
      <c r="BI19" s="65">
        <f t="shared" si="30"/>
        <v>0.6</v>
      </c>
      <c r="BJ19" s="66">
        <f t="shared" si="27"/>
        <v>0.4</v>
      </c>
      <c r="BK19" s="67">
        <f t="shared" si="28"/>
        <v>748</v>
      </c>
      <c r="BL19" s="175">
        <f t="shared" si="31"/>
        <v>0.4</v>
      </c>
    </row>
    <row r="20" spans="2:67" s="114" customFormat="1" ht="16.5" hidden="1" customHeight="1" x14ac:dyDescent="0.2">
      <c r="B20" s="1"/>
      <c r="C20" s="51" t="s">
        <v>55</v>
      </c>
      <c r="D20" s="51" t="s">
        <v>29</v>
      </c>
      <c r="E20" s="52" t="s">
        <v>447</v>
      </c>
      <c r="F20" s="53" t="s">
        <v>448</v>
      </c>
      <c r="G20" s="54" t="s">
        <v>186</v>
      </c>
      <c r="H20" s="55">
        <v>1</v>
      </c>
      <c r="I20" s="56">
        <v>3117</v>
      </c>
      <c r="J20" s="55">
        <v>3117</v>
      </c>
      <c r="K20" s="57">
        <f t="shared" si="29"/>
        <v>0</v>
      </c>
      <c r="L20" s="58">
        <f t="shared" si="1"/>
        <v>0</v>
      </c>
      <c r="M20" s="59"/>
      <c r="N20" s="60">
        <f t="shared" si="2"/>
        <v>0</v>
      </c>
      <c r="O20" s="59"/>
      <c r="P20" s="60">
        <f t="shared" si="3"/>
        <v>0</v>
      </c>
      <c r="Q20" s="61"/>
      <c r="R20" s="60">
        <f t="shared" si="4"/>
        <v>0</v>
      </c>
      <c r="S20" s="62"/>
      <c r="T20" s="60">
        <f t="shared" si="5"/>
        <v>0</v>
      </c>
      <c r="U20" s="62"/>
      <c r="V20" s="60">
        <f t="shared" si="6"/>
        <v>0</v>
      </c>
      <c r="W20" s="62"/>
      <c r="X20" s="60">
        <f t="shared" si="7"/>
        <v>0</v>
      </c>
      <c r="Y20" s="62"/>
      <c r="Z20" s="60">
        <f t="shared" si="8"/>
        <v>0</v>
      </c>
      <c r="AA20" s="62"/>
      <c r="AB20" s="60">
        <f t="shared" si="9"/>
        <v>0</v>
      </c>
      <c r="AC20" s="62"/>
      <c r="AD20" s="60">
        <f t="shared" si="10"/>
        <v>0</v>
      </c>
      <c r="AE20" s="62"/>
      <c r="AF20" s="60">
        <f t="shared" si="11"/>
        <v>0</v>
      </c>
      <c r="AG20" s="62"/>
      <c r="AH20" s="60">
        <f t="shared" si="12"/>
        <v>0</v>
      </c>
      <c r="AI20" s="62"/>
      <c r="AJ20" s="60">
        <f t="shared" si="13"/>
        <v>0</v>
      </c>
      <c r="AK20" s="62"/>
      <c r="AL20" s="60">
        <f t="shared" si="14"/>
        <v>0</v>
      </c>
      <c r="AM20" s="62"/>
      <c r="AN20" s="60">
        <f t="shared" si="15"/>
        <v>0</v>
      </c>
      <c r="AO20" s="62"/>
      <c r="AP20" s="60">
        <f t="shared" si="16"/>
        <v>0</v>
      </c>
      <c r="AQ20" s="62"/>
      <c r="AR20" s="60">
        <f t="shared" si="17"/>
        <v>0</v>
      </c>
      <c r="AS20" s="62"/>
      <c r="AT20" s="60">
        <f t="shared" si="18"/>
        <v>0</v>
      </c>
      <c r="AU20" s="62"/>
      <c r="AV20" s="60">
        <f t="shared" si="19"/>
        <v>0</v>
      </c>
      <c r="AW20" s="62"/>
      <c r="AX20" s="60">
        <f t="shared" si="20"/>
        <v>0</v>
      </c>
      <c r="AY20" s="62"/>
      <c r="AZ20" s="60">
        <f t="shared" si="21"/>
        <v>0</v>
      </c>
      <c r="BA20" s="62"/>
      <c r="BB20" s="60">
        <f t="shared" si="22"/>
        <v>0</v>
      </c>
      <c r="BC20" s="62"/>
      <c r="BD20" s="60">
        <f t="shared" si="23"/>
        <v>0</v>
      </c>
      <c r="BE20" s="62"/>
      <c r="BF20" s="60">
        <f t="shared" si="24"/>
        <v>0</v>
      </c>
      <c r="BG20" s="63">
        <f t="shared" si="25"/>
        <v>0</v>
      </c>
      <c r="BH20" s="64">
        <f t="shared" si="26"/>
        <v>0</v>
      </c>
      <c r="BI20" s="65">
        <f t="shared" si="30"/>
        <v>0</v>
      </c>
      <c r="BJ20" s="66">
        <f t="shared" si="27"/>
        <v>1</v>
      </c>
      <c r="BK20" s="67">
        <f t="shared" si="28"/>
        <v>3117</v>
      </c>
      <c r="BL20" s="175">
        <f t="shared" si="31"/>
        <v>1</v>
      </c>
    </row>
    <row r="21" spans="2:67" s="114" customFormat="1" ht="16.5" hidden="1" customHeight="1" x14ac:dyDescent="0.2">
      <c r="B21" s="1"/>
      <c r="C21" s="51" t="s">
        <v>59</v>
      </c>
      <c r="D21" s="51" t="s">
        <v>29</v>
      </c>
      <c r="E21" s="52" t="s">
        <v>449</v>
      </c>
      <c r="F21" s="53" t="s">
        <v>450</v>
      </c>
      <c r="G21" s="54" t="s">
        <v>186</v>
      </c>
      <c r="H21" s="55">
        <v>1</v>
      </c>
      <c r="I21" s="56">
        <v>1870</v>
      </c>
      <c r="J21" s="55">
        <v>1870</v>
      </c>
      <c r="K21" s="57">
        <f t="shared" si="29"/>
        <v>0</v>
      </c>
      <c r="L21" s="58">
        <f t="shared" si="1"/>
        <v>0</v>
      </c>
      <c r="M21" s="59"/>
      <c r="N21" s="60">
        <f t="shared" si="2"/>
        <v>0</v>
      </c>
      <c r="O21" s="59"/>
      <c r="P21" s="60">
        <f t="shared" si="3"/>
        <v>0</v>
      </c>
      <c r="Q21" s="61"/>
      <c r="R21" s="60">
        <f t="shared" si="4"/>
        <v>0</v>
      </c>
      <c r="S21" s="62"/>
      <c r="T21" s="60">
        <f t="shared" si="5"/>
        <v>0</v>
      </c>
      <c r="U21" s="62"/>
      <c r="V21" s="60">
        <f t="shared" si="6"/>
        <v>0</v>
      </c>
      <c r="W21" s="62"/>
      <c r="X21" s="60">
        <f t="shared" si="7"/>
        <v>0</v>
      </c>
      <c r="Y21" s="62"/>
      <c r="Z21" s="60">
        <f t="shared" si="8"/>
        <v>0</v>
      </c>
      <c r="AA21" s="62"/>
      <c r="AB21" s="60">
        <f t="shared" si="9"/>
        <v>0</v>
      </c>
      <c r="AC21" s="62"/>
      <c r="AD21" s="60">
        <f t="shared" si="10"/>
        <v>0</v>
      </c>
      <c r="AE21" s="62"/>
      <c r="AF21" s="60">
        <f t="shared" si="11"/>
        <v>0</v>
      </c>
      <c r="AG21" s="62"/>
      <c r="AH21" s="60">
        <f t="shared" si="12"/>
        <v>0</v>
      </c>
      <c r="AI21" s="62"/>
      <c r="AJ21" s="60">
        <f t="shared" si="13"/>
        <v>0</v>
      </c>
      <c r="AK21" s="62"/>
      <c r="AL21" s="60">
        <f t="shared" si="14"/>
        <v>0</v>
      </c>
      <c r="AM21" s="62"/>
      <c r="AN21" s="60">
        <f t="shared" si="15"/>
        <v>0</v>
      </c>
      <c r="AO21" s="62"/>
      <c r="AP21" s="60">
        <f t="shared" si="16"/>
        <v>0</v>
      </c>
      <c r="AQ21" s="62"/>
      <c r="AR21" s="60">
        <f t="shared" si="17"/>
        <v>0</v>
      </c>
      <c r="AS21" s="62"/>
      <c r="AT21" s="60">
        <f t="shared" si="18"/>
        <v>0</v>
      </c>
      <c r="AU21" s="62"/>
      <c r="AV21" s="60">
        <f t="shared" si="19"/>
        <v>0</v>
      </c>
      <c r="AW21" s="62"/>
      <c r="AX21" s="60">
        <f t="shared" si="20"/>
        <v>0</v>
      </c>
      <c r="AY21" s="62"/>
      <c r="AZ21" s="60">
        <f t="shared" si="21"/>
        <v>0</v>
      </c>
      <c r="BA21" s="62"/>
      <c r="BB21" s="60">
        <f t="shared" si="22"/>
        <v>0</v>
      </c>
      <c r="BC21" s="62"/>
      <c r="BD21" s="60">
        <f t="shared" si="23"/>
        <v>0</v>
      </c>
      <c r="BE21" s="62"/>
      <c r="BF21" s="60">
        <f t="shared" si="24"/>
        <v>0</v>
      </c>
      <c r="BG21" s="63">
        <f t="shared" si="25"/>
        <v>0</v>
      </c>
      <c r="BH21" s="64">
        <f t="shared" si="26"/>
        <v>0</v>
      </c>
      <c r="BI21" s="65">
        <f t="shared" si="30"/>
        <v>0</v>
      </c>
      <c r="BJ21" s="66">
        <f t="shared" si="27"/>
        <v>1</v>
      </c>
      <c r="BK21" s="67">
        <f t="shared" si="28"/>
        <v>1870</v>
      </c>
      <c r="BL21" s="175">
        <f t="shared" si="31"/>
        <v>1</v>
      </c>
    </row>
    <row r="22" spans="2:67" s="114" customFormat="1" ht="16.5" hidden="1" customHeight="1" x14ac:dyDescent="0.2">
      <c r="B22" s="1"/>
      <c r="C22" s="51" t="s">
        <v>62</v>
      </c>
      <c r="D22" s="51" t="s">
        <v>29</v>
      </c>
      <c r="E22" s="52" t="s">
        <v>451</v>
      </c>
      <c r="F22" s="53" t="s">
        <v>452</v>
      </c>
      <c r="G22" s="54" t="s">
        <v>186</v>
      </c>
      <c r="H22" s="55">
        <v>1</v>
      </c>
      <c r="I22" s="56">
        <v>38023</v>
      </c>
      <c r="J22" s="55">
        <v>38023</v>
      </c>
      <c r="K22" s="57">
        <f t="shared" si="29"/>
        <v>0</v>
      </c>
      <c r="L22" s="58">
        <f t="shared" si="1"/>
        <v>0</v>
      </c>
      <c r="M22" s="59"/>
      <c r="N22" s="60">
        <f t="shared" si="2"/>
        <v>0</v>
      </c>
      <c r="O22" s="59"/>
      <c r="P22" s="60">
        <f t="shared" si="3"/>
        <v>0</v>
      </c>
      <c r="Q22" s="61"/>
      <c r="R22" s="60">
        <f t="shared" si="4"/>
        <v>0</v>
      </c>
      <c r="S22" s="62"/>
      <c r="T22" s="60">
        <f t="shared" si="5"/>
        <v>0</v>
      </c>
      <c r="U22" s="62"/>
      <c r="V22" s="60">
        <f t="shared" si="6"/>
        <v>0</v>
      </c>
      <c r="W22" s="62"/>
      <c r="X22" s="60">
        <f t="shared" si="7"/>
        <v>0</v>
      </c>
      <c r="Y22" s="62"/>
      <c r="Z22" s="60">
        <f t="shared" si="8"/>
        <v>0</v>
      </c>
      <c r="AA22" s="62"/>
      <c r="AB22" s="60">
        <f t="shared" si="9"/>
        <v>0</v>
      </c>
      <c r="AC22" s="62"/>
      <c r="AD22" s="60">
        <f t="shared" si="10"/>
        <v>0</v>
      </c>
      <c r="AE22" s="62"/>
      <c r="AF22" s="60">
        <f t="shared" si="11"/>
        <v>0</v>
      </c>
      <c r="AG22" s="62"/>
      <c r="AH22" s="60">
        <f t="shared" si="12"/>
        <v>0</v>
      </c>
      <c r="AI22" s="62"/>
      <c r="AJ22" s="60">
        <f t="shared" si="13"/>
        <v>0</v>
      </c>
      <c r="AK22" s="62"/>
      <c r="AL22" s="60">
        <f t="shared" si="14"/>
        <v>0</v>
      </c>
      <c r="AM22" s="62"/>
      <c r="AN22" s="60">
        <f t="shared" si="15"/>
        <v>0</v>
      </c>
      <c r="AO22" s="62"/>
      <c r="AP22" s="60">
        <f t="shared" si="16"/>
        <v>0</v>
      </c>
      <c r="AQ22" s="62"/>
      <c r="AR22" s="60">
        <f t="shared" si="17"/>
        <v>0</v>
      </c>
      <c r="AS22" s="62"/>
      <c r="AT22" s="60">
        <f t="shared" si="18"/>
        <v>0</v>
      </c>
      <c r="AU22" s="62"/>
      <c r="AV22" s="60">
        <f t="shared" si="19"/>
        <v>0</v>
      </c>
      <c r="AW22" s="62"/>
      <c r="AX22" s="60">
        <f t="shared" si="20"/>
        <v>0</v>
      </c>
      <c r="AY22" s="62"/>
      <c r="AZ22" s="60">
        <f t="shared" si="21"/>
        <v>0</v>
      </c>
      <c r="BA22" s="62"/>
      <c r="BB22" s="60">
        <f t="shared" si="22"/>
        <v>0</v>
      </c>
      <c r="BC22" s="62"/>
      <c r="BD22" s="60">
        <f t="shared" si="23"/>
        <v>0</v>
      </c>
      <c r="BE22" s="62"/>
      <c r="BF22" s="60">
        <f t="shared" si="24"/>
        <v>0</v>
      </c>
      <c r="BG22" s="63">
        <f t="shared" si="25"/>
        <v>0</v>
      </c>
      <c r="BH22" s="64">
        <f t="shared" si="26"/>
        <v>0</v>
      </c>
      <c r="BI22" s="65">
        <f t="shared" si="30"/>
        <v>0</v>
      </c>
      <c r="BJ22" s="66">
        <f t="shared" si="27"/>
        <v>1</v>
      </c>
      <c r="BK22" s="67">
        <f t="shared" si="28"/>
        <v>38023</v>
      </c>
      <c r="BL22" s="175">
        <f t="shared" si="31"/>
        <v>1</v>
      </c>
    </row>
    <row r="23" spans="2:67" s="114" customFormat="1" ht="16.5" customHeight="1" x14ac:dyDescent="0.2">
      <c r="B23" s="1"/>
      <c r="C23" s="51" t="s">
        <v>65</v>
      </c>
      <c r="D23" s="51" t="s">
        <v>29</v>
      </c>
      <c r="E23" s="52" t="s">
        <v>453</v>
      </c>
      <c r="F23" s="53" t="s">
        <v>454</v>
      </c>
      <c r="G23" s="54" t="s">
        <v>186</v>
      </c>
      <c r="H23" s="55">
        <v>1</v>
      </c>
      <c r="I23" s="56">
        <v>3740</v>
      </c>
      <c r="J23" s="55">
        <v>3740</v>
      </c>
      <c r="K23" s="57">
        <f t="shared" si="29"/>
        <v>0.6</v>
      </c>
      <c r="L23" s="58">
        <f t="shared" si="1"/>
        <v>2244</v>
      </c>
      <c r="M23" s="59"/>
      <c r="N23" s="60">
        <f t="shared" si="2"/>
        <v>0</v>
      </c>
      <c r="O23" s="59"/>
      <c r="P23" s="60">
        <f t="shared" si="3"/>
        <v>0</v>
      </c>
      <c r="Q23" s="61"/>
      <c r="R23" s="60">
        <f t="shared" si="4"/>
        <v>0</v>
      </c>
      <c r="S23" s="62"/>
      <c r="T23" s="60">
        <f t="shared" si="5"/>
        <v>0</v>
      </c>
      <c r="U23" s="62"/>
      <c r="V23" s="60">
        <f t="shared" si="6"/>
        <v>0</v>
      </c>
      <c r="W23" s="62"/>
      <c r="X23" s="60">
        <f t="shared" si="7"/>
        <v>0</v>
      </c>
      <c r="Y23" s="62"/>
      <c r="Z23" s="60">
        <f t="shared" si="8"/>
        <v>0</v>
      </c>
      <c r="AA23" s="62"/>
      <c r="AB23" s="60">
        <f t="shared" si="9"/>
        <v>0</v>
      </c>
      <c r="AC23" s="62">
        <v>0.5</v>
      </c>
      <c r="AD23" s="60">
        <f t="shared" si="10"/>
        <v>1870</v>
      </c>
      <c r="AE23" s="62">
        <v>0.1</v>
      </c>
      <c r="AF23" s="60">
        <f t="shared" si="11"/>
        <v>374</v>
      </c>
      <c r="AG23" s="62">
        <v>0.2</v>
      </c>
      <c r="AH23" s="60">
        <f t="shared" si="12"/>
        <v>748</v>
      </c>
      <c r="AI23" s="62"/>
      <c r="AJ23" s="60">
        <f t="shared" si="13"/>
        <v>0</v>
      </c>
      <c r="AK23" s="62"/>
      <c r="AL23" s="60">
        <f t="shared" si="14"/>
        <v>0</v>
      </c>
      <c r="AM23" s="62"/>
      <c r="AN23" s="60">
        <f t="shared" si="15"/>
        <v>0</v>
      </c>
      <c r="AO23" s="62"/>
      <c r="AP23" s="60">
        <f t="shared" si="16"/>
        <v>0</v>
      </c>
      <c r="AQ23" s="62"/>
      <c r="AR23" s="60">
        <f t="shared" si="17"/>
        <v>0</v>
      </c>
      <c r="AS23" s="62"/>
      <c r="AT23" s="60">
        <f t="shared" si="18"/>
        <v>0</v>
      </c>
      <c r="AU23" s="62"/>
      <c r="AV23" s="60">
        <f t="shared" si="19"/>
        <v>0</v>
      </c>
      <c r="AW23" s="62"/>
      <c r="AX23" s="60">
        <f t="shared" si="20"/>
        <v>0</v>
      </c>
      <c r="AY23" s="62"/>
      <c r="AZ23" s="60">
        <f t="shared" si="21"/>
        <v>0</v>
      </c>
      <c r="BA23" s="62"/>
      <c r="BB23" s="60">
        <f t="shared" si="22"/>
        <v>0</v>
      </c>
      <c r="BC23" s="62"/>
      <c r="BD23" s="60">
        <f t="shared" si="23"/>
        <v>0</v>
      </c>
      <c r="BE23" s="62"/>
      <c r="BF23" s="60">
        <f t="shared" si="24"/>
        <v>0</v>
      </c>
      <c r="BG23" s="63">
        <f t="shared" si="25"/>
        <v>0.8</v>
      </c>
      <c r="BH23" s="64">
        <f t="shared" si="26"/>
        <v>2992</v>
      </c>
      <c r="BI23" s="65">
        <f t="shared" si="30"/>
        <v>0.8</v>
      </c>
      <c r="BJ23" s="66">
        <f t="shared" si="27"/>
        <v>0.19999999999999996</v>
      </c>
      <c r="BK23" s="67">
        <f t="shared" si="28"/>
        <v>748</v>
      </c>
      <c r="BL23" s="175">
        <f t="shared" si="31"/>
        <v>0.2</v>
      </c>
      <c r="BN23" s="190" t="s">
        <v>573</v>
      </c>
      <c r="BO23" s="114" t="s">
        <v>575</v>
      </c>
    </row>
    <row r="24" spans="2:67" s="114" customFormat="1" ht="16.5" customHeight="1" x14ac:dyDescent="0.2">
      <c r="B24" s="1"/>
      <c r="C24" s="51" t="s">
        <v>68</v>
      </c>
      <c r="D24" s="51" t="s">
        <v>29</v>
      </c>
      <c r="E24" s="52" t="s">
        <v>455</v>
      </c>
      <c r="F24" s="53" t="s">
        <v>456</v>
      </c>
      <c r="G24" s="54" t="s">
        <v>186</v>
      </c>
      <c r="H24" s="55">
        <v>1</v>
      </c>
      <c r="I24" s="56">
        <v>16955</v>
      </c>
      <c r="J24" s="55">
        <v>16955</v>
      </c>
      <c r="K24" s="57">
        <f t="shared" si="29"/>
        <v>0.6</v>
      </c>
      <c r="L24" s="58">
        <f t="shared" si="1"/>
        <v>10173</v>
      </c>
      <c r="M24" s="59"/>
      <c r="N24" s="60">
        <f t="shared" si="2"/>
        <v>0</v>
      </c>
      <c r="O24" s="59"/>
      <c r="P24" s="60">
        <f t="shared" si="3"/>
        <v>0</v>
      </c>
      <c r="Q24" s="61"/>
      <c r="R24" s="60">
        <f t="shared" si="4"/>
        <v>0</v>
      </c>
      <c r="S24" s="62"/>
      <c r="T24" s="60">
        <f t="shared" si="5"/>
        <v>0</v>
      </c>
      <c r="U24" s="62"/>
      <c r="V24" s="60">
        <f t="shared" si="6"/>
        <v>0</v>
      </c>
      <c r="W24" s="62"/>
      <c r="X24" s="60">
        <f t="shared" si="7"/>
        <v>0</v>
      </c>
      <c r="Y24" s="62"/>
      <c r="Z24" s="60">
        <f t="shared" si="8"/>
        <v>0</v>
      </c>
      <c r="AA24" s="62"/>
      <c r="AB24" s="60">
        <f t="shared" si="9"/>
        <v>0</v>
      </c>
      <c r="AC24" s="62">
        <v>0.3</v>
      </c>
      <c r="AD24" s="60">
        <f t="shared" si="10"/>
        <v>5086.5</v>
      </c>
      <c r="AE24" s="62">
        <v>0.3</v>
      </c>
      <c r="AF24" s="60">
        <f t="shared" si="11"/>
        <v>5086.5</v>
      </c>
      <c r="AG24" s="62">
        <v>0.2</v>
      </c>
      <c r="AH24" s="60">
        <f t="shared" si="12"/>
        <v>3391</v>
      </c>
      <c r="AI24" s="62"/>
      <c r="AJ24" s="60">
        <f t="shared" si="13"/>
        <v>0</v>
      </c>
      <c r="AK24" s="62"/>
      <c r="AL24" s="60">
        <f t="shared" si="14"/>
        <v>0</v>
      </c>
      <c r="AM24" s="62"/>
      <c r="AN24" s="60">
        <f t="shared" si="15"/>
        <v>0</v>
      </c>
      <c r="AO24" s="62"/>
      <c r="AP24" s="60">
        <f t="shared" si="16"/>
        <v>0</v>
      </c>
      <c r="AQ24" s="62"/>
      <c r="AR24" s="60">
        <f t="shared" si="17"/>
        <v>0</v>
      </c>
      <c r="AS24" s="62"/>
      <c r="AT24" s="60">
        <f t="shared" si="18"/>
        <v>0</v>
      </c>
      <c r="AU24" s="62"/>
      <c r="AV24" s="60">
        <f t="shared" si="19"/>
        <v>0</v>
      </c>
      <c r="AW24" s="62"/>
      <c r="AX24" s="60">
        <f t="shared" si="20"/>
        <v>0</v>
      </c>
      <c r="AY24" s="62"/>
      <c r="AZ24" s="60">
        <f t="shared" si="21"/>
        <v>0</v>
      </c>
      <c r="BA24" s="62"/>
      <c r="BB24" s="60">
        <f t="shared" si="22"/>
        <v>0</v>
      </c>
      <c r="BC24" s="62"/>
      <c r="BD24" s="60">
        <f t="shared" si="23"/>
        <v>0</v>
      </c>
      <c r="BE24" s="62"/>
      <c r="BF24" s="60">
        <f t="shared" si="24"/>
        <v>0</v>
      </c>
      <c r="BG24" s="63">
        <f t="shared" si="25"/>
        <v>0.8</v>
      </c>
      <c r="BH24" s="64">
        <f t="shared" si="26"/>
        <v>13564</v>
      </c>
      <c r="BI24" s="65">
        <f t="shared" si="30"/>
        <v>0.8</v>
      </c>
      <c r="BJ24" s="66">
        <f t="shared" si="27"/>
        <v>0.19999999999999996</v>
      </c>
      <c r="BK24" s="67">
        <f t="shared" si="28"/>
        <v>3391</v>
      </c>
      <c r="BL24" s="175">
        <f t="shared" si="31"/>
        <v>0.2</v>
      </c>
    </row>
    <row r="25" spans="2:67" s="114" customFormat="1" ht="16.5" customHeight="1" x14ac:dyDescent="0.2">
      <c r="B25" s="1"/>
      <c r="C25" s="51" t="s">
        <v>71</v>
      </c>
      <c r="D25" s="51" t="s">
        <v>29</v>
      </c>
      <c r="E25" s="52" t="s">
        <v>457</v>
      </c>
      <c r="F25" s="53" t="s">
        <v>458</v>
      </c>
      <c r="G25" s="54" t="s">
        <v>186</v>
      </c>
      <c r="H25" s="55">
        <v>1</v>
      </c>
      <c r="I25" s="56">
        <v>8477</v>
      </c>
      <c r="J25" s="55">
        <v>8477</v>
      </c>
      <c r="K25" s="57">
        <f t="shared" si="29"/>
        <v>0.6</v>
      </c>
      <c r="L25" s="58">
        <f t="shared" si="1"/>
        <v>5086.2</v>
      </c>
      <c r="M25" s="59"/>
      <c r="N25" s="60">
        <f t="shared" si="2"/>
        <v>0</v>
      </c>
      <c r="O25" s="59"/>
      <c r="P25" s="60">
        <f t="shared" si="3"/>
        <v>0</v>
      </c>
      <c r="Q25" s="61"/>
      <c r="R25" s="60">
        <f t="shared" si="4"/>
        <v>0</v>
      </c>
      <c r="S25" s="62"/>
      <c r="T25" s="60">
        <f t="shared" si="5"/>
        <v>0</v>
      </c>
      <c r="U25" s="62"/>
      <c r="V25" s="60">
        <f t="shared" si="6"/>
        <v>0</v>
      </c>
      <c r="W25" s="62"/>
      <c r="X25" s="60">
        <f t="shared" si="7"/>
        <v>0</v>
      </c>
      <c r="Y25" s="62"/>
      <c r="Z25" s="60">
        <f t="shared" si="8"/>
        <v>0</v>
      </c>
      <c r="AA25" s="62"/>
      <c r="AB25" s="60">
        <f t="shared" si="9"/>
        <v>0</v>
      </c>
      <c r="AC25" s="62"/>
      <c r="AD25" s="60">
        <f t="shared" si="10"/>
        <v>0</v>
      </c>
      <c r="AE25" s="62">
        <v>0.6</v>
      </c>
      <c r="AF25" s="60">
        <f t="shared" si="11"/>
        <v>5086.2</v>
      </c>
      <c r="AG25" s="62">
        <v>0.2</v>
      </c>
      <c r="AH25" s="60">
        <f t="shared" si="12"/>
        <v>1695.4</v>
      </c>
      <c r="AI25" s="62"/>
      <c r="AJ25" s="60">
        <f t="shared" si="13"/>
        <v>0</v>
      </c>
      <c r="AK25" s="62"/>
      <c r="AL25" s="60">
        <f t="shared" si="14"/>
        <v>0</v>
      </c>
      <c r="AM25" s="62"/>
      <c r="AN25" s="60">
        <f t="shared" si="15"/>
        <v>0</v>
      </c>
      <c r="AO25" s="62"/>
      <c r="AP25" s="60">
        <f t="shared" si="16"/>
        <v>0</v>
      </c>
      <c r="AQ25" s="62"/>
      <c r="AR25" s="60">
        <f t="shared" si="17"/>
        <v>0</v>
      </c>
      <c r="AS25" s="62"/>
      <c r="AT25" s="60">
        <f t="shared" si="18"/>
        <v>0</v>
      </c>
      <c r="AU25" s="62"/>
      <c r="AV25" s="60">
        <f t="shared" si="19"/>
        <v>0</v>
      </c>
      <c r="AW25" s="62"/>
      <c r="AX25" s="60">
        <f t="shared" si="20"/>
        <v>0</v>
      </c>
      <c r="AY25" s="62"/>
      <c r="AZ25" s="60">
        <f t="shared" si="21"/>
        <v>0</v>
      </c>
      <c r="BA25" s="62"/>
      <c r="BB25" s="60">
        <f t="shared" si="22"/>
        <v>0</v>
      </c>
      <c r="BC25" s="62"/>
      <c r="BD25" s="60">
        <f t="shared" si="23"/>
        <v>0</v>
      </c>
      <c r="BE25" s="62"/>
      <c r="BF25" s="60">
        <f t="shared" si="24"/>
        <v>0</v>
      </c>
      <c r="BG25" s="63">
        <f t="shared" si="25"/>
        <v>0.8</v>
      </c>
      <c r="BH25" s="64">
        <f t="shared" si="26"/>
        <v>6781.6</v>
      </c>
      <c r="BI25" s="65">
        <f t="shared" si="30"/>
        <v>0.8</v>
      </c>
      <c r="BJ25" s="66">
        <f t="shared" si="27"/>
        <v>0.19999999999999996</v>
      </c>
      <c r="BK25" s="67">
        <f t="shared" si="28"/>
        <v>1695.3999999999996</v>
      </c>
      <c r="BL25" s="175">
        <f t="shared" si="31"/>
        <v>0.19999999999999996</v>
      </c>
    </row>
    <row r="26" spans="2:67" s="114" customFormat="1" ht="16.5" hidden="1" customHeight="1" x14ac:dyDescent="0.2">
      <c r="B26" s="1"/>
      <c r="C26" s="51" t="s">
        <v>74</v>
      </c>
      <c r="D26" s="51" t="s">
        <v>29</v>
      </c>
      <c r="E26" s="52" t="s">
        <v>459</v>
      </c>
      <c r="F26" s="53" t="s">
        <v>460</v>
      </c>
      <c r="G26" s="54" t="s">
        <v>186</v>
      </c>
      <c r="H26" s="55">
        <v>1</v>
      </c>
      <c r="I26" s="56">
        <v>1247</v>
      </c>
      <c r="J26" s="55">
        <v>1247</v>
      </c>
      <c r="K26" s="57">
        <f t="shared" si="29"/>
        <v>0</v>
      </c>
      <c r="L26" s="58">
        <f t="shared" si="1"/>
        <v>0</v>
      </c>
      <c r="M26" s="59"/>
      <c r="N26" s="60">
        <f t="shared" si="2"/>
        <v>0</v>
      </c>
      <c r="O26" s="59"/>
      <c r="P26" s="60">
        <f t="shared" si="3"/>
        <v>0</v>
      </c>
      <c r="Q26" s="61"/>
      <c r="R26" s="60">
        <f t="shared" si="4"/>
        <v>0</v>
      </c>
      <c r="S26" s="62"/>
      <c r="T26" s="60">
        <f t="shared" si="5"/>
        <v>0</v>
      </c>
      <c r="U26" s="62"/>
      <c r="V26" s="60">
        <f t="shared" si="6"/>
        <v>0</v>
      </c>
      <c r="W26" s="62"/>
      <c r="X26" s="60">
        <f t="shared" si="7"/>
        <v>0</v>
      </c>
      <c r="Y26" s="62"/>
      <c r="Z26" s="60">
        <f t="shared" si="8"/>
        <v>0</v>
      </c>
      <c r="AA26" s="62"/>
      <c r="AB26" s="60">
        <f t="shared" si="9"/>
        <v>0</v>
      </c>
      <c r="AC26" s="62"/>
      <c r="AD26" s="60">
        <f t="shared" si="10"/>
        <v>0</v>
      </c>
      <c r="AE26" s="62"/>
      <c r="AF26" s="60">
        <f t="shared" si="11"/>
        <v>0</v>
      </c>
      <c r="AG26" s="62"/>
      <c r="AH26" s="60">
        <f t="shared" si="12"/>
        <v>0</v>
      </c>
      <c r="AI26" s="62"/>
      <c r="AJ26" s="60">
        <f t="shared" si="13"/>
        <v>0</v>
      </c>
      <c r="AK26" s="62"/>
      <c r="AL26" s="60">
        <f t="shared" si="14"/>
        <v>0</v>
      </c>
      <c r="AM26" s="62"/>
      <c r="AN26" s="60">
        <f t="shared" si="15"/>
        <v>0</v>
      </c>
      <c r="AO26" s="62"/>
      <c r="AP26" s="60">
        <f t="shared" si="16"/>
        <v>0</v>
      </c>
      <c r="AQ26" s="62"/>
      <c r="AR26" s="60">
        <f t="shared" si="17"/>
        <v>0</v>
      </c>
      <c r="AS26" s="62"/>
      <c r="AT26" s="60">
        <f t="shared" si="18"/>
        <v>0</v>
      </c>
      <c r="AU26" s="62"/>
      <c r="AV26" s="60">
        <f t="shared" si="19"/>
        <v>0</v>
      </c>
      <c r="AW26" s="62"/>
      <c r="AX26" s="60">
        <f t="shared" si="20"/>
        <v>0</v>
      </c>
      <c r="AY26" s="62"/>
      <c r="AZ26" s="60">
        <f t="shared" si="21"/>
        <v>0</v>
      </c>
      <c r="BA26" s="62"/>
      <c r="BB26" s="60">
        <f t="shared" si="22"/>
        <v>0</v>
      </c>
      <c r="BC26" s="62"/>
      <c r="BD26" s="60">
        <f t="shared" si="23"/>
        <v>0</v>
      </c>
      <c r="BE26" s="62"/>
      <c r="BF26" s="60">
        <f t="shared" si="24"/>
        <v>0</v>
      </c>
      <c r="BG26" s="63">
        <f t="shared" si="25"/>
        <v>0</v>
      </c>
      <c r="BH26" s="64">
        <f t="shared" si="26"/>
        <v>0</v>
      </c>
      <c r="BI26" s="65">
        <f t="shared" si="30"/>
        <v>0</v>
      </c>
      <c r="BJ26" s="66">
        <f t="shared" si="27"/>
        <v>1</v>
      </c>
      <c r="BK26" s="67">
        <f t="shared" si="28"/>
        <v>1247</v>
      </c>
      <c r="BL26" s="175">
        <f t="shared" si="31"/>
        <v>1</v>
      </c>
    </row>
    <row r="27" spans="2:67" s="114" customFormat="1" ht="16.5" hidden="1" customHeight="1" x14ac:dyDescent="0.2">
      <c r="B27" s="1"/>
      <c r="C27" s="51" t="s">
        <v>77</v>
      </c>
      <c r="D27" s="51" t="s">
        <v>29</v>
      </c>
      <c r="E27" s="52" t="s">
        <v>461</v>
      </c>
      <c r="F27" s="53" t="s">
        <v>462</v>
      </c>
      <c r="G27" s="54" t="s">
        <v>186</v>
      </c>
      <c r="H27" s="55">
        <v>1</v>
      </c>
      <c r="I27" s="56">
        <v>0</v>
      </c>
      <c r="J27" s="55">
        <v>0</v>
      </c>
      <c r="K27" s="57">
        <f t="shared" si="29"/>
        <v>0</v>
      </c>
      <c r="L27" s="58">
        <f t="shared" si="1"/>
        <v>0</v>
      </c>
      <c r="M27" s="59"/>
      <c r="N27" s="60">
        <f t="shared" si="2"/>
        <v>0</v>
      </c>
      <c r="O27" s="59"/>
      <c r="P27" s="60">
        <f t="shared" si="3"/>
        <v>0</v>
      </c>
      <c r="Q27" s="61"/>
      <c r="R27" s="60">
        <f t="shared" si="4"/>
        <v>0</v>
      </c>
      <c r="S27" s="62"/>
      <c r="T27" s="60">
        <f t="shared" si="5"/>
        <v>0</v>
      </c>
      <c r="U27" s="62"/>
      <c r="V27" s="60">
        <f t="shared" si="6"/>
        <v>0</v>
      </c>
      <c r="W27" s="62"/>
      <c r="X27" s="60">
        <f t="shared" si="7"/>
        <v>0</v>
      </c>
      <c r="Y27" s="62"/>
      <c r="Z27" s="60">
        <f t="shared" si="8"/>
        <v>0</v>
      </c>
      <c r="AA27" s="62"/>
      <c r="AB27" s="60">
        <f t="shared" si="9"/>
        <v>0</v>
      </c>
      <c r="AC27" s="62"/>
      <c r="AD27" s="60">
        <f t="shared" si="10"/>
        <v>0</v>
      </c>
      <c r="AE27" s="62"/>
      <c r="AF27" s="60">
        <f t="shared" si="11"/>
        <v>0</v>
      </c>
      <c r="AG27" s="62"/>
      <c r="AH27" s="60">
        <f t="shared" si="12"/>
        <v>0</v>
      </c>
      <c r="AI27" s="62"/>
      <c r="AJ27" s="60">
        <f t="shared" si="13"/>
        <v>0</v>
      </c>
      <c r="AK27" s="62"/>
      <c r="AL27" s="60">
        <f t="shared" si="14"/>
        <v>0</v>
      </c>
      <c r="AM27" s="62"/>
      <c r="AN27" s="60">
        <f t="shared" si="15"/>
        <v>0</v>
      </c>
      <c r="AO27" s="62"/>
      <c r="AP27" s="60">
        <f t="shared" si="16"/>
        <v>0</v>
      </c>
      <c r="AQ27" s="62"/>
      <c r="AR27" s="60">
        <f t="shared" si="17"/>
        <v>0</v>
      </c>
      <c r="AS27" s="62"/>
      <c r="AT27" s="60">
        <f t="shared" si="18"/>
        <v>0</v>
      </c>
      <c r="AU27" s="62"/>
      <c r="AV27" s="60">
        <f t="shared" si="19"/>
        <v>0</v>
      </c>
      <c r="AW27" s="62"/>
      <c r="AX27" s="60">
        <f t="shared" si="20"/>
        <v>0</v>
      </c>
      <c r="AY27" s="62"/>
      <c r="AZ27" s="60">
        <f t="shared" si="21"/>
        <v>0</v>
      </c>
      <c r="BA27" s="62"/>
      <c r="BB27" s="60">
        <f t="shared" si="22"/>
        <v>0</v>
      </c>
      <c r="BC27" s="62"/>
      <c r="BD27" s="60">
        <f t="shared" si="23"/>
        <v>0</v>
      </c>
      <c r="BE27" s="62"/>
      <c r="BF27" s="60">
        <f t="shared" si="24"/>
        <v>0</v>
      </c>
      <c r="BG27" s="63">
        <f t="shared" si="25"/>
        <v>0</v>
      </c>
      <c r="BH27" s="64">
        <f t="shared" si="26"/>
        <v>0</v>
      </c>
      <c r="BI27" s="65">
        <f t="shared" si="30"/>
        <v>0</v>
      </c>
      <c r="BJ27" s="66">
        <f t="shared" si="27"/>
        <v>1</v>
      </c>
      <c r="BK27" s="67">
        <f t="shared" si="28"/>
        <v>0</v>
      </c>
      <c r="BL27" s="175">
        <f t="shared" si="31"/>
        <v>0</v>
      </c>
    </row>
    <row r="28" spans="2:67" s="114" customFormat="1" ht="16.5" customHeight="1" x14ac:dyDescent="0.2">
      <c r="B28" s="1"/>
      <c r="C28" s="51" t="s">
        <v>80</v>
      </c>
      <c r="D28" s="51" t="s">
        <v>29</v>
      </c>
      <c r="E28" s="52" t="s">
        <v>463</v>
      </c>
      <c r="F28" s="53" t="s">
        <v>464</v>
      </c>
      <c r="G28" s="54" t="s">
        <v>186</v>
      </c>
      <c r="H28" s="55">
        <v>1</v>
      </c>
      <c r="I28" s="56">
        <v>13713</v>
      </c>
      <c r="J28" s="55">
        <v>13713</v>
      </c>
      <c r="K28" s="57">
        <f t="shared" si="29"/>
        <v>0.60000000000000009</v>
      </c>
      <c r="L28" s="58">
        <f t="shared" si="1"/>
        <v>8227.8000000000011</v>
      </c>
      <c r="M28" s="59"/>
      <c r="N28" s="60">
        <f t="shared" si="2"/>
        <v>0</v>
      </c>
      <c r="O28" s="59"/>
      <c r="P28" s="60">
        <f t="shared" si="3"/>
        <v>0</v>
      </c>
      <c r="Q28" s="61"/>
      <c r="R28" s="60">
        <f t="shared" si="4"/>
        <v>0</v>
      </c>
      <c r="S28" s="62"/>
      <c r="T28" s="60">
        <f t="shared" si="5"/>
        <v>0</v>
      </c>
      <c r="U28" s="62"/>
      <c r="V28" s="60">
        <f t="shared" si="6"/>
        <v>0</v>
      </c>
      <c r="W28" s="62"/>
      <c r="X28" s="60">
        <f t="shared" si="7"/>
        <v>0</v>
      </c>
      <c r="Y28" s="62"/>
      <c r="Z28" s="60">
        <f t="shared" si="8"/>
        <v>0</v>
      </c>
      <c r="AA28" s="62"/>
      <c r="AB28" s="60">
        <f t="shared" si="9"/>
        <v>0</v>
      </c>
      <c r="AC28" s="62">
        <v>0.2</v>
      </c>
      <c r="AD28" s="60">
        <f t="shared" si="10"/>
        <v>2742.6000000000004</v>
      </c>
      <c r="AE28" s="62">
        <v>0.4</v>
      </c>
      <c r="AF28" s="60">
        <f t="shared" si="11"/>
        <v>5485.2000000000007</v>
      </c>
      <c r="AG28" s="62">
        <v>0.2</v>
      </c>
      <c r="AH28" s="60">
        <f t="shared" si="12"/>
        <v>2742.6000000000004</v>
      </c>
      <c r="AI28" s="62"/>
      <c r="AJ28" s="60">
        <f t="shared" si="13"/>
        <v>0</v>
      </c>
      <c r="AK28" s="62"/>
      <c r="AL28" s="60">
        <f t="shared" si="14"/>
        <v>0</v>
      </c>
      <c r="AM28" s="62"/>
      <c r="AN28" s="60">
        <f t="shared" si="15"/>
        <v>0</v>
      </c>
      <c r="AO28" s="62"/>
      <c r="AP28" s="60">
        <f t="shared" si="16"/>
        <v>0</v>
      </c>
      <c r="AQ28" s="62"/>
      <c r="AR28" s="60">
        <f t="shared" si="17"/>
        <v>0</v>
      </c>
      <c r="AS28" s="62"/>
      <c r="AT28" s="60">
        <f t="shared" si="18"/>
        <v>0</v>
      </c>
      <c r="AU28" s="62"/>
      <c r="AV28" s="60">
        <f t="shared" si="19"/>
        <v>0</v>
      </c>
      <c r="AW28" s="62"/>
      <c r="AX28" s="60">
        <f t="shared" si="20"/>
        <v>0</v>
      </c>
      <c r="AY28" s="62"/>
      <c r="AZ28" s="60">
        <f t="shared" si="21"/>
        <v>0</v>
      </c>
      <c r="BA28" s="62"/>
      <c r="BB28" s="60">
        <f t="shared" si="22"/>
        <v>0</v>
      </c>
      <c r="BC28" s="62"/>
      <c r="BD28" s="60">
        <f t="shared" si="23"/>
        <v>0</v>
      </c>
      <c r="BE28" s="62"/>
      <c r="BF28" s="60">
        <f t="shared" si="24"/>
        <v>0</v>
      </c>
      <c r="BG28" s="63">
        <f t="shared" si="25"/>
        <v>0.8</v>
      </c>
      <c r="BH28" s="64">
        <f t="shared" si="26"/>
        <v>10970.400000000001</v>
      </c>
      <c r="BI28" s="65">
        <f t="shared" si="30"/>
        <v>0.80000000000000016</v>
      </c>
      <c r="BJ28" s="66">
        <f t="shared" si="27"/>
        <v>0.19999999999999996</v>
      </c>
      <c r="BK28" s="67">
        <f t="shared" si="28"/>
        <v>2742.5999999999985</v>
      </c>
      <c r="BL28" s="175">
        <f t="shared" si="31"/>
        <v>0.1999999999999999</v>
      </c>
    </row>
    <row r="29" spans="2:67" s="114" customFormat="1" ht="16.5" hidden="1" customHeight="1" x14ac:dyDescent="0.2">
      <c r="B29" s="1"/>
      <c r="C29" s="51" t="s">
        <v>1</v>
      </c>
      <c r="D29" s="51" t="s">
        <v>29</v>
      </c>
      <c r="E29" s="52" t="s">
        <v>465</v>
      </c>
      <c r="F29" s="53" t="s">
        <v>466</v>
      </c>
      <c r="G29" s="54" t="s">
        <v>186</v>
      </c>
      <c r="H29" s="55">
        <v>1</v>
      </c>
      <c r="I29" s="56">
        <v>7480</v>
      </c>
      <c r="J29" s="55">
        <v>7480</v>
      </c>
      <c r="K29" s="57">
        <f t="shared" si="29"/>
        <v>0</v>
      </c>
      <c r="L29" s="58">
        <f t="shared" si="1"/>
        <v>0</v>
      </c>
      <c r="M29" s="59"/>
      <c r="N29" s="60">
        <f t="shared" si="2"/>
        <v>0</v>
      </c>
      <c r="O29" s="59"/>
      <c r="P29" s="60">
        <f t="shared" si="3"/>
        <v>0</v>
      </c>
      <c r="Q29" s="61"/>
      <c r="R29" s="60">
        <f t="shared" si="4"/>
        <v>0</v>
      </c>
      <c r="S29" s="62"/>
      <c r="T29" s="60">
        <f t="shared" si="5"/>
        <v>0</v>
      </c>
      <c r="U29" s="62"/>
      <c r="V29" s="60">
        <f t="shared" si="6"/>
        <v>0</v>
      </c>
      <c r="W29" s="62"/>
      <c r="X29" s="60">
        <f t="shared" si="7"/>
        <v>0</v>
      </c>
      <c r="Y29" s="62"/>
      <c r="Z29" s="60">
        <f t="shared" si="8"/>
        <v>0</v>
      </c>
      <c r="AA29" s="62"/>
      <c r="AB29" s="60">
        <f t="shared" si="9"/>
        <v>0</v>
      </c>
      <c r="AC29" s="62"/>
      <c r="AD29" s="60">
        <f t="shared" si="10"/>
        <v>0</v>
      </c>
      <c r="AE29" s="62"/>
      <c r="AF29" s="60">
        <f t="shared" si="11"/>
        <v>0</v>
      </c>
      <c r="AG29" s="62"/>
      <c r="AH29" s="60">
        <f t="shared" si="12"/>
        <v>0</v>
      </c>
      <c r="AI29" s="62"/>
      <c r="AJ29" s="60">
        <f t="shared" si="13"/>
        <v>0</v>
      </c>
      <c r="AK29" s="62"/>
      <c r="AL29" s="60">
        <f t="shared" si="14"/>
        <v>0</v>
      </c>
      <c r="AM29" s="62"/>
      <c r="AN29" s="60">
        <f t="shared" si="15"/>
        <v>0</v>
      </c>
      <c r="AO29" s="62"/>
      <c r="AP29" s="60">
        <f t="shared" si="16"/>
        <v>0</v>
      </c>
      <c r="AQ29" s="62"/>
      <c r="AR29" s="60">
        <f t="shared" si="17"/>
        <v>0</v>
      </c>
      <c r="AS29" s="62"/>
      <c r="AT29" s="60">
        <f t="shared" si="18"/>
        <v>0</v>
      </c>
      <c r="AU29" s="62"/>
      <c r="AV29" s="60">
        <f t="shared" si="19"/>
        <v>0</v>
      </c>
      <c r="AW29" s="62"/>
      <c r="AX29" s="60">
        <f t="shared" si="20"/>
        <v>0</v>
      </c>
      <c r="AY29" s="62"/>
      <c r="AZ29" s="60">
        <f t="shared" si="21"/>
        <v>0</v>
      </c>
      <c r="BA29" s="62"/>
      <c r="BB29" s="60">
        <f t="shared" si="22"/>
        <v>0</v>
      </c>
      <c r="BC29" s="62"/>
      <c r="BD29" s="60">
        <f t="shared" si="23"/>
        <v>0</v>
      </c>
      <c r="BE29" s="62"/>
      <c r="BF29" s="60">
        <f t="shared" si="24"/>
        <v>0</v>
      </c>
      <c r="BG29" s="63">
        <f t="shared" si="25"/>
        <v>0</v>
      </c>
      <c r="BH29" s="64">
        <f t="shared" si="26"/>
        <v>0</v>
      </c>
      <c r="BI29" s="65">
        <f t="shared" si="30"/>
        <v>0</v>
      </c>
      <c r="BJ29" s="66">
        <f t="shared" si="27"/>
        <v>1</v>
      </c>
      <c r="BK29" s="67">
        <f t="shared" si="28"/>
        <v>7480</v>
      </c>
      <c r="BL29" s="175">
        <f t="shared" si="31"/>
        <v>1</v>
      </c>
    </row>
    <row r="30" spans="2:67" s="114" customFormat="1" ht="16.5" customHeight="1" x14ac:dyDescent="0.2">
      <c r="B30" s="1"/>
      <c r="C30" s="51" t="s">
        <v>85</v>
      </c>
      <c r="D30" s="51" t="s">
        <v>29</v>
      </c>
      <c r="E30" s="52" t="s">
        <v>467</v>
      </c>
      <c r="F30" s="53" t="s">
        <v>468</v>
      </c>
      <c r="G30" s="54" t="s">
        <v>186</v>
      </c>
      <c r="H30" s="55">
        <v>1</v>
      </c>
      <c r="I30" s="56">
        <v>8477</v>
      </c>
      <c r="J30" s="55">
        <v>8477</v>
      </c>
      <c r="K30" s="57">
        <f t="shared" si="29"/>
        <v>0.2</v>
      </c>
      <c r="L30" s="58">
        <f t="shared" si="1"/>
        <v>1695.4</v>
      </c>
      <c r="M30" s="59"/>
      <c r="N30" s="60">
        <f t="shared" si="2"/>
        <v>0</v>
      </c>
      <c r="O30" s="59"/>
      <c r="P30" s="60">
        <f t="shared" si="3"/>
        <v>0</v>
      </c>
      <c r="Q30" s="61"/>
      <c r="R30" s="60">
        <f t="shared" si="4"/>
        <v>0</v>
      </c>
      <c r="S30" s="62"/>
      <c r="T30" s="60">
        <f t="shared" si="5"/>
        <v>0</v>
      </c>
      <c r="U30" s="62"/>
      <c r="V30" s="60">
        <f t="shared" si="6"/>
        <v>0</v>
      </c>
      <c r="W30" s="62"/>
      <c r="X30" s="60">
        <f t="shared" si="7"/>
        <v>0</v>
      </c>
      <c r="Y30" s="62"/>
      <c r="Z30" s="60">
        <f t="shared" si="8"/>
        <v>0</v>
      </c>
      <c r="AA30" s="62"/>
      <c r="AB30" s="60">
        <f t="shared" si="9"/>
        <v>0</v>
      </c>
      <c r="AC30" s="62">
        <v>0.2</v>
      </c>
      <c r="AD30" s="60">
        <f t="shared" si="10"/>
        <v>1695.4</v>
      </c>
      <c r="AE30" s="62"/>
      <c r="AF30" s="60">
        <f t="shared" si="11"/>
        <v>0</v>
      </c>
      <c r="AG30" s="62">
        <v>0.6</v>
      </c>
      <c r="AH30" s="60">
        <f t="shared" si="12"/>
        <v>5086.2</v>
      </c>
      <c r="AI30" s="62"/>
      <c r="AJ30" s="60">
        <f t="shared" si="13"/>
        <v>0</v>
      </c>
      <c r="AK30" s="62"/>
      <c r="AL30" s="60">
        <f t="shared" si="14"/>
        <v>0</v>
      </c>
      <c r="AM30" s="62"/>
      <c r="AN30" s="60">
        <f t="shared" si="15"/>
        <v>0</v>
      </c>
      <c r="AO30" s="62"/>
      <c r="AP30" s="60">
        <f t="shared" si="16"/>
        <v>0</v>
      </c>
      <c r="AQ30" s="62"/>
      <c r="AR30" s="60">
        <f t="shared" si="17"/>
        <v>0</v>
      </c>
      <c r="AS30" s="62"/>
      <c r="AT30" s="60">
        <f t="shared" si="18"/>
        <v>0</v>
      </c>
      <c r="AU30" s="62"/>
      <c r="AV30" s="60">
        <f t="shared" si="19"/>
        <v>0</v>
      </c>
      <c r="AW30" s="62"/>
      <c r="AX30" s="60">
        <f t="shared" si="20"/>
        <v>0</v>
      </c>
      <c r="AY30" s="62"/>
      <c r="AZ30" s="60">
        <f t="shared" si="21"/>
        <v>0</v>
      </c>
      <c r="BA30" s="62"/>
      <c r="BB30" s="60">
        <f t="shared" si="22"/>
        <v>0</v>
      </c>
      <c r="BC30" s="62"/>
      <c r="BD30" s="60">
        <f t="shared" si="23"/>
        <v>0</v>
      </c>
      <c r="BE30" s="62"/>
      <c r="BF30" s="60">
        <f t="shared" si="24"/>
        <v>0</v>
      </c>
      <c r="BG30" s="63">
        <f t="shared" si="25"/>
        <v>0.8</v>
      </c>
      <c r="BH30" s="64">
        <f t="shared" si="26"/>
        <v>6781.6</v>
      </c>
      <c r="BI30" s="65">
        <f t="shared" si="30"/>
        <v>0.8</v>
      </c>
      <c r="BJ30" s="66">
        <f t="shared" si="27"/>
        <v>0.19999999999999996</v>
      </c>
      <c r="BK30" s="67">
        <f t="shared" si="28"/>
        <v>1695.3999999999996</v>
      </c>
      <c r="BL30" s="175">
        <f t="shared" si="31"/>
        <v>0.19999999999999996</v>
      </c>
      <c r="BM30" s="114" t="s">
        <v>559</v>
      </c>
      <c r="BN30" s="183" t="s">
        <v>574</v>
      </c>
      <c r="BO30" s="114" t="s">
        <v>576</v>
      </c>
    </row>
    <row r="31" spans="2:67" s="114" customFormat="1" ht="16.5" customHeight="1" x14ac:dyDescent="0.2">
      <c r="B31" s="1"/>
      <c r="C31" s="51" t="s">
        <v>88</v>
      </c>
      <c r="D31" s="51" t="s">
        <v>29</v>
      </c>
      <c r="E31" s="52" t="s">
        <v>469</v>
      </c>
      <c r="F31" s="53" t="s">
        <v>470</v>
      </c>
      <c r="G31" s="54" t="s">
        <v>186</v>
      </c>
      <c r="H31" s="55">
        <v>1</v>
      </c>
      <c r="I31" s="56">
        <v>6233</v>
      </c>
      <c r="J31" s="55">
        <v>6233</v>
      </c>
      <c r="K31" s="57">
        <f t="shared" si="29"/>
        <v>0.60000000000000009</v>
      </c>
      <c r="L31" s="58">
        <f t="shared" si="1"/>
        <v>3739.8000000000006</v>
      </c>
      <c r="M31" s="59"/>
      <c r="N31" s="60">
        <f t="shared" si="2"/>
        <v>0</v>
      </c>
      <c r="O31" s="59"/>
      <c r="P31" s="60">
        <f t="shared" si="3"/>
        <v>0</v>
      </c>
      <c r="Q31" s="61"/>
      <c r="R31" s="60">
        <f t="shared" si="4"/>
        <v>0</v>
      </c>
      <c r="S31" s="62"/>
      <c r="T31" s="60">
        <f t="shared" si="5"/>
        <v>0</v>
      </c>
      <c r="U31" s="62"/>
      <c r="V31" s="60">
        <f t="shared" si="6"/>
        <v>0</v>
      </c>
      <c r="W31" s="62"/>
      <c r="X31" s="60">
        <f t="shared" si="7"/>
        <v>0</v>
      </c>
      <c r="Y31" s="62"/>
      <c r="Z31" s="60">
        <f t="shared" si="8"/>
        <v>0</v>
      </c>
      <c r="AA31" s="62"/>
      <c r="AB31" s="60">
        <f t="shared" si="9"/>
        <v>0</v>
      </c>
      <c r="AC31" s="62">
        <v>0.2</v>
      </c>
      <c r="AD31" s="60">
        <f t="shared" si="10"/>
        <v>1246.6000000000001</v>
      </c>
      <c r="AE31" s="62">
        <v>0.4</v>
      </c>
      <c r="AF31" s="60">
        <f t="shared" si="11"/>
        <v>2493.2000000000003</v>
      </c>
      <c r="AG31" s="62">
        <v>0.2</v>
      </c>
      <c r="AH31" s="60">
        <f t="shared" si="12"/>
        <v>1246.6000000000001</v>
      </c>
      <c r="AI31" s="62"/>
      <c r="AJ31" s="60">
        <f t="shared" si="13"/>
        <v>0</v>
      </c>
      <c r="AK31" s="62"/>
      <c r="AL31" s="60">
        <f t="shared" si="14"/>
        <v>0</v>
      </c>
      <c r="AM31" s="62"/>
      <c r="AN31" s="60">
        <f t="shared" si="15"/>
        <v>0</v>
      </c>
      <c r="AO31" s="62"/>
      <c r="AP31" s="60">
        <f t="shared" si="16"/>
        <v>0</v>
      </c>
      <c r="AQ31" s="62"/>
      <c r="AR31" s="60">
        <f t="shared" si="17"/>
        <v>0</v>
      </c>
      <c r="AS31" s="62"/>
      <c r="AT31" s="60">
        <f t="shared" si="18"/>
        <v>0</v>
      </c>
      <c r="AU31" s="62"/>
      <c r="AV31" s="60">
        <f t="shared" si="19"/>
        <v>0</v>
      </c>
      <c r="AW31" s="62"/>
      <c r="AX31" s="60">
        <f t="shared" si="20"/>
        <v>0</v>
      </c>
      <c r="AY31" s="62"/>
      <c r="AZ31" s="60">
        <f t="shared" si="21"/>
        <v>0</v>
      </c>
      <c r="BA31" s="62"/>
      <c r="BB31" s="60">
        <f t="shared" si="22"/>
        <v>0</v>
      </c>
      <c r="BC31" s="62"/>
      <c r="BD31" s="60">
        <f t="shared" si="23"/>
        <v>0</v>
      </c>
      <c r="BE31" s="62"/>
      <c r="BF31" s="60">
        <f t="shared" si="24"/>
        <v>0</v>
      </c>
      <c r="BG31" s="63">
        <f t="shared" si="25"/>
        <v>0.8</v>
      </c>
      <c r="BH31" s="64">
        <f t="shared" si="26"/>
        <v>4986.4000000000005</v>
      </c>
      <c r="BI31" s="65">
        <f t="shared" si="30"/>
        <v>0.8</v>
      </c>
      <c r="BJ31" s="66">
        <f t="shared" si="27"/>
        <v>0.19999999999999996</v>
      </c>
      <c r="BK31" s="67">
        <f t="shared" si="28"/>
        <v>1246.5999999999995</v>
      </c>
      <c r="BL31" s="175">
        <f t="shared" si="31"/>
        <v>0.1999999999999999</v>
      </c>
    </row>
    <row r="32" spans="2:67" s="114" customFormat="1" ht="6.95" customHeight="1" x14ac:dyDescent="0.2">
      <c r="B32" s="1"/>
      <c r="C32" s="1"/>
      <c r="D32" s="1"/>
      <c r="E32" s="1"/>
      <c r="F32" s="1"/>
      <c r="G32" s="1"/>
      <c r="H32" s="1"/>
      <c r="I32" s="38"/>
      <c r="J32" s="1"/>
      <c r="AC32" s="185" t="s">
        <v>522</v>
      </c>
      <c r="AG32" s="185" t="s">
        <v>522</v>
      </c>
    </row>
    <row r="33" spans="4:63" ht="18" customHeight="1" x14ac:dyDescent="0.2">
      <c r="D33" s="24"/>
      <c r="E33" s="25" t="s">
        <v>528</v>
      </c>
      <c r="F33" s="26"/>
      <c r="G33" s="26"/>
      <c r="H33" s="27"/>
      <c r="I33" s="26"/>
      <c r="J33" s="28">
        <v>324281</v>
      </c>
      <c r="K33" s="29"/>
      <c r="L33" s="181">
        <f>ROUND(SUM(L12:L31),2)</f>
        <v>130216</v>
      </c>
      <c r="M33" s="30" t="s">
        <v>522</v>
      </c>
      <c r="N33" s="181">
        <f>ROUND(SUM(N12:N31),2)</f>
        <v>0</v>
      </c>
      <c r="O33" s="30" t="s">
        <v>522</v>
      </c>
      <c r="P33" s="181">
        <f>ROUND(SUM(P12:P31),2)</f>
        <v>0</v>
      </c>
      <c r="Q33" s="30" t="s">
        <v>522</v>
      </c>
      <c r="R33" s="181">
        <f>ROUND(SUM(R12:R31),2)</f>
        <v>0</v>
      </c>
      <c r="S33" s="30" t="s">
        <v>522</v>
      </c>
      <c r="T33" s="181">
        <f>ROUND(SUM(T12:T31),2)</f>
        <v>0</v>
      </c>
      <c r="U33" s="30" t="s">
        <v>522</v>
      </c>
      <c r="V33" s="181">
        <f>ROUND(SUM(V12:V31),2)</f>
        <v>0</v>
      </c>
      <c r="W33" s="30" t="s">
        <v>522</v>
      </c>
      <c r="X33" s="181">
        <f>ROUND(SUM(X12:X31),2)</f>
        <v>0</v>
      </c>
      <c r="Y33" s="30" t="s">
        <v>522</v>
      </c>
      <c r="Z33" s="181">
        <f>ROUND(SUM(Z12:Z31),2)</f>
        <v>0</v>
      </c>
      <c r="AA33" s="30" t="s">
        <v>522</v>
      </c>
      <c r="AB33" s="181">
        <f>ROUND(SUM(AB12:AB31),2)</f>
        <v>0</v>
      </c>
      <c r="AC33" s="30" t="s">
        <v>522</v>
      </c>
      <c r="AD33" s="181">
        <f>ROUND(SUM(AD12:AD31),2)</f>
        <v>46218.7</v>
      </c>
      <c r="AE33" s="30" t="s">
        <v>522</v>
      </c>
      <c r="AF33" s="181">
        <f>ROUND(SUM(AF12:AF31),2)</f>
        <v>83997.3</v>
      </c>
      <c r="AG33" s="30" t="s">
        <v>522</v>
      </c>
      <c r="AH33" s="181">
        <f>ROUND(SUM(AH12:AH31),2)</f>
        <v>47178.400000000001</v>
      </c>
      <c r="AI33" s="30" t="s">
        <v>522</v>
      </c>
      <c r="AJ33" s="181">
        <f>ROUND(SUM(AJ12:AJ31),2)</f>
        <v>0</v>
      </c>
      <c r="AK33" s="30" t="s">
        <v>522</v>
      </c>
      <c r="AL33" s="181">
        <f>ROUND(SUM(AL12:AL31),2)</f>
        <v>0</v>
      </c>
      <c r="AM33" s="30" t="s">
        <v>522</v>
      </c>
      <c r="AN33" s="181">
        <f>ROUND(SUM(AN12:AN31),2)</f>
        <v>0</v>
      </c>
      <c r="AO33" s="30" t="s">
        <v>522</v>
      </c>
      <c r="AP33" s="181">
        <f>ROUND(SUM(AP12:AP31),2)</f>
        <v>0</v>
      </c>
      <c r="AQ33" s="30" t="s">
        <v>522</v>
      </c>
      <c r="AR33" s="181">
        <f>ROUND(SUM(AR12:AR31),2)</f>
        <v>0</v>
      </c>
      <c r="AS33" s="30" t="s">
        <v>522</v>
      </c>
      <c r="AT33" s="181">
        <f>ROUND(SUM(AT12:AT31),2)</f>
        <v>0</v>
      </c>
      <c r="AU33" s="30" t="s">
        <v>522</v>
      </c>
      <c r="AV33" s="181">
        <f>ROUND(SUM(AV12:AV31),2)</f>
        <v>0</v>
      </c>
      <c r="AW33" s="30" t="s">
        <v>522</v>
      </c>
      <c r="AX33" s="181">
        <f>ROUND(SUM(AX12:AX31),2)</f>
        <v>0</v>
      </c>
      <c r="AY33" s="30" t="s">
        <v>522</v>
      </c>
      <c r="AZ33" s="181">
        <f>ROUND(SUM(AZ12:AZ31),2)</f>
        <v>0</v>
      </c>
      <c r="BA33" s="30" t="s">
        <v>522</v>
      </c>
      <c r="BB33" s="181">
        <f>ROUND(SUM(BB12:BB31),2)</f>
        <v>0</v>
      </c>
      <c r="BC33" s="30" t="s">
        <v>522</v>
      </c>
      <c r="BD33" s="181">
        <f>ROUND(SUM(BD12:BD31),2)</f>
        <v>0</v>
      </c>
      <c r="BE33" s="30" t="s">
        <v>522</v>
      </c>
      <c r="BF33" s="181">
        <f>ROUND(SUM(BF12:BF31),2)</f>
        <v>0</v>
      </c>
      <c r="BG33" s="31"/>
      <c r="BH33" s="181">
        <f>ROUND(SUM(BH12:BH31),2)</f>
        <v>177394.4</v>
      </c>
      <c r="BI33" s="28"/>
      <c r="BJ33" s="31"/>
      <c r="BK33" s="181">
        <f>ROUND(SUM(BK12:BK31),2)</f>
        <v>146886.6</v>
      </c>
    </row>
    <row r="34" spans="4:63" ht="12.75" x14ac:dyDescent="0.2">
      <c r="H34" s="32"/>
      <c r="I34" s="9"/>
      <c r="J34" s="10"/>
      <c r="K34" s="11"/>
      <c r="L34" s="11"/>
      <c r="M34" s="33" t="s">
        <v>522</v>
      </c>
      <c r="O34" s="33" t="s">
        <v>522</v>
      </c>
      <c r="Q34" s="34" t="s">
        <v>522</v>
      </c>
      <c r="S34" s="34" t="s">
        <v>522</v>
      </c>
      <c r="U34" s="35" t="s">
        <v>522</v>
      </c>
      <c r="Y34" s="35" t="s">
        <v>522</v>
      </c>
      <c r="AA34" s="34" t="s">
        <v>522</v>
      </c>
      <c r="AC34" s="36" t="s">
        <v>522</v>
      </c>
      <c r="AE34" s="186" t="s">
        <v>522</v>
      </c>
      <c r="AG34" s="186" t="s">
        <v>522</v>
      </c>
    </row>
    <row r="35" spans="4:63" ht="14.25" x14ac:dyDescent="0.2">
      <c r="E35" s="8" t="str">
        <f>+'Rekapitulace stavby'!$B$25</f>
        <v>Zhotovitel: Jiří Prokop</v>
      </c>
      <c r="F35" s="8"/>
      <c r="H35" s="32"/>
      <c r="I35" s="9"/>
      <c r="J35" s="233" t="s">
        <v>592</v>
      </c>
      <c r="K35" s="32"/>
      <c r="M35" s="8"/>
      <c r="P35" s="8" t="s">
        <v>496</v>
      </c>
      <c r="S35" s="34" t="s">
        <v>522</v>
      </c>
      <c r="U35" s="35" t="s">
        <v>522</v>
      </c>
      <c r="Y35" s="35" t="s">
        <v>522</v>
      </c>
      <c r="AA35" s="34" t="s">
        <v>522</v>
      </c>
      <c r="AC35" s="36" t="s">
        <v>522</v>
      </c>
      <c r="AE35" s="186" t="s">
        <v>522</v>
      </c>
      <c r="AG35" s="186" t="s">
        <v>522</v>
      </c>
      <c r="BG35" s="8" t="s">
        <v>496</v>
      </c>
    </row>
    <row r="36" spans="4:63" x14ac:dyDescent="0.2">
      <c r="AE36" s="186" t="s">
        <v>522</v>
      </c>
      <c r="AG36" s="186" t="s">
        <v>522</v>
      </c>
    </row>
  </sheetData>
  <sheetProtection formatColumns="0" formatRows="0" autoFilter="0"/>
  <protectedRanges>
    <protectedRange password="CCAA" sqref="BG8 K8" name="Oblast1_1_1"/>
    <protectedRange password="CCAA" sqref="D9:H11" name="Oblast1_2"/>
  </protectedRanges>
  <autoFilter ref="C10:BL31" xr:uid="{00000000-0001-0000-0600-000000000000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30">
      <customFilters>
        <customFilter operator="notEqual" val=" "/>
      </customFilters>
    </filterColumn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 showButton="0"/>
    <filterColumn colId="54" showButton="0"/>
  </autoFilter>
  <mergeCells count="69">
    <mergeCell ref="BA10:BB10"/>
    <mergeCell ref="BC10:BD10"/>
    <mergeCell ref="BE10:BF10"/>
    <mergeCell ref="AO10:AP10"/>
    <mergeCell ref="AQ10:AR10"/>
    <mergeCell ref="AS10:AT10"/>
    <mergeCell ref="AU10:AV10"/>
    <mergeCell ref="AW10:AX10"/>
    <mergeCell ref="AY9:AZ9"/>
    <mergeCell ref="BA9:BB9"/>
    <mergeCell ref="BC9:BD9"/>
    <mergeCell ref="BE9:BF9"/>
    <mergeCell ref="M10:N10"/>
    <mergeCell ref="O10:P10"/>
    <mergeCell ref="S10:T10"/>
    <mergeCell ref="U10:V10"/>
    <mergeCell ref="W10:X10"/>
    <mergeCell ref="Y10:Z10"/>
    <mergeCell ref="AA10:AB10"/>
    <mergeCell ref="AI10:AJ10"/>
    <mergeCell ref="AK10:AL10"/>
    <mergeCell ref="AM10:AN10"/>
    <mergeCell ref="AO9:AP9"/>
    <mergeCell ref="AY10:AZ10"/>
    <mergeCell ref="AQ9:AR9"/>
    <mergeCell ref="AS9:AT9"/>
    <mergeCell ref="AU9:AV9"/>
    <mergeCell ref="AW9:AX9"/>
    <mergeCell ref="AE9:AF9"/>
    <mergeCell ref="AG9:AH9"/>
    <mergeCell ref="AI9:AJ9"/>
    <mergeCell ref="AK9:AL9"/>
    <mergeCell ref="AM9:AN9"/>
    <mergeCell ref="U9:V9"/>
    <mergeCell ref="W9:X9"/>
    <mergeCell ref="Y9:Z9"/>
    <mergeCell ref="AA9:AB9"/>
    <mergeCell ref="AC9:AD9"/>
    <mergeCell ref="K9:L9"/>
    <mergeCell ref="M9:N9"/>
    <mergeCell ref="O9:P9"/>
    <mergeCell ref="Q9:R9"/>
    <mergeCell ref="S9:T9"/>
    <mergeCell ref="AW8:AX8"/>
    <mergeCell ref="AY8:AZ8"/>
    <mergeCell ref="BA8:BB8"/>
    <mergeCell ref="BC8:BD8"/>
    <mergeCell ref="BE8:BF8"/>
    <mergeCell ref="AM8:AN8"/>
    <mergeCell ref="AO8:AP8"/>
    <mergeCell ref="AQ8:AR8"/>
    <mergeCell ref="AS8:AT8"/>
    <mergeCell ref="AU8:AV8"/>
    <mergeCell ref="BM13:BM14"/>
    <mergeCell ref="BG9:BI9"/>
    <mergeCell ref="BJ9:BL9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</mergeCells>
  <conditionalFormatting sqref="D3:E8 H3:N7 H8:L8 D9:L10 D11:AL11 BE11:JE11 BG8:JE8 BM9:JE10 O1:AI7 D1:N2 AK1:JE7">
    <cfRule type="cellIs" dxfId="92" priority="95" operator="lessThan">
      <formula>0</formula>
    </cfRule>
  </conditionalFormatting>
  <conditionalFormatting sqref="G4">
    <cfRule type="cellIs" dxfId="91" priority="94" operator="lessThan">
      <formula>0</formula>
    </cfRule>
  </conditionalFormatting>
  <conditionalFormatting sqref="G3">
    <cfRule type="cellIs" dxfId="90" priority="93" operator="lessThan">
      <formula>0</formula>
    </cfRule>
  </conditionalFormatting>
  <conditionalFormatting sqref="AO11:AP11">
    <cfRule type="cellIs" dxfId="89" priority="91" operator="lessThan">
      <formula>0</formula>
    </cfRule>
  </conditionalFormatting>
  <conditionalFormatting sqref="AQ11:AR11">
    <cfRule type="cellIs" dxfId="88" priority="90" operator="lessThan">
      <formula>0</formula>
    </cfRule>
  </conditionalFormatting>
  <conditionalFormatting sqref="AS11:AT11">
    <cfRule type="cellIs" dxfId="87" priority="89" operator="lessThan">
      <formula>0</formula>
    </cfRule>
  </conditionalFormatting>
  <conditionalFormatting sqref="AS10:AT10">
    <cfRule type="cellIs" dxfId="86" priority="67" operator="lessThan">
      <formula>0</formula>
    </cfRule>
  </conditionalFormatting>
  <conditionalFormatting sqref="AM10:AN10">
    <cfRule type="cellIs" dxfId="85" priority="70" operator="lessThan">
      <formula>0</formula>
    </cfRule>
  </conditionalFormatting>
  <conditionalFormatting sqref="AI8">
    <cfRule type="cellIs" dxfId="84" priority="73" operator="lessThan">
      <formula>0</formula>
    </cfRule>
  </conditionalFormatting>
  <conditionalFormatting sqref="AG10:AH10">
    <cfRule type="cellIs" dxfId="83" priority="76" operator="lessThan">
      <formula>0</formula>
    </cfRule>
  </conditionalFormatting>
  <conditionalFormatting sqref="AC8">
    <cfRule type="cellIs" dxfId="82" priority="79" operator="lessThan">
      <formula>0</formula>
    </cfRule>
  </conditionalFormatting>
  <conditionalFormatting sqref="W8">
    <cfRule type="cellIs" dxfId="81" priority="82" operator="lessThan">
      <formula>0</formula>
    </cfRule>
  </conditionalFormatting>
  <conditionalFormatting sqref="BC11:BD11">
    <cfRule type="cellIs" dxfId="80" priority="84" operator="lessThan">
      <formula>0</formula>
    </cfRule>
  </conditionalFormatting>
  <conditionalFormatting sqref="AO10:AP10">
    <cfRule type="cellIs" dxfId="79" priority="69" operator="lessThan">
      <formula>0</formula>
    </cfRule>
  </conditionalFormatting>
  <conditionalFormatting sqref="AK10:AL10">
    <cfRule type="cellIs" dxfId="78" priority="72" operator="lessThan">
      <formula>0</formula>
    </cfRule>
  </conditionalFormatting>
  <conditionalFormatting sqref="AG8">
    <cfRule type="cellIs" dxfId="77" priority="75" operator="lessThan">
      <formula>0</formula>
    </cfRule>
  </conditionalFormatting>
  <conditionalFormatting sqref="AE10:AF10">
    <cfRule type="cellIs" dxfId="76" priority="78" operator="lessThan">
      <formula>0</formula>
    </cfRule>
  </conditionalFormatting>
  <conditionalFormatting sqref="Y8">
    <cfRule type="cellIs" dxfId="75" priority="81" operator="lessThan">
      <formula>0</formula>
    </cfRule>
  </conditionalFormatting>
  <conditionalFormatting sqref="AM11:AN11">
    <cfRule type="cellIs" dxfId="74" priority="92" operator="lessThan">
      <formula>0</formula>
    </cfRule>
  </conditionalFormatting>
  <conditionalFormatting sqref="O8 Q8 M8 S8 U8 M9:AZ9 M10:AD10">
    <cfRule type="cellIs" dxfId="73" priority="83" operator="lessThan">
      <formula>0</formula>
    </cfRule>
  </conditionalFormatting>
  <conditionalFormatting sqref="AA8">
    <cfRule type="cellIs" dxfId="72" priority="80" operator="lessThan">
      <formula>0</formula>
    </cfRule>
  </conditionalFormatting>
  <conditionalFormatting sqref="AE8">
    <cfRule type="cellIs" dxfId="71" priority="77" operator="lessThan">
      <formula>0</formula>
    </cfRule>
  </conditionalFormatting>
  <conditionalFormatting sqref="AU11:AV11">
    <cfRule type="cellIs" dxfId="70" priority="88" operator="lessThan">
      <formula>0</formula>
    </cfRule>
  </conditionalFormatting>
  <conditionalFormatting sqref="AK8">
    <cfRule type="cellIs" dxfId="69" priority="71" operator="lessThan">
      <formula>0</formula>
    </cfRule>
  </conditionalFormatting>
  <conditionalFormatting sqref="AW11:AX11">
    <cfRule type="cellIs" dxfId="68" priority="87" operator="lessThan">
      <formula>0</formula>
    </cfRule>
  </conditionalFormatting>
  <conditionalFormatting sqref="AQ10:AR10">
    <cfRule type="cellIs" dxfId="67" priority="68" operator="lessThan">
      <formula>0</formula>
    </cfRule>
  </conditionalFormatting>
  <conditionalFormatting sqref="AY11:AZ11">
    <cfRule type="cellIs" dxfId="66" priority="86" operator="lessThan">
      <formula>0</formula>
    </cfRule>
  </conditionalFormatting>
  <conditionalFormatting sqref="AW10:AX10">
    <cfRule type="cellIs" dxfId="65" priority="65" operator="lessThan">
      <formula>0</formula>
    </cfRule>
  </conditionalFormatting>
  <conditionalFormatting sqref="AY10:AZ10">
    <cfRule type="cellIs" dxfId="64" priority="64" operator="lessThan">
      <formula>0</formula>
    </cfRule>
  </conditionalFormatting>
  <conditionalFormatting sqref="BA9:BB10 BC9:BD9">
    <cfRule type="cellIs" dxfId="63" priority="63" operator="lessThan">
      <formula>0</formula>
    </cfRule>
  </conditionalFormatting>
  <conditionalFormatting sqref="BA11:BB11">
    <cfRule type="cellIs" dxfId="62" priority="85" operator="lessThan">
      <formula>0</formula>
    </cfRule>
  </conditionalFormatting>
  <conditionalFormatting sqref="AM8 AO8 AQ8 AS8">
    <cfRule type="cellIs" dxfId="61" priority="61" operator="lessThan">
      <formula>0</formula>
    </cfRule>
  </conditionalFormatting>
  <conditionalFormatting sqref="AU8">
    <cfRule type="cellIs" dxfId="60" priority="60" operator="lessThan">
      <formula>0</formula>
    </cfRule>
  </conditionalFormatting>
  <conditionalFormatting sqref="AY8">
    <cfRule type="cellIs" dxfId="59" priority="58" operator="lessThan">
      <formula>0</formula>
    </cfRule>
  </conditionalFormatting>
  <conditionalFormatting sqref="BA8">
    <cfRule type="cellIs" dxfId="58" priority="57" operator="lessThan">
      <formula>0</formula>
    </cfRule>
  </conditionalFormatting>
  <conditionalFormatting sqref="BC8">
    <cfRule type="cellIs" dxfId="57" priority="56" operator="lessThan">
      <formula>0</formula>
    </cfRule>
  </conditionalFormatting>
  <conditionalFormatting sqref="BE9:BF9">
    <cfRule type="cellIs" dxfId="56" priority="55" operator="lessThan">
      <formula>0</formula>
    </cfRule>
  </conditionalFormatting>
  <conditionalFormatting sqref="BE10:BF10">
    <cfRule type="cellIs" dxfId="55" priority="54" operator="lessThan">
      <formula>0</formula>
    </cfRule>
  </conditionalFormatting>
  <conditionalFormatting sqref="BE8">
    <cfRule type="cellIs" dxfId="54" priority="53" operator="lessThan">
      <formula>0</formula>
    </cfRule>
  </conditionalFormatting>
  <conditionalFormatting sqref="AI10:AJ10">
    <cfRule type="cellIs" dxfId="53" priority="74" operator="lessThan">
      <formula>0</formula>
    </cfRule>
  </conditionalFormatting>
  <conditionalFormatting sqref="AU10:AV10">
    <cfRule type="cellIs" dxfId="52" priority="66" operator="lessThan">
      <formula>0</formula>
    </cfRule>
  </conditionalFormatting>
  <conditionalFormatting sqref="BC10:BD10">
    <cfRule type="cellIs" dxfId="51" priority="62" operator="lessThan">
      <formula>0</formula>
    </cfRule>
  </conditionalFormatting>
  <conditionalFormatting sqref="AW8">
    <cfRule type="cellIs" dxfId="50" priority="59" operator="lessThan">
      <formula>0</formula>
    </cfRule>
  </conditionalFormatting>
  <conditionalFormatting sqref="BE12:BK14 BE15:BH31 BJ16:BK31 K12:AL31">
    <cfRule type="cellIs" dxfId="49" priority="52" operator="lessThan">
      <formula>0</formula>
    </cfRule>
  </conditionalFormatting>
  <conditionalFormatting sqref="N12:N31 Q12:Q31 S12:S31 W12:W31 Y12:Y31">
    <cfRule type="cellIs" dxfId="48" priority="51" operator="lessThan">
      <formula>0</formula>
    </cfRule>
  </conditionalFormatting>
  <conditionalFormatting sqref="N12:N31 Q12:Q31 S12:S31 W12:W31 Y12:Y31">
    <cfRule type="cellIs" dxfId="47" priority="50" operator="lessThan">
      <formula>0</formula>
    </cfRule>
  </conditionalFormatting>
  <conditionalFormatting sqref="N12:N31 Q12:Q31 S12:S31 W12:W31 Y12:Y31">
    <cfRule type="cellIs" dxfId="46" priority="49" operator="lessThan">
      <formula>0</formula>
    </cfRule>
  </conditionalFormatting>
  <conditionalFormatting sqref="W12:W31 Y12:Y31">
    <cfRule type="cellIs" dxfId="45" priority="47" operator="lessThan">
      <formula>0</formula>
    </cfRule>
    <cfRule type="cellIs" dxfId="44" priority="48" operator="lessThan">
      <formula>0</formula>
    </cfRule>
  </conditionalFormatting>
  <conditionalFormatting sqref="N12:N31 Q12:Q31 S12:S31 W12:W31 Y12:Y31">
    <cfRule type="cellIs" dxfId="43" priority="46" operator="lessThan">
      <formula>0</formula>
    </cfRule>
  </conditionalFormatting>
  <conditionalFormatting sqref="W12:W31">
    <cfRule type="cellIs" dxfId="42" priority="44" operator="lessThan">
      <formula>0</formula>
    </cfRule>
    <cfRule type="cellIs" dxfId="41" priority="45" operator="lessThan">
      <formula>0</formula>
    </cfRule>
  </conditionalFormatting>
  <conditionalFormatting sqref="Y12:Y31">
    <cfRule type="cellIs" dxfId="40" priority="42" operator="lessThan">
      <formula>0</formula>
    </cfRule>
    <cfRule type="cellIs" dxfId="39" priority="43" operator="lessThan">
      <formula>0</formula>
    </cfRule>
  </conditionalFormatting>
  <conditionalFormatting sqref="N12:N31">
    <cfRule type="cellIs" dxfId="38" priority="41" operator="lessThan">
      <formula>0</formula>
    </cfRule>
  </conditionalFormatting>
  <conditionalFormatting sqref="BG12:BK14 BG15:BH31 BJ16:BK31">
    <cfRule type="cellIs" dxfId="37" priority="40" operator="lessThan">
      <formula>0</formula>
    </cfRule>
  </conditionalFormatting>
  <conditionalFormatting sqref="AO12:AP31">
    <cfRule type="cellIs" dxfId="36" priority="38" operator="lessThan">
      <formula>0</formula>
    </cfRule>
  </conditionalFormatting>
  <conditionalFormatting sqref="AQ12:AR31">
    <cfRule type="cellIs" dxfId="35" priority="37" operator="lessThan">
      <formula>0</formula>
    </cfRule>
  </conditionalFormatting>
  <conditionalFormatting sqref="AS12:AT31">
    <cfRule type="cellIs" dxfId="34" priority="36" operator="lessThan">
      <formula>0</formula>
    </cfRule>
  </conditionalFormatting>
  <conditionalFormatting sqref="BC12:BD31">
    <cfRule type="cellIs" dxfId="33" priority="31" operator="lessThan">
      <formula>0</formula>
    </cfRule>
  </conditionalFormatting>
  <conditionalFormatting sqref="AM12:AN31">
    <cfRule type="cellIs" dxfId="32" priority="39" operator="lessThan">
      <formula>0</formula>
    </cfRule>
  </conditionalFormatting>
  <conditionalFormatting sqref="AU12:AV31">
    <cfRule type="cellIs" dxfId="31" priority="35" operator="lessThan">
      <formula>0</formula>
    </cfRule>
  </conditionalFormatting>
  <conditionalFormatting sqref="AW12:AX31">
    <cfRule type="cellIs" dxfId="30" priority="34" operator="lessThan">
      <formula>0</formula>
    </cfRule>
  </conditionalFormatting>
  <conditionalFormatting sqref="AY12:AZ31">
    <cfRule type="cellIs" dxfId="29" priority="33" operator="lessThan">
      <formula>0</formula>
    </cfRule>
  </conditionalFormatting>
  <conditionalFormatting sqref="BA12:BB31">
    <cfRule type="cellIs" dxfId="28" priority="32" operator="lessThan">
      <formula>0</formula>
    </cfRule>
  </conditionalFormatting>
  <conditionalFormatting sqref="K34:AL34 BE34:BF35 K33 M33 O33 Q33 S33 U33 W33 Y33 AA33 AC33 AE33 AG33 AI33 AK33 BE33 S35:AL35">
    <cfRule type="cellIs" dxfId="27" priority="30" operator="lessThan">
      <formula>0</formula>
    </cfRule>
  </conditionalFormatting>
  <conditionalFormatting sqref="E33:J34 BG33:BG34 D33:D35 BH34:JO35 BI33:BJ33 BL33:JO33">
    <cfRule type="cellIs" dxfId="26" priority="29" operator="lessThan">
      <formula>0</formula>
    </cfRule>
  </conditionalFormatting>
  <conditionalFormatting sqref="BH35:BI35 T35 V35:X35 Z35 AB35">
    <cfRule type="cellIs" dxfId="25" priority="28" operator="lessThan">
      <formula>0</formula>
    </cfRule>
  </conditionalFormatting>
  <conditionalFormatting sqref="T35 V35:X35 Z35 AB35">
    <cfRule type="cellIs" dxfId="24" priority="27" operator="lessThan">
      <formula>0</formula>
    </cfRule>
  </conditionalFormatting>
  <conditionalFormatting sqref="T35 V35:X35 Z35 AB35">
    <cfRule type="cellIs" dxfId="23" priority="26" operator="lessThan">
      <formula>0</formula>
    </cfRule>
  </conditionalFormatting>
  <conditionalFormatting sqref="AO34:AP35 AO33">
    <cfRule type="cellIs" dxfId="22" priority="24" operator="lessThan">
      <formula>0</formula>
    </cfRule>
  </conditionalFormatting>
  <conditionalFormatting sqref="AQ34:AR35 AQ33">
    <cfRule type="cellIs" dxfId="21" priority="23" operator="lessThan">
      <formula>0</formula>
    </cfRule>
  </conditionalFormatting>
  <conditionalFormatting sqref="AS34:AT35 AS33">
    <cfRule type="cellIs" dxfId="20" priority="22" operator="lessThan">
      <formula>0</formula>
    </cfRule>
  </conditionalFormatting>
  <conditionalFormatting sqref="BC34:BD35 BC33">
    <cfRule type="cellIs" dxfId="19" priority="17" operator="lessThan">
      <formula>0</formula>
    </cfRule>
  </conditionalFormatting>
  <conditionalFormatting sqref="AM34:AN35 AM33">
    <cfRule type="cellIs" dxfId="18" priority="25" operator="lessThan">
      <formula>0</formula>
    </cfRule>
  </conditionalFormatting>
  <conditionalFormatting sqref="AU34:AV35 AU33">
    <cfRule type="cellIs" dxfId="17" priority="21" operator="lessThan">
      <formula>0</formula>
    </cfRule>
  </conditionalFormatting>
  <conditionalFormatting sqref="AW34:AX35 AW33">
    <cfRule type="cellIs" dxfId="16" priority="20" operator="lessThan">
      <formula>0</formula>
    </cfRule>
  </conditionalFormatting>
  <conditionalFormatting sqref="AY34:AZ35 AY33">
    <cfRule type="cellIs" dxfId="15" priority="19" operator="lessThan">
      <formula>0</formula>
    </cfRule>
  </conditionalFormatting>
  <conditionalFormatting sqref="BA34:BB35 BA33">
    <cfRule type="cellIs" dxfId="14" priority="18" operator="lessThan">
      <formula>0</formula>
    </cfRule>
  </conditionalFormatting>
  <conditionalFormatting sqref="BG9:BH10 BJ9:BK9">
    <cfRule type="cellIs" dxfId="13" priority="14" operator="lessThan">
      <formula>0</formula>
    </cfRule>
  </conditionalFormatting>
  <conditionalFormatting sqref="BI10:BL10">
    <cfRule type="cellIs" dxfId="12" priority="13" operator="lessThan">
      <formula>0</formula>
    </cfRule>
  </conditionalFormatting>
  <conditionalFormatting sqref="BJ15:BK15">
    <cfRule type="cellIs" dxfId="11" priority="12" operator="lessThan">
      <formula>0</formula>
    </cfRule>
  </conditionalFormatting>
  <conditionalFormatting sqref="BJ15:BK15">
    <cfRule type="cellIs" dxfId="10" priority="11" operator="lessThan">
      <formula>0</formula>
    </cfRule>
  </conditionalFormatting>
  <conditionalFormatting sqref="L33 N33 P33 R33 T33 V33 X33 Z33 AB33 AD33 AF33 AH33 AJ33 AL33 AN33 AP33 AR33 AT33 AV33 AX33 AZ33 BB33 BD33 BF33">
    <cfRule type="cellIs" dxfId="9" priority="10" operator="lessThan">
      <formula>0</formula>
    </cfRule>
  </conditionalFormatting>
  <conditionalFormatting sqref="BK33 BH33">
    <cfRule type="cellIs" dxfId="8" priority="9" operator="lessThan">
      <formula>0</formula>
    </cfRule>
  </conditionalFormatting>
  <conditionalFormatting sqref="G35:I35">
    <cfRule type="cellIs" dxfId="7" priority="8" operator="lessThan">
      <formula>0</formula>
    </cfRule>
  </conditionalFormatting>
  <conditionalFormatting sqref="G35:I35">
    <cfRule type="cellIs" dxfId="6" priority="7" operator="lessThan">
      <formula>0</formula>
    </cfRule>
  </conditionalFormatting>
  <conditionalFormatting sqref="G35:I35">
    <cfRule type="cellIs" dxfId="5" priority="6" operator="lessThan">
      <formula>0</formula>
    </cfRule>
  </conditionalFormatting>
  <conditionalFormatting sqref="G35:I35">
    <cfRule type="cellIs" dxfId="4" priority="5" operator="lessThan">
      <formula>0</formula>
    </cfRule>
  </conditionalFormatting>
  <conditionalFormatting sqref="J35">
    <cfRule type="cellIs" dxfId="3" priority="4" operator="lessThan">
      <formula>0</formula>
    </cfRule>
  </conditionalFormatting>
  <conditionalFormatting sqref="J35">
    <cfRule type="cellIs" dxfId="2" priority="3" operator="lessThan">
      <formula>0</formula>
    </cfRule>
  </conditionalFormatting>
  <conditionalFormatting sqref="J35">
    <cfRule type="cellIs" dxfId="1" priority="2" operator="lessThan">
      <formula>0</formula>
    </cfRule>
  </conditionalFormatting>
  <conditionalFormatting sqref="J35">
    <cfRule type="cellIs" dxfId="0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3" fitToHeight="0" orientation="landscape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852AE-7D29-4803-8A81-EE34DC6DE0A7}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988F1E-C5F7-40A2-BD33-F2BB87C6C195}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BD64AD-6B46-4004-A95E-F69D9CF6E8CE}">
  <dimension ref="A1"/>
  <sheetViews>
    <sheetView workbookViewId="0"/>
  </sheetViews>
  <sheetFormatPr defaultRowHeight="11.25" x14ac:dyDescent="0.2"/>
  <sheetData/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filterMode="1">
    <pageSetUpPr fitToPage="1"/>
  </sheetPr>
  <dimension ref="B1:BN26"/>
  <sheetViews>
    <sheetView showGridLines="0" view="pageBreakPreview" zoomScale="60" zoomScaleNormal="100" workbookViewId="0">
      <selection activeCell="I25" sqref="I25"/>
    </sheetView>
  </sheetViews>
  <sheetFormatPr defaultColWidth="9.33203125" defaultRowHeight="11.25" x14ac:dyDescent="0.2"/>
  <cols>
    <col min="1" max="1" width="8.33203125" style="9" customWidth="1"/>
    <col min="2" max="2" width="1.6640625" style="9" customWidth="1"/>
    <col min="3" max="3" width="4.1640625" style="9" customWidth="1"/>
    <col min="4" max="4" width="4.33203125" style="9" customWidth="1"/>
    <col min="5" max="5" width="17.1640625" style="9" customWidth="1"/>
    <col min="6" max="6" width="81.83203125" style="9" bestFit="1" customWidth="1"/>
    <col min="7" max="7" width="8.6640625" style="9" customWidth="1"/>
    <col min="8" max="8" width="11.1640625" style="9" customWidth="1"/>
    <col min="9" max="9" width="14.1640625" style="161" customWidth="1"/>
    <col min="10" max="10" width="23.5" style="9" customWidth="1"/>
    <col min="11" max="11" width="9.33203125" style="9"/>
    <col min="12" max="12" width="20.33203125" style="9" customWidth="1"/>
    <col min="13" max="13" width="11.33203125" style="9" hidden="1" customWidth="1"/>
    <col min="14" max="14" width="15.6640625" style="9" hidden="1" customWidth="1"/>
    <col min="15" max="54" width="9.33203125" style="9" hidden="1" customWidth="1"/>
    <col min="55" max="55" width="9.33203125" style="9" customWidth="1"/>
    <col min="56" max="56" width="16.6640625" style="9" customWidth="1"/>
    <col min="57" max="58" width="9.33203125" style="9" hidden="1" customWidth="1"/>
    <col min="59" max="59" width="9.33203125" style="9"/>
    <col min="60" max="60" width="17.33203125" style="9" customWidth="1"/>
    <col min="61" max="61" width="13.83203125" style="9" bestFit="1" customWidth="1"/>
    <col min="62" max="62" width="9.33203125" style="9"/>
    <col min="63" max="63" width="15.5" style="9" bestFit="1" customWidth="1"/>
    <col min="64" max="64" width="13.83203125" style="9" bestFit="1" customWidth="1"/>
    <col min="65" max="65" width="20.5" style="9" hidden="1" customWidth="1"/>
    <col min="66" max="68" width="0" style="9" hidden="1" customWidth="1"/>
    <col min="69" max="16384" width="9.33203125" style="9"/>
  </cols>
  <sheetData>
    <row r="1" spans="2:66" ht="18.75" customHeight="1" x14ac:dyDescent="0.2">
      <c r="F1" s="12"/>
      <c r="G1" s="83"/>
      <c r="H1" s="82"/>
      <c r="I1" s="9"/>
      <c r="J1" s="10"/>
      <c r="K1" s="11"/>
      <c r="L1" s="11"/>
    </row>
    <row r="2" spans="2:66" s="82" customFormat="1" ht="18" customHeight="1" x14ac:dyDescent="0.25">
      <c r="E2" s="14"/>
      <c r="F2" s="12" t="s">
        <v>471</v>
      </c>
      <c r="G2" s="83" t="s">
        <v>542</v>
      </c>
      <c r="I2" s="85"/>
      <c r="J2" s="135"/>
      <c r="K2" s="84"/>
      <c r="L2" s="85"/>
      <c r="M2" s="86"/>
      <c r="N2" s="87"/>
      <c r="O2" s="86"/>
      <c r="P2" s="87"/>
      <c r="Q2" s="86"/>
      <c r="R2" s="87"/>
      <c r="S2" s="86"/>
      <c r="T2" s="87"/>
      <c r="U2" s="86"/>
      <c r="V2" s="87"/>
      <c r="W2" s="86"/>
      <c r="X2" s="87"/>
      <c r="Y2" s="86"/>
      <c r="Z2" s="87"/>
      <c r="AA2" s="86"/>
      <c r="AB2" s="87"/>
      <c r="AC2" s="86"/>
      <c r="AD2" s="87"/>
      <c r="AE2" s="86"/>
      <c r="AF2" s="87"/>
      <c r="AG2" s="86"/>
      <c r="AH2" s="87"/>
      <c r="AI2" s="86"/>
      <c r="AJ2" s="87"/>
      <c r="AK2" s="86"/>
      <c r="AL2" s="87"/>
      <c r="AM2" s="86"/>
      <c r="AN2" s="87"/>
      <c r="AO2" s="86"/>
      <c r="AP2" s="87"/>
      <c r="AQ2" s="86"/>
      <c r="AR2" s="87"/>
      <c r="AS2" s="86"/>
      <c r="AT2" s="87"/>
      <c r="AU2" s="86"/>
      <c r="AV2" s="87"/>
      <c r="AW2" s="86"/>
      <c r="AX2" s="87"/>
      <c r="AY2" s="86"/>
      <c r="AZ2" s="87"/>
      <c r="BA2" s="86"/>
      <c r="BB2" s="87"/>
      <c r="BC2" s="86"/>
      <c r="BD2" s="87"/>
      <c r="BE2" s="86"/>
      <c r="BF2" s="88"/>
      <c r="BG2" s="89"/>
      <c r="BH2" s="90"/>
      <c r="BI2" s="90"/>
      <c r="BJ2" s="91"/>
      <c r="BK2" s="136"/>
    </row>
    <row r="3" spans="2:66" s="82" customFormat="1" ht="18" customHeight="1" x14ac:dyDescent="0.25">
      <c r="E3" s="14"/>
      <c r="F3" s="12" t="s">
        <v>473</v>
      </c>
      <c r="G3" s="83" t="s">
        <v>2</v>
      </c>
      <c r="H3" s="14"/>
      <c r="I3" s="85"/>
      <c r="J3" s="135"/>
      <c r="K3" s="84"/>
      <c r="L3" s="85"/>
      <c r="M3" s="86"/>
      <c r="N3" s="87"/>
      <c r="O3" s="86"/>
      <c r="P3" s="87"/>
      <c r="Q3" s="86"/>
      <c r="R3" s="87"/>
      <c r="S3" s="86"/>
      <c r="T3" s="87"/>
      <c r="U3" s="86"/>
      <c r="V3" s="87"/>
      <c r="W3" s="86"/>
      <c r="X3" s="87"/>
      <c r="Y3" s="86"/>
      <c r="Z3" s="87"/>
      <c r="AA3" s="86"/>
      <c r="AB3" s="87"/>
      <c r="AC3" s="86"/>
      <c r="AD3" s="87"/>
      <c r="AE3" s="86"/>
      <c r="AF3" s="87"/>
      <c r="AG3" s="86"/>
      <c r="AH3" s="87"/>
      <c r="AI3" s="86"/>
      <c r="AJ3" s="87"/>
      <c r="AK3" s="86"/>
      <c r="AL3" s="87"/>
      <c r="AM3" s="86"/>
      <c r="AN3" s="87"/>
      <c r="AO3" s="86"/>
      <c r="AP3" s="87"/>
      <c r="AQ3" s="86"/>
      <c r="AR3" s="87"/>
      <c r="AS3" s="86"/>
      <c r="AT3" s="87"/>
      <c r="AU3" s="86"/>
      <c r="AV3" s="87"/>
      <c r="AW3" s="86"/>
      <c r="AX3" s="87"/>
      <c r="AY3" s="86"/>
      <c r="AZ3" s="87"/>
      <c r="BA3" s="86"/>
      <c r="BB3" s="87"/>
      <c r="BC3" s="86"/>
      <c r="BD3" s="87"/>
      <c r="BE3" s="86"/>
      <c r="BF3" s="88"/>
      <c r="BG3" s="89"/>
      <c r="BH3" s="90"/>
      <c r="BI3" s="90"/>
      <c r="BJ3" s="91"/>
      <c r="BK3" s="136"/>
    </row>
    <row r="4" spans="2:66" s="14" customFormat="1" ht="18" customHeight="1" x14ac:dyDescent="0.25">
      <c r="F4" s="3" t="s">
        <v>474</v>
      </c>
      <c r="G4" s="13" t="s">
        <v>475</v>
      </c>
      <c r="I4" s="85"/>
      <c r="J4" s="137"/>
      <c r="K4" s="92"/>
      <c r="L4" s="85"/>
      <c r="M4" s="93"/>
      <c r="N4" s="94"/>
      <c r="O4" s="93"/>
      <c r="P4" s="94"/>
      <c r="Q4" s="93"/>
      <c r="R4" s="94"/>
      <c r="S4" s="93"/>
      <c r="T4" s="94"/>
      <c r="U4" s="93"/>
      <c r="V4" s="94"/>
      <c r="W4" s="93"/>
      <c r="X4" s="94"/>
      <c r="Y4" s="93"/>
      <c r="Z4" s="94"/>
      <c r="AA4" s="93"/>
      <c r="AB4" s="94"/>
      <c r="AC4" s="93"/>
      <c r="AD4" s="94"/>
      <c r="AE4" s="93"/>
      <c r="AF4" s="94"/>
      <c r="AG4" s="93"/>
      <c r="AH4" s="94"/>
      <c r="AI4" s="93"/>
      <c r="AJ4" s="94"/>
      <c r="AK4" s="93"/>
      <c r="AL4" s="94"/>
      <c r="AM4" s="93"/>
      <c r="AN4" s="94"/>
      <c r="AO4" s="93"/>
      <c r="AP4" s="94"/>
      <c r="AQ4" s="93"/>
      <c r="AR4" s="94"/>
      <c r="AS4" s="93"/>
      <c r="AT4" s="94"/>
      <c r="AU4" s="93"/>
      <c r="AV4" s="94"/>
      <c r="AW4" s="93"/>
      <c r="AX4" s="94"/>
      <c r="AY4" s="93"/>
      <c r="AZ4" s="94"/>
      <c r="BA4" s="93"/>
      <c r="BB4" s="94"/>
      <c r="BC4" s="93"/>
      <c r="BD4" s="94"/>
      <c r="BE4" s="93"/>
      <c r="BF4" s="95"/>
      <c r="BG4" s="96"/>
      <c r="BH4" s="97"/>
      <c r="BI4" s="97"/>
      <c r="BJ4" s="98"/>
      <c r="BK4" s="138"/>
    </row>
    <row r="5" spans="2:66" s="14" customFormat="1" ht="18" customHeight="1" x14ac:dyDescent="0.25">
      <c r="F5" s="3" t="s">
        <v>476</v>
      </c>
      <c r="G5" s="13" t="s">
        <v>477</v>
      </c>
      <c r="I5" s="85"/>
      <c r="J5" s="137"/>
      <c r="K5" s="92"/>
      <c r="L5" s="85"/>
      <c r="M5" s="93"/>
      <c r="N5" s="94"/>
      <c r="O5" s="93"/>
      <c r="P5" s="94"/>
      <c r="Q5" s="93"/>
      <c r="R5" s="94"/>
      <c r="S5" s="93"/>
      <c r="T5" s="94"/>
      <c r="U5" s="93"/>
      <c r="V5" s="94"/>
      <c r="W5" s="93"/>
      <c r="X5" s="94"/>
      <c r="Y5" s="93"/>
      <c r="Z5" s="94"/>
      <c r="AA5" s="93"/>
      <c r="AB5" s="94"/>
      <c r="AC5" s="93"/>
      <c r="AD5" s="94"/>
      <c r="AE5" s="93"/>
      <c r="AF5" s="94"/>
      <c r="AG5" s="93"/>
      <c r="AH5" s="94"/>
      <c r="AI5" s="93"/>
      <c r="AJ5" s="94"/>
      <c r="AK5" s="93"/>
      <c r="AL5" s="94"/>
      <c r="AM5" s="93"/>
      <c r="AN5" s="94"/>
      <c r="AO5" s="93"/>
      <c r="AP5" s="94"/>
      <c r="AQ5" s="93"/>
      <c r="AR5" s="94"/>
      <c r="AS5" s="93"/>
      <c r="AT5" s="94"/>
      <c r="AU5" s="93"/>
      <c r="AV5" s="94"/>
      <c r="AW5" s="93"/>
      <c r="AX5" s="94"/>
      <c r="AY5" s="93"/>
      <c r="AZ5" s="94"/>
      <c r="BA5" s="93"/>
      <c r="BB5" s="94"/>
      <c r="BC5" s="93"/>
      <c r="BD5" s="94"/>
      <c r="BE5" s="93"/>
      <c r="BF5" s="95"/>
      <c r="BG5" s="96"/>
      <c r="BH5" s="97"/>
      <c r="BI5" s="97"/>
      <c r="BJ5" s="98"/>
      <c r="BK5" s="138"/>
    </row>
    <row r="6" spans="2:66" s="14" customFormat="1" ht="18" customHeight="1" x14ac:dyDescent="0.25">
      <c r="F6" s="12" t="s">
        <v>478</v>
      </c>
      <c r="G6" s="13" t="s">
        <v>479</v>
      </c>
      <c r="I6" s="85"/>
      <c r="J6" s="137"/>
      <c r="K6" s="92"/>
      <c r="L6" s="85"/>
      <c r="M6" s="93"/>
      <c r="N6" s="94"/>
      <c r="O6" s="93"/>
      <c r="P6" s="94"/>
      <c r="Q6" s="93"/>
      <c r="R6" s="94"/>
      <c r="S6" s="93"/>
      <c r="T6" s="94"/>
      <c r="U6" s="93"/>
      <c r="V6" s="94"/>
      <c r="W6" s="93"/>
      <c r="X6" s="94"/>
      <c r="Y6" s="93"/>
      <c r="Z6" s="94"/>
      <c r="AA6" s="93"/>
      <c r="AB6" s="94"/>
      <c r="AC6" s="93"/>
      <c r="AD6" s="94"/>
      <c r="AE6" s="93"/>
      <c r="AF6" s="94"/>
      <c r="AG6" s="93"/>
      <c r="AH6" s="94"/>
      <c r="AI6" s="93"/>
      <c r="AJ6" s="94"/>
      <c r="AK6" s="93"/>
      <c r="AL6" s="94"/>
      <c r="AM6" s="93"/>
      <c r="AN6" s="94"/>
      <c r="AO6" s="93"/>
      <c r="AP6" s="94"/>
      <c r="AQ6" s="93"/>
      <c r="AR6" s="94"/>
      <c r="AS6" s="93"/>
      <c r="AT6" s="94"/>
      <c r="AU6" s="93"/>
      <c r="AV6" s="94"/>
      <c r="AW6" s="93"/>
      <c r="AX6" s="94"/>
      <c r="AY6" s="93"/>
      <c r="AZ6" s="94"/>
      <c r="BA6" s="93"/>
      <c r="BB6" s="94"/>
      <c r="BC6" s="93"/>
      <c r="BD6" s="94"/>
      <c r="BE6" s="93"/>
      <c r="BF6" s="95"/>
      <c r="BG6" s="96"/>
      <c r="BH6" s="97"/>
      <c r="BI6" s="97"/>
      <c r="BJ6" s="98"/>
      <c r="BK6" s="138"/>
    </row>
    <row r="7" spans="2:66" s="14" customFormat="1" ht="18" customHeight="1" x14ac:dyDescent="0.25">
      <c r="F7" s="12" t="s">
        <v>480</v>
      </c>
      <c r="G7" s="99" t="s">
        <v>481</v>
      </c>
      <c r="H7" s="139"/>
      <c r="I7" s="85"/>
      <c r="J7" s="137"/>
      <c r="K7" s="92"/>
      <c r="L7" s="85"/>
      <c r="M7" s="93"/>
      <c r="N7" s="94"/>
      <c r="O7" s="93"/>
      <c r="P7" s="94"/>
      <c r="Q7" s="93"/>
      <c r="R7" s="94"/>
      <c r="S7" s="93"/>
      <c r="T7" s="94"/>
      <c r="U7" s="93"/>
      <c r="V7" s="94"/>
      <c r="W7" s="93"/>
      <c r="X7" s="94"/>
      <c r="Y7" s="93"/>
      <c r="Z7" s="94"/>
      <c r="AA7" s="93"/>
      <c r="AB7" s="94"/>
      <c r="AC7" s="93"/>
      <c r="AD7" s="94"/>
      <c r="AE7" s="93"/>
      <c r="AF7" s="94"/>
      <c r="AG7" s="93"/>
      <c r="AH7" s="94"/>
      <c r="AI7" s="93"/>
      <c r="AJ7" s="94"/>
      <c r="AK7" s="93"/>
      <c r="AL7" s="94"/>
      <c r="AM7" s="93"/>
      <c r="AN7" s="94"/>
      <c r="AO7" s="93"/>
      <c r="AP7" s="94"/>
      <c r="AQ7" s="93"/>
      <c r="AR7" s="94"/>
      <c r="AS7" s="93"/>
      <c r="AT7" s="94"/>
      <c r="AU7" s="93"/>
      <c r="AV7" s="94"/>
      <c r="AW7" s="93"/>
      <c r="AX7" s="94"/>
      <c r="AY7" s="93"/>
      <c r="AZ7" s="94"/>
      <c r="BA7" s="93"/>
      <c r="BB7" s="94"/>
      <c r="BC7" s="93"/>
      <c r="BD7" s="94"/>
      <c r="BE7" s="93"/>
      <c r="BF7" s="95"/>
      <c r="BG7" s="96"/>
      <c r="BH7" s="97"/>
      <c r="BI7" s="97"/>
      <c r="BJ7" s="98"/>
      <c r="BK7" s="138"/>
    </row>
    <row r="8" spans="2:66" s="15" customFormat="1" ht="18" customHeight="1" x14ac:dyDescent="0.2">
      <c r="D8" s="140"/>
      <c r="F8" s="12"/>
      <c r="G8" s="99"/>
      <c r="H8" s="139"/>
      <c r="K8" s="141"/>
      <c r="L8" s="142" t="s">
        <v>497</v>
      </c>
      <c r="M8" s="246">
        <v>43982</v>
      </c>
      <c r="N8" s="246"/>
      <c r="O8" s="247">
        <v>44012</v>
      </c>
      <c r="P8" s="247"/>
      <c r="Q8" s="247">
        <v>44043</v>
      </c>
      <c r="R8" s="247"/>
      <c r="S8" s="247">
        <v>44074</v>
      </c>
      <c r="T8" s="247"/>
      <c r="U8" s="247">
        <v>44104</v>
      </c>
      <c r="V8" s="247"/>
      <c r="W8" s="247">
        <v>44135</v>
      </c>
      <c r="X8" s="247"/>
      <c r="Y8" s="247">
        <v>44165</v>
      </c>
      <c r="Z8" s="247"/>
      <c r="AA8" s="247">
        <v>44196</v>
      </c>
      <c r="AB8" s="247"/>
      <c r="AC8" s="247">
        <v>44227</v>
      </c>
      <c r="AD8" s="247"/>
      <c r="AE8" s="247">
        <v>44255</v>
      </c>
      <c r="AF8" s="247"/>
      <c r="AG8" s="247">
        <v>44286</v>
      </c>
      <c r="AH8" s="247"/>
      <c r="AI8" s="247">
        <v>44316</v>
      </c>
      <c r="AJ8" s="247"/>
      <c r="AK8" s="247">
        <v>44347</v>
      </c>
      <c r="AL8" s="247"/>
      <c r="AM8" s="247">
        <v>44377</v>
      </c>
      <c r="AN8" s="247"/>
      <c r="AO8" s="247">
        <v>44408</v>
      </c>
      <c r="AP8" s="247"/>
      <c r="AQ8" s="247">
        <v>44439</v>
      </c>
      <c r="AR8" s="247"/>
      <c r="AS8" s="247">
        <v>44469</v>
      </c>
      <c r="AT8" s="247"/>
      <c r="AU8" s="247">
        <v>44500</v>
      </c>
      <c r="AV8" s="247"/>
      <c r="AW8" s="247">
        <v>44530</v>
      </c>
      <c r="AX8" s="247"/>
      <c r="AY8" s="247">
        <v>44561</v>
      </c>
      <c r="AZ8" s="247"/>
      <c r="BA8" s="247">
        <v>44592</v>
      </c>
      <c r="BB8" s="247"/>
      <c r="BC8" s="247">
        <v>44620</v>
      </c>
      <c r="BD8" s="247"/>
      <c r="BE8" s="247">
        <v>44651</v>
      </c>
      <c r="BF8" s="247"/>
      <c r="BG8" s="143" t="s">
        <v>498</v>
      </c>
      <c r="BH8" s="144" t="str">
        <f>+C12</f>
        <v>Povrchy - Komunikace II.tř</v>
      </c>
      <c r="BI8" s="144"/>
      <c r="BK8" s="145"/>
    </row>
    <row r="9" spans="2:66" s="16" customFormat="1" ht="20.100000000000001" customHeight="1" x14ac:dyDescent="0.2">
      <c r="C9" s="162"/>
      <c r="D9" s="163"/>
      <c r="E9" s="163"/>
      <c r="F9" s="163"/>
      <c r="G9" s="163"/>
      <c r="H9" s="163"/>
      <c r="I9" s="164"/>
      <c r="J9" s="165"/>
      <c r="K9" s="248" t="s">
        <v>484</v>
      </c>
      <c r="L9" s="248"/>
      <c r="M9" s="249" t="s">
        <v>499</v>
      </c>
      <c r="N9" s="249"/>
      <c r="O9" s="249" t="s">
        <v>500</v>
      </c>
      <c r="P9" s="249"/>
      <c r="Q9" s="249" t="s">
        <v>501</v>
      </c>
      <c r="R9" s="249"/>
      <c r="S9" s="249" t="s">
        <v>502</v>
      </c>
      <c r="T9" s="249"/>
      <c r="U9" s="249" t="s">
        <v>503</v>
      </c>
      <c r="V9" s="249"/>
      <c r="W9" s="249" t="s">
        <v>485</v>
      </c>
      <c r="X9" s="249"/>
      <c r="Y9" s="249" t="s">
        <v>486</v>
      </c>
      <c r="Z9" s="249"/>
      <c r="AA9" s="249" t="s">
        <v>487</v>
      </c>
      <c r="AB9" s="249"/>
      <c r="AC9" s="249" t="s">
        <v>504</v>
      </c>
      <c r="AD9" s="249"/>
      <c r="AE9" s="249" t="s">
        <v>505</v>
      </c>
      <c r="AF9" s="249"/>
      <c r="AG9" s="249" t="s">
        <v>506</v>
      </c>
      <c r="AH9" s="249"/>
      <c r="AI9" s="249" t="s">
        <v>507</v>
      </c>
      <c r="AJ9" s="249"/>
      <c r="AK9" s="249" t="s">
        <v>508</v>
      </c>
      <c r="AL9" s="249"/>
      <c r="AM9" s="249" t="s">
        <v>509</v>
      </c>
      <c r="AN9" s="249"/>
      <c r="AO9" s="249" t="s">
        <v>510</v>
      </c>
      <c r="AP9" s="249"/>
      <c r="AQ9" s="249" t="s">
        <v>511</v>
      </c>
      <c r="AR9" s="249"/>
      <c r="AS9" s="249" t="s">
        <v>512</v>
      </c>
      <c r="AT9" s="249"/>
      <c r="AU9" s="249" t="s">
        <v>488</v>
      </c>
      <c r="AV9" s="249"/>
      <c r="AW9" s="249" t="s">
        <v>489</v>
      </c>
      <c r="AX9" s="249"/>
      <c r="AY9" s="249" t="s">
        <v>490</v>
      </c>
      <c r="AZ9" s="249"/>
      <c r="BA9" s="249" t="s">
        <v>513</v>
      </c>
      <c r="BB9" s="249"/>
      <c r="BC9" s="249" t="s">
        <v>514</v>
      </c>
      <c r="BD9" s="249"/>
      <c r="BE9" s="249" t="s">
        <v>515</v>
      </c>
      <c r="BF9" s="249"/>
      <c r="BG9" s="242" t="s">
        <v>491</v>
      </c>
      <c r="BH9" s="242"/>
      <c r="BI9" s="243"/>
      <c r="BJ9" s="244" t="s">
        <v>492</v>
      </c>
      <c r="BK9" s="244"/>
      <c r="BL9" s="245"/>
    </row>
    <row r="10" spans="2:66" s="16" customFormat="1" ht="24" customHeight="1" x14ac:dyDescent="0.2">
      <c r="C10" s="166"/>
      <c r="D10" s="167" t="s">
        <v>516</v>
      </c>
      <c r="E10" s="167" t="s">
        <v>517</v>
      </c>
      <c r="F10" s="167" t="s">
        <v>518</v>
      </c>
      <c r="G10" s="167" t="s">
        <v>24</v>
      </c>
      <c r="H10" s="168" t="s">
        <v>25</v>
      </c>
      <c r="I10" s="169" t="s">
        <v>519</v>
      </c>
      <c r="J10" s="170" t="s">
        <v>520</v>
      </c>
      <c r="K10" s="171" t="s">
        <v>521</v>
      </c>
      <c r="L10" s="172" t="s">
        <v>494</v>
      </c>
      <c r="M10" s="250" t="s">
        <v>494</v>
      </c>
      <c r="N10" s="250"/>
      <c r="O10" s="251" t="s">
        <v>494</v>
      </c>
      <c r="P10" s="251"/>
      <c r="Q10" s="173" t="s">
        <v>521</v>
      </c>
      <c r="R10" s="174" t="s">
        <v>494</v>
      </c>
      <c r="S10" s="251" t="s">
        <v>494</v>
      </c>
      <c r="T10" s="251"/>
      <c r="U10" s="251" t="s">
        <v>494</v>
      </c>
      <c r="V10" s="251"/>
      <c r="W10" s="250" t="s">
        <v>494</v>
      </c>
      <c r="X10" s="250"/>
      <c r="Y10" s="250" t="s">
        <v>494</v>
      </c>
      <c r="Z10" s="250"/>
      <c r="AA10" s="250" t="s">
        <v>494</v>
      </c>
      <c r="AB10" s="250"/>
      <c r="AC10" s="250" t="s">
        <v>494</v>
      </c>
      <c r="AD10" s="250"/>
      <c r="AE10" s="250" t="s">
        <v>494</v>
      </c>
      <c r="AF10" s="250"/>
      <c r="AG10" s="250" t="s">
        <v>494</v>
      </c>
      <c r="AH10" s="250"/>
      <c r="AI10" s="250" t="s">
        <v>494</v>
      </c>
      <c r="AJ10" s="250"/>
      <c r="AK10" s="250" t="s">
        <v>494</v>
      </c>
      <c r="AL10" s="250"/>
      <c r="AM10" s="250" t="s">
        <v>494</v>
      </c>
      <c r="AN10" s="250"/>
      <c r="AO10" s="250" t="s">
        <v>494</v>
      </c>
      <c r="AP10" s="250"/>
      <c r="AQ10" s="250" t="s">
        <v>494</v>
      </c>
      <c r="AR10" s="250"/>
      <c r="AS10" s="250" t="s">
        <v>494</v>
      </c>
      <c r="AT10" s="250"/>
      <c r="AU10" s="250" t="s">
        <v>494</v>
      </c>
      <c r="AV10" s="250"/>
      <c r="AW10" s="250" t="s">
        <v>494</v>
      </c>
      <c r="AX10" s="250"/>
      <c r="AY10" s="250" t="s">
        <v>494</v>
      </c>
      <c r="AZ10" s="250"/>
      <c r="BA10" s="250" t="s">
        <v>494</v>
      </c>
      <c r="BB10" s="250"/>
      <c r="BC10" s="187"/>
      <c r="BD10" s="187" t="s">
        <v>494</v>
      </c>
      <c r="BE10" s="250" t="s">
        <v>494</v>
      </c>
      <c r="BF10" s="250"/>
      <c r="BG10" s="46" t="s">
        <v>521</v>
      </c>
      <c r="BH10" s="47" t="s">
        <v>494</v>
      </c>
      <c r="BI10" s="47" t="s">
        <v>529</v>
      </c>
      <c r="BJ10" s="48" t="s">
        <v>521</v>
      </c>
      <c r="BK10" s="49" t="s">
        <v>494</v>
      </c>
      <c r="BL10" s="50" t="s">
        <v>529</v>
      </c>
      <c r="BM10" s="184" t="s">
        <v>537</v>
      </c>
    </row>
    <row r="11" spans="2:66" s="16" customFormat="1" ht="12.75" x14ac:dyDescent="0.2">
      <c r="D11" s="17"/>
      <c r="E11" s="17"/>
      <c r="F11" s="17"/>
      <c r="G11" s="17"/>
      <c r="H11" s="18"/>
      <c r="I11" s="19"/>
      <c r="J11" s="20"/>
      <c r="K11" s="21"/>
      <c r="L11" s="22"/>
      <c r="M11" s="80"/>
      <c r="N11" s="80"/>
      <c r="O11" s="23"/>
      <c r="P11" s="80"/>
      <c r="Q11" s="80"/>
      <c r="R11" s="80"/>
      <c r="S11" s="80"/>
      <c r="T11" s="80"/>
      <c r="U11" s="80"/>
      <c r="V11" s="80"/>
      <c r="W11" s="81"/>
      <c r="X11" s="81"/>
      <c r="Y11" s="23"/>
      <c r="Z11" s="80"/>
      <c r="AA11" s="81"/>
      <c r="AB11" s="81"/>
      <c r="AC11" s="81"/>
      <c r="AD11" s="81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0"/>
      <c r="BA11" s="80"/>
      <c r="BB11" s="80"/>
      <c r="BC11" s="188" t="s">
        <v>522</v>
      </c>
      <c r="BD11" s="80"/>
      <c r="BE11" s="81"/>
      <c r="BF11" s="81"/>
      <c r="BG11" s="146"/>
      <c r="BH11" s="147"/>
      <c r="BI11" s="147"/>
      <c r="BJ11" s="148"/>
      <c r="BK11" s="149"/>
    </row>
    <row r="12" spans="2:66" s="114" customFormat="1" ht="22.9" customHeight="1" x14ac:dyDescent="0.25">
      <c r="B12" s="1"/>
      <c r="C12" s="37" t="s">
        <v>23</v>
      </c>
      <c r="D12" s="1"/>
      <c r="E12" s="1"/>
      <c r="F12" s="1"/>
      <c r="G12" s="1"/>
      <c r="H12" s="1"/>
      <c r="I12" s="38"/>
      <c r="J12" s="39">
        <v>31361.399999999998</v>
      </c>
      <c r="K12" s="150" t="str">
        <f t="shared" ref="K12:K14" si="0">IF(ISBLANK(I12),"",SUM(M12+O12+Q12+S12+U12+W12+Y12+AA12+AC12+AE12+AG12+AI12+AK12+BE12,AM12,AO12,AQ12,AS12,AU12,AW12,AY12,BA12,BC12))</f>
        <v/>
      </c>
      <c r="L12" s="151" t="str">
        <f t="shared" ref="L12:L21" si="1">IF(ISBLANK(I12),"",K12*I12)</f>
        <v/>
      </c>
      <c r="M12" s="152"/>
      <c r="N12" s="153" t="str">
        <f t="shared" ref="N12:N21" si="2">IF(ISBLANK($H12),"",M12*$I12)</f>
        <v/>
      </c>
      <c r="O12" s="152"/>
      <c r="P12" s="153" t="str">
        <f t="shared" ref="P12:P21" si="3">IF(ISBLANK($H12),"",O12*$I12)</f>
        <v/>
      </c>
      <c r="Q12" s="154"/>
      <c r="R12" s="153" t="str">
        <f t="shared" ref="R12:R21" si="4">IF(ISBLANK($H12),"",Q12*$I12)</f>
        <v/>
      </c>
      <c r="S12" s="155"/>
      <c r="T12" s="153" t="str">
        <f t="shared" ref="T12:T21" si="5">IF(ISBLANK($H12),"",S12*$I12)</f>
        <v/>
      </c>
      <c r="U12" s="155"/>
      <c r="V12" s="153" t="str">
        <f t="shared" ref="V12:V21" si="6">IF(ISBLANK($H12),"",U12*$I12)</f>
        <v/>
      </c>
      <c r="W12" s="155"/>
      <c r="X12" s="153" t="str">
        <f t="shared" ref="X12:X21" si="7">IF(ISBLANK($H12),"",W12*$I12)</f>
        <v/>
      </c>
      <c r="Y12" s="155"/>
      <c r="Z12" s="153" t="str">
        <f t="shared" ref="Z12:Z21" si="8">IF(ISBLANK($H12),"",Y12*$I12)</f>
        <v/>
      </c>
      <c r="AA12" s="155"/>
      <c r="AB12" s="153" t="str">
        <f t="shared" ref="AB12:AB21" si="9">IF(ISBLANK($H12),"",AA12*$I12)</f>
        <v/>
      </c>
      <c r="AC12" s="155"/>
      <c r="AD12" s="153" t="str">
        <f t="shared" ref="AD12:AD21" si="10">IF(ISBLANK($H12),"",AC12*$I12)</f>
        <v/>
      </c>
      <c r="AE12" s="155"/>
      <c r="AF12" s="153" t="str">
        <f t="shared" ref="AF12:AF21" si="11">IF(ISBLANK($H12),"",AE12*$I12)</f>
        <v/>
      </c>
      <c r="AG12" s="155"/>
      <c r="AH12" s="153" t="str">
        <f t="shared" ref="AH12:AH21" si="12">IF(ISBLANK($H12),"",AG12*$I12)</f>
        <v/>
      </c>
      <c r="AI12" s="155"/>
      <c r="AJ12" s="153" t="str">
        <f t="shared" ref="AJ12:AJ21" si="13">IF(ISBLANK($H12),"",AI12*$I12)</f>
        <v/>
      </c>
      <c r="AK12" s="155"/>
      <c r="AL12" s="153" t="str">
        <f t="shared" ref="AL12:AL21" si="14">IF(ISBLANK($H12),"",AK12*$I12)</f>
        <v/>
      </c>
      <c r="AM12" s="155"/>
      <c r="AN12" s="153" t="str">
        <f t="shared" ref="AN12:AN21" si="15">IF(ISBLANK($H12),"",AM12*$I12)</f>
        <v/>
      </c>
      <c r="AO12" s="155"/>
      <c r="AP12" s="153" t="str">
        <f t="shared" ref="AP12:AP21" si="16">IF(ISBLANK($H12),"",AO12*$I12)</f>
        <v/>
      </c>
      <c r="AQ12" s="155"/>
      <c r="AR12" s="153" t="str">
        <f t="shared" ref="AR12:AR21" si="17">IF(ISBLANK($H12),"",AQ12*$I12)</f>
        <v/>
      </c>
      <c r="AS12" s="155"/>
      <c r="AT12" s="153" t="str">
        <f t="shared" ref="AT12:AT21" si="18">IF(ISBLANK($H12),"",AS12*$I12)</f>
        <v/>
      </c>
      <c r="AU12" s="155"/>
      <c r="AV12" s="153" t="str">
        <f t="shared" ref="AV12:AV21" si="19">IF(ISBLANK($H12),"",AU12*$I12)</f>
        <v/>
      </c>
      <c r="AW12" s="155"/>
      <c r="AX12" s="153" t="str">
        <f t="shared" ref="AX12:AX21" si="20">IF(ISBLANK($H12),"",AW12*$I12)</f>
        <v/>
      </c>
      <c r="AY12" s="155"/>
      <c r="AZ12" s="153" t="str">
        <f t="shared" ref="AZ12:AZ21" si="21">IF(ISBLANK($H12),"",AY12*$I12)</f>
        <v/>
      </c>
      <c r="BA12" s="155"/>
      <c r="BB12" s="153" t="str">
        <f t="shared" ref="BB12:BB21" si="22">IF(ISBLANK($H12),"",BA12*$I12)</f>
        <v/>
      </c>
      <c r="BC12" s="189" t="s">
        <v>522</v>
      </c>
      <c r="BD12" s="153" t="str">
        <f t="shared" ref="BD12:BD21" si="23">IF(ISBLANK($H12),"",BC12*$I12)</f>
        <v/>
      </c>
      <c r="BE12" s="155"/>
      <c r="BF12" s="153" t="str">
        <f t="shared" ref="BF12:BF21" si="24">IF(ISBLANK($H12),"",BE12*$I12)</f>
        <v/>
      </c>
      <c r="BG12" s="156" t="str">
        <f t="shared" ref="BG12:BG21" si="25">IF(ISBLANK(H12),"",SUM(M12+O12+Q12+S12+U12+W12+Y12+AA12+AC12+AE12+AG12+AI12+AK12+BE12+AM12,AO12,AQ12,AS12+AU12,AW12,AY12,BA12,BC12,BE12))</f>
        <v/>
      </c>
      <c r="BH12" s="157" t="str">
        <f t="shared" ref="BH12:BH21" si="26">IF(ISBLANK(H12),"",SUM(N12+P12+R12+T12+V12+X12+Z12+AB12+AD12+AF12+AH12+AJ12+AL12+BF12,BD12,BB12,AZ12,AX12,AV12,AT12,AR12,AP12,AN12))</f>
        <v/>
      </c>
      <c r="BI12" s="157"/>
      <c r="BJ12" s="158" t="str">
        <f t="shared" ref="BJ12:BJ21" si="27">IF(ISBLANK(H12),"",H12-BG12)</f>
        <v/>
      </c>
      <c r="BK12" s="159" t="str">
        <f t="shared" ref="BK12:BK21" si="28">IF(ISBLANK(H12),"",J12-BH12)</f>
        <v/>
      </c>
    </row>
    <row r="13" spans="2:66" s="160" customFormat="1" ht="25.9" customHeight="1" x14ac:dyDescent="0.2">
      <c r="B13" s="2"/>
      <c r="C13" s="2"/>
      <c r="D13" s="40" t="s">
        <v>3</v>
      </c>
      <c r="E13" s="41" t="s">
        <v>26</v>
      </c>
      <c r="F13" s="41" t="s">
        <v>27</v>
      </c>
      <c r="G13" s="2"/>
      <c r="H13" s="2"/>
      <c r="I13" s="42"/>
      <c r="J13" s="43">
        <v>31361.399999999998</v>
      </c>
      <c r="K13" s="150" t="str">
        <f t="shared" si="0"/>
        <v/>
      </c>
      <c r="L13" s="151" t="str">
        <f t="shared" si="1"/>
        <v/>
      </c>
      <c r="M13" s="152"/>
      <c r="N13" s="153" t="str">
        <f t="shared" si="2"/>
        <v/>
      </c>
      <c r="O13" s="152"/>
      <c r="P13" s="153" t="str">
        <f t="shared" si="3"/>
        <v/>
      </c>
      <c r="Q13" s="154"/>
      <c r="R13" s="153" t="str">
        <f t="shared" si="4"/>
        <v/>
      </c>
      <c r="S13" s="155"/>
      <c r="T13" s="153" t="str">
        <f t="shared" si="5"/>
        <v/>
      </c>
      <c r="U13" s="155"/>
      <c r="V13" s="153" t="str">
        <f t="shared" si="6"/>
        <v/>
      </c>
      <c r="W13" s="155"/>
      <c r="X13" s="153" t="str">
        <f t="shared" si="7"/>
        <v/>
      </c>
      <c r="Y13" s="155"/>
      <c r="Z13" s="153" t="str">
        <f t="shared" si="8"/>
        <v/>
      </c>
      <c r="AA13" s="155"/>
      <c r="AB13" s="153" t="str">
        <f t="shared" si="9"/>
        <v/>
      </c>
      <c r="AC13" s="155"/>
      <c r="AD13" s="153" t="str">
        <f t="shared" si="10"/>
        <v/>
      </c>
      <c r="AE13" s="155"/>
      <c r="AF13" s="153" t="str">
        <f t="shared" si="11"/>
        <v/>
      </c>
      <c r="AG13" s="155"/>
      <c r="AH13" s="153" t="str">
        <f t="shared" si="12"/>
        <v/>
      </c>
      <c r="AI13" s="155"/>
      <c r="AJ13" s="153" t="str">
        <f t="shared" si="13"/>
        <v/>
      </c>
      <c r="AK13" s="155"/>
      <c r="AL13" s="153" t="str">
        <f t="shared" si="14"/>
        <v/>
      </c>
      <c r="AM13" s="155"/>
      <c r="AN13" s="153" t="str">
        <f t="shared" si="15"/>
        <v/>
      </c>
      <c r="AO13" s="155"/>
      <c r="AP13" s="153" t="str">
        <f t="shared" si="16"/>
        <v/>
      </c>
      <c r="AQ13" s="155"/>
      <c r="AR13" s="153" t="str">
        <f t="shared" si="17"/>
        <v/>
      </c>
      <c r="AS13" s="155"/>
      <c r="AT13" s="153" t="str">
        <f t="shared" si="18"/>
        <v/>
      </c>
      <c r="AU13" s="155"/>
      <c r="AV13" s="153" t="str">
        <f t="shared" si="19"/>
        <v/>
      </c>
      <c r="AW13" s="155"/>
      <c r="AX13" s="153" t="str">
        <f t="shared" si="20"/>
        <v/>
      </c>
      <c r="AY13" s="155"/>
      <c r="AZ13" s="153" t="str">
        <f t="shared" si="21"/>
        <v/>
      </c>
      <c r="BA13" s="155"/>
      <c r="BB13" s="153" t="str">
        <f t="shared" si="22"/>
        <v/>
      </c>
      <c r="BC13" s="189" t="s">
        <v>522</v>
      </c>
      <c r="BD13" s="153" t="str">
        <f t="shared" si="23"/>
        <v/>
      </c>
      <c r="BE13" s="155"/>
      <c r="BF13" s="153" t="str">
        <f t="shared" si="24"/>
        <v/>
      </c>
      <c r="BG13" s="156" t="str">
        <f t="shared" si="25"/>
        <v/>
      </c>
      <c r="BH13" s="157" t="str">
        <f t="shared" si="26"/>
        <v/>
      </c>
      <c r="BI13" s="157"/>
      <c r="BJ13" s="158" t="str">
        <f t="shared" si="27"/>
        <v/>
      </c>
      <c r="BK13" s="159" t="str">
        <f t="shared" si="28"/>
        <v/>
      </c>
    </row>
    <row r="14" spans="2:66" s="160" customFormat="1" ht="22.9" customHeight="1" x14ac:dyDescent="0.2">
      <c r="B14" s="2"/>
      <c r="C14" s="2"/>
      <c r="D14" s="40" t="s">
        <v>3</v>
      </c>
      <c r="E14" s="44" t="s">
        <v>6</v>
      </c>
      <c r="F14" s="44" t="s">
        <v>28</v>
      </c>
      <c r="G14" s="2"/>
      <c r="H14" s="2"/>
      <c r="I14" s="42"/>
      <c r="J14" s="45">
        <v>3203.9</v>
      </c>
      <c r="K14" s="150" t="str">
        <f t="shared" si="0"/>
        <v/>
      </c>
      <c r="L14" s="151" t="str">
        <f t="shared" si="1"/>
        <v/>
      </c>
      <c r="M14" s="152"/>
      <c r="N14" s="153" t="str">
        <f t="shared" si="2"/>
        <v/>
      </c>
      <c r="O14" s="152"/>
      <c r="P14" s="153" t="str">
        <f t="shared" si="3"/>
        <v/>
      </c>
      <c r="Q14" s="154"/>
      <c r="R14" s="153" t="str">
        <f t="shared" si="4"/>
        <v/>
      </c>
      <c r="S14" s="155"/>
      <c r="T14" s="153" t="str">
        <f t="shared" si="5"/>
        <v/>
      </c>
      <c r="U14" s="155"/>
      <c r="V14" s="153" t="str">
        <f t="shared" si="6"/>
        <v/>
      </c>
      <c r="W14" s="155"/>
      <c r="X14" s="153" t="str">
        <f t="shared" si="7"/>
        <v/>
      </c>
      <c r="Y14" s="155"/>
      <c r="Z14" s="153" t="str">
        <f t="shared" si="8"/>
        <v/>
      </c>
      <c r="AA14" s="155"/>
      <c r="AB14" s="153" t="str">
        <f t="shared" si="9"/>
        <v/>
      </c>
      <c r="AC14" s="155"/>
      <c r="AD14" s="153" t="str">
        <f t="shared" si="10"/>
        <v/>
      </c>
      <c r="AE14" s="155"/>
      <c r="AF14" s="153" t="str">
        <f t="shared" si="11"/>
        <v/>
      </c>
      <c r="AG14" s="155"/>
      <c r="AH14" s="153" t="str">
        <f t="shared" si="12"/>
        <v/>
      </c>
      <c r="AI14" s="155"/>
      <c r="AJ14" s="153" t="str">
        <f t="shared" si="13"/>
        <v/>
      </c>
      <c r="AK14" s="155"/>
      <c r="AL14" s="153" t="str">
        <f t="shared" si="14"/>
        <v/>
      </c>
      <c r="AM14" s="155"/>
      <c r="AN14" s="153" t="str">
        <f t="shared" si="15"/>
        <v/>
      </c>
      <c r="AO14" s="155"/>
      <c r="AP14" s="153" t="str">
        <f t="shared" si="16"/>
        <v/>
      </c>
      <c r="AQ14" s="155"/>
      <c r="AR14" s="153" t="str">
        <f t="shared" si="17"/>
        <v/>
      </c>
      <c r="AS14" s="155"/>
      <c r="AT14" s="153" t="str">
        <f t="shared" si="18"/>
        <v/>
      </c>
      <c r="AU14" s="155"/>
      <c r="AV14" s="153" t="str">
        <f t="shared" si="19"/>
        <v/>
      </c>
      <c r="AW14" s="155"/>
      <c r="AX14" s="153" t="str">
        <f t="shared" si="20"/>
        <v/>
      </c>
      <c r="AY14" s="155"/>
      <c r="AZ14" s="153" t="str">
        <f t="shared" si="21"/>
        <v/>
      </c>
      <c r="BA14" s="155"/>
      <c r="BB14" s="153" t="str">
        <f t="shared" si="22"/>
        <v/>
      </c>
      <c r="BC14" s="189" t="s">
        <v>522</v>
      </c>
      <c r="BD14" s="153" t="str">
        <f t="shared" si="23"/>
        <v/>
      </c>
      <c r="BE14" s="155"/>
      <c r="BF14" s="153" t="str">
        <f t="shared" si="24"/>
        <v/>
      </c>
      <c r="BG14" s="156" t="str">
        <f t="shared" si="25"/>
        <v/>
      </c>
      <c r="BH14" s="157" t="str">
        <f t="shared" si="26"/>
        <v/>
      </c>
      <c r="BI14" s="157"/>
      <c r="BJ14" s="158" t="str">
        <f t="shared" si="27"/>
        <v/>
      </c>
      <c r="BK14" s="159" t="str">
        <f t="shared" si="28"/>
        <v/>
      </c>
      <c r="BM14" s="190" t="s">
        <v>536</v>
      </c>
      <c r="BN14" s="160" t="s">
        <v>535</v>
      </c>
    </row>
    <row r="15" spans="2:66" s="114" customFormat="1" ht="16.5" customHeight="1" x14ac:dyDescent="0.2">
      <c r="B15" s="1"/>
      <c r="C15" s="51" t="s">
        <v>6</v>
      </c>
      <c r="D15" s="51" t="s">
        <v>29</v>
      </c>
      <c r="E15" s="52" t="s">
        <v>30</v>
      </c>
      <c r="F15" s="53" t="s">
        <v>31</v>
      </c>
      <c r="G15" s="54" t="s">
        <v>32</v>
      </c>
      <c r="H15" s="55">
        <v>58</v>
      </c>
      <c r="I15" s="56">
        <v>55.24</v>
      </c>
      <c r="J15" s="55">
        <v>3203.9</v>
      </c>
      <c r="K15" s="57">
        <f>IF(ISBLANK(I15),"",SUM(M15+O15+Q15+S15+U15+W15+Y15+AA15+AC15+AE15+AG15+AI15+AK15+AM15+AO15+AQ15+AS15+AU15+AW15+AY15+BA15))</f>
        <v>0</v>
      </c>
      <c r="L15" s="58">
        <f t="shared" si="1"/>
        <v>0</v>
      </c>
      <c r="M15" s="59"/>
      <c r="N15" s="60">
        <f t="shared" si="2"/>
        <v>0</v>
      </c>
      <c r="O15" s="59"/>
      <c r="P15" s="60">
        <f t="shared" si="3"/>
        <v>0</v>
      </c>
      <c r="Q15" s="61"/>
      <c r="R15" s="60">
        <f t="shared" si="4"/>
        <v>0</v>
      </c>
      <c r="S15" s="62"/>
      <c r="T15" s="60">
        <f t="shared" si="5"/>
        <v>0</v>
      </c>
      <c r="U15" s="62"/>
      <c r="V15" s="60">
        <f t="shared" si="6"/>
        <v>0</v>
      </c>
      <c r="W15" s="62"/>
      <c r="X15" s="60">
        <f t="shared" si="7"/>
        <v>0</v>
      </c>
      <c r="Y15" s="62"/>
      <c r="Z15" s="60">
        <f t="shared" si="8"/>
        <v>0</v>
      </c>
      <c r="AA15" s="62"/>
      <c r="AB15" s="60">
        <f t="shared" si="9"/>
        <v>0</v>
      </c>
      <c r="AC15" s="62"/>
      <c r="AD15" s="60">
        <f t="shared" si="10"/>
        <v>0</v>
      </c>
      <c r="AE15" s="62"/>
      <c r="AF15" s="60">
        <f t="shared" si="11"/>
        <v>0</v>
      </c>
      <c r="AG15" s="62"/>
      <c r="AH15" s="60">
        <f t="shared" si="12"/>
        <v>0</v>
      </c>
      <c r="AI15" s="62"/>
      <c r="AJ15" s="60">
        <f t="shared" si="13"/>
        <v>0</v>
      </c>
      <c r="AK15" s="62"/>
      <c r="AL15" s="60">
        <f t="shared" si="14"/>
        <v>0</v>
      </c>
      <c r="AM15" s="62"/>
      <c r="AN15" s="60">
        <f t="shared" si="15"/>
        <v>0</v>
      </c>
      <c r="AO15" s="62"/>
      <c r="AP15" s="60">
        <f t="shared" si="16"/>
        <v>0</v>
      </c>
      <c r="AQ15" s="62"/>
      <c r="AR15" s="60">
        <f t="shared" si="17"/>
        <v>0</v>
      </c>
      <c r="AS15" s="62"/>
      <c r="AT15" s="60">
        <f t="shared" si="18"/>
        <v>0</v>
      </c>
      <c r="AU15" s="62"/>
      <c r="AV15" s="60">
        <f t="shared" si="19"/>
        <v>0</v>
      </c>
      <c r="AW15" s="62"/>
      <c r="AX15" s="60">
        <f t="shared" si="20"/>
        <v>0</v>
      </c>
      <c r="AY15" s="62"/>
      <c r="AZ15" s="60">
        <f t="shared" si="21"/>
        <v>0</v>
      </c>
      <c r="BA15" s="62"/>
      <c r="BB15" s="60">
        <f t="shared" si="22"/>
        <v>0</v>
      </c>
      <c r="BC15" s="62">
        <v>55</v>
      </c>
      <c r="BD15" s="60">
        <f t="shared" si="23"/>
        <v>3038.2000000000003</v>
      </c>
      <c r="BE15" s="62"/>
      <c r="BF15" s="60">
        <f t="shared" si="24"/>
        <v>0</v>
      </c>
      <c r="BG15" s="63">
        <f t="shared" si="25"/>
        <v>55</v>
      </c>
      <c r="BH15" s="64">
        <f t="shared" si="26"/>
        <v>3038.2000000000003</v>
      </c>
      <c r="BI15" s="65">
        <f>IFERROR(IF($J15=0,0,BH15/$J15),"")</f>
        <v>0.94828178157870102</v>
      </c>
      <c r="BJ15" s="66">
        <f t="shared" si="27"/>
        <v>3</v>
      </c>
      <c r="BK15" s="67">
        <f t="shared" si="28"/>
        <v>165.69999999999982</v>
      </c>
      <c r="BL15" s="175">
        <f>IFERROR(IF($J15=0,0,BK15/$J15),"")</f>
        <v>5.1718218421298985E-2</v>
      </c>
    </row>
    <row r="16" spans="2:66" s="160" customFormat="1" ht="22.9" hidden="1" customHeight="1" x14ac:dyDescent="0.2">
      <c r="B16" s="2"/>
      <c r="C16" s="68"/>
      <c r="D16" s="69" t="s">
        <v>3</v>
      </c>
      <c r="E16" s="70" t="s">
        <v>34</v>
      </c>
      <c r="F16" s="70" t="s">
        <v>35</v>
      </c>
      <c r="G16" s="68"/>
      <c r="H16" s="68"/>
      <c r="I16" s="71"/>
      <c r="J16" s="72">
        <v>24205.200000000001</v>
      </c>
      <c r="K16" s="57" t="str">
        <f t="shared" ref="K16:K21" si="29">IF(ISBLANK(I16),"",SUM(M16+O16+Q16+S16+U16+W16+Y16+AA16+AC16+AE16+AG16+AI16+AK16+AM16+AO16+AQ16+AS16+AU16+AW16+AY16+BA16))</f>
        <v/>
      </c>
      <c r="L16" s="58" t="str">
        <f t="shared" si="1"/>
        <v/>
      </c>
      <c r="M16" s="59"/>
      <c r="N16" s="60" t="str">
        <f t="shared" si="2"/>
        <v/>
      </c>
      <c r="O16" s="59"/>
      <c r="P16" s="60" t="str">
        <f t="shared" si="3"/>
        <v/>
      </c>
      <c r="Q16" s="61"/>
      <c r="R16" s="60" t="str">
        <f t="shared" si="4"/>
        <v/>
      </c>
      <c r="S16" s="62"/>
      <c r="T16" s="60" t="str">
        <f t="shared" si="5"/>
        <v/>
      </c>
      <c r="U16" s="62"/>
      <c r="V16" s="60" t="str">
        <f t="shared" si="6"/>
        <v/>
      </c>
      <c r="W16" s="62"/>
      <c r="X16" s="60" t="str">
        <f t="shared" si="7"/>
        <v/>
      </c>
      <c r="Y16" s="62"/>
      <c r="Z16" s="60" t="str">
        <f t="shared" si="8"/>
        <v/>
      </c>
      <c r="AA16" s="62"/>
      <c r="AB16" s="60" t="str">
        <f t="shared" si="9"/>
        <v/>
      </c>
      <c r="AC16" s="62"/>
      <c r="AD16" s="60" t="str">
        <f t="shared" si="10"/>
        <v/>
      </c>
      <c r="AE16" s="62"/>
      <c r="AF16" s="60" t="str">
        <f t="shared" si="11"/>
        <v/>
      </c>
      <c r="AG16" s="62"/>
      <c r="AH16" s="60" t="str">
        <f t="shared" si="12"/>
        <v/>
      </c>
      <c r="AI16" s="62"/>
      <c r="AJ16" s="60" t="str">
        <f t="shared" si="13"/>
        <v/>
      </c>
      <c r="AK16" s="62"/>
      <c r="AL16" s="60" t="str">
        <f t="shared" si="14"/>
        <v/>
      </c>
      <c r="AM16" s="62"/>
      <c r="AN16" s="60" t="str">
        <f t="shared" si="15"/>
        <v/>
      </c>
      <c r="AO16" s="62"/>
      <c r="AP16" s="60" t="str">
        <f t="shared" si="16"/>
        <v/>
      </c>
      <c r="AQ16" s="62"/>
      <c r="AR16" s="60" t="str">
        <f t="shared" si="17"/>
        <v/>
      </c>
      <c r="AS16" s="62"/>
      <c r="AT16" s="60" t="str">
        <f t="shared" si="18"/>
        <v/>
      </c>
      <c r="AU16" s="62"/>
      <c r="AV16" s="60" t="str">
        <f t="shared" si="19"/>
        <v/>
      </c>
      <c r="AW16" s="62"/>
      <c r="AX16" s="60" t="str">
        <f t="shared" si="20"/>
        <v/>
      </c>
      <c r="AY16" s="62"/>
      <c r="AZ16" s="60" t="str">
        <f t="shared" si="21"/>
        <v/>
      </c>
      <c r="BA16" s="62"/>
      <c r="BB16" s="60" t="str">
        <f t="shared" si="22"/>
        <v/>
      </c>
      <c r="BC16" s="62"/>
      <c r="BD16" s="60" t="str">
        <f t="shared" si="23"/>
        <v/>
      </c>
      <c r="BE16" s="62"/>
      <c r="BF16" s="60" t="str">
        <f t="shared" si="24"/>
        <v/>
      </c>
      <c r="BG16" s="63" t="str">
        <f t="shared" si="25"/>
        <v/>
      </c>
      <c r="BH16" s="64" t="str">
        <f t="shared" si="26"/>
        <v/>
      </c>
      <c r="BI16" s="65" t="str">
        <f t="shared" ref="BI16:BI21" si="30">IFERROR(IF($J16=0,0,BH16/$J16),"")</f>
        <v/>
      </c>
      <c r="BJ16" s="66" t="str">
        <f t="shared" si="27"/>
        <v/>
      </c>
      <c r="BK16" s="67" t="str">
        <f t="shared" si="28"/>
        <v/>
      </c>
      <c r="BL16" s="175" t="str">
        <f t="shared" ref="BL16:BL21" si="31">IFERROR(IF($J16=0,0,BK16/$J16),"")</f>
        <v/>
      </c>
    </row>
    <row r="17" spans="2:64" s="114" customFormat="1" ht="16.5" customHeight="1" x14ac:dyDescent="0.2">
      <c r="B17" s="1"/>
      <c r="C17" s="51" t="s">
        <v>7</v>
      </c>
      <c r="D17" s="51" t="s">
        <v>29</v>
      </c>
      <c r="E17" s="52" t="s">
        <v>36</v>
      </c>
      <c r="F17" s="53" t="s">
        <v>37</v>
      </c>
      <c r="G17" s="54" t="s">
        <v>32</v>
      </c>
      <c r="H17" s="55">
        <v>58</v>
      </c>
      <c r="I17" s="56">
        <v>20.62</v>
      </c>
      <c r="J17" s="55">
        <v>1196</v>
      </c>
      <c r="K17" s="57">
        <f t="shared" si="29"/>
        <v>0</v>
      </c>
      <c r="L17" s="58">
        <f t="shared" si="1"/>
        <v>0</v>
      </c>
      <c r="M17" s="59"/>
      <c r="N17" s="60">
        <f t="shared" si="2"/>
        <v>0</v>
      </c>
      <c r="O17" s="59"/>
      <c r="P17" s="60">
        <f t="shared" si="3"/>
        <v>0</v>
      </c>
      <c r="Q17" s="61"/>
      <c r="R17" s="60">
        <f t="shared" si="4"/>
        <v>0</v>
      </c>
      <c r="S17" s="62"/>
      <c r="T17" s="60">
        <f t="shared" si="5"/>
        <v>0</v>
      </c>
      <c r="U17" s="62"/>
      <c r="V17" s="60">
        <f t="shared" si="6"/>
        <v>0</v>
      </c>
      <c r="W17" s="62"/>
      <c r="X17" s="60">
        <f t="shared" si="7"/>
        <v>0</v>
      </c>
      <c r="Y17" s="62"/>
      <c r="Z17" s="60">
        <f t="shared" si="8"/>
        <v>0</v>
      </c>
      <c r="AA17" s="62"/>
      <c r="AB17" s="60">
        <f t="shared" si="9"/>
        <v>0</v>
      </c>
      <c r="AC17" s="62"/>
      <c r="AD17" s="60">
        <f t="shared" si="10"/>
        <v>0</v>
      </c>
      <c r="AE17" s="62"/>
      <c r="AF17" s="60">
        <f t="shared" si="11"/>
        <v>0</v>
      </c>
      <c r="AG17" s="62"/>
      <c r="AH17" s="60">
        <f t="shared" si="12"/>
        <v>0</v>
      </c>
      <c r="AI17" s="62"/>
      <c r="AJ17" s="60">
        <f t="shared" si="13"/>
        <v>0</v>
      </c>
      <c r="AK17" s="62"/>
      <c r="AL17" s="60">
        <f t="shared" si="14"/>
        <v>0</v>
      </c>
      <c r="AM17" s="62"/>
      <c r="AN17" s="60">
        <f t="shared" si="15"/>
        <v>0</v>
      </c>
      <c r="AO17" s="62"/>
      <c r="AP17" s="60">
        <f t="shared" si="16"/>
        <v>0</v>
      </c>
      <c r="AQ17" s="62"/>
      <c r="AR17" s="60">
        <f t="shared" si="17"/>
        <v>0</v>
      </c>
      <c r="AS17" s="62"/>
      <c r="AT17" s="60">
        <f t="shared" si="18"/>
        <v>0</v>
      </c>
      <c r="AU17" s="62"/>
      <c r="AV17" s="60">
        <f t="shared" si="19"/>
        <v>0</v>
      </c>
      <c r="AW17" s="62"/>
      <c r="AX17" s="60">
        <f t="shared" si="20"/>
        <v>0</v>
      </c>
      <c r="AY17" s="62"/>
      <c r="AZ17" s="60">
        <f t="shared" si="21"/>
        <v>0</v>
      </c>
      <c r="BA17" s="62"/>
      <c r="BB17" s="60">
        <f t="shared" si="22"/>
        <v>0</v>
      </c>
      <c r="BC17" s="62">
        <v>55</v>
      </c>
      <c r="BD17" s="60">
        <f t="shared" si="23"/>
        <v>1134.1000000000001</v>
      </c>
      <c r="BE17" s="62"/>
      <c r="BF17" s="60">
        <f t="shared" si="24"/>
        <v>0</v>
      </c>
      <c r="BG17" s="63">
        <f t="shared" si="25"/>
        <v>55</v>
      </c>
      <c r="BH17" s="64">
        <f t="shared" si="26"/>
        <v>1134.1000000000001</v>
      </c>
      <c r="BI17" s="65">
        <f t="shared" si="30"/>
        <v>0.94824414715719074</v>
      </c>
      <c r="BJ17" s="66">
        <f t="shared" si="27"/>
        <v>3</v>
      </c>
      <c r="BK17" s="67">
        <f t="shared" si="28"/>
        <v>61.899999999999864</v>
      </c>
      <c r="BL17" s="175">
        <f t="shared" si="31"/>
        <v>5.1755852842809251E-2</v>
      </c>
    </row>
    <row r="18" spans="2:64" s="114" customFormat="1" ht="16.5" customHeight="1" x14ac:dyDescent="0.2">
      <c r="B18" s="1"/>
      <c r="C18" s="51" t="s">
        <v>14</v>
      </c>
      <c r="D18" s="51" t="s">
        <v>29</v>
      </c>
      <c r="E18" s="52" t="s">
        <v>38</v>
      </c>
      <c r="F18" s="53" t="s">
        <v>39</v>
      </c>
      <c r="G18" s="54" t="s">
        <v>32</v>
      </c>
      <c r="H18" s="55">
        <v>58</v>
      </c>
      <c r="I18" s="56">
        <v>396.71</v>
      </c>
      <c r="J18" s="55">
        <v>23009.200000000001</v>
      </c>
      <c r="K18" s="57">
        <f t="shared" si="29"/>
        <v>0</v>
      </c>
      <c r="L18" s="58">
        <f t="shared" si="1"/>
        <v>0</v>
      </c>
      <c r="M18" s="59"/>
      <c r="N18" s="60">
        <f t="shared" si="2"/>
        <v>0</v>
      </c>
      <c r="O18" s="59"/>
      <c r="P18" s="60">
        <f t="shared" si="3"/>
        <v>0</v>
      </c>
      <c r="Q18" s="61"/>
      <c r="R18" s="60">
        <f t="shared" si="4"/>
        <v>0</v>
      </c>
      <c r="S18" s="62"/>
      <c r="T18" s="60">
        <f t="shared" si="5"/>
        <v>0</v>
      </c>
      <c r="U18" s="62"/>
      <c r="V18" s="60">
        <f t="shared" si="6"/>
        <v>0</v>
      </c>
      <c r="W18" s="62"/>
      <c r="X18" s="60">
        <f t="shared" si="7"/>
        <v>0</v>
      </c>
      <c r="Y18" s="62"/>
      <c r="Z18" s="60">
        <f t="shared" si="8"/>
        <v>0</v>
      </c>
      <c r="AA18" s="62"/>
      <c r="AB18" s="60">
        <f t="shared" si="9"/>
        <v>0</v>
      </c>
      <c r="AC18" s="62"/>
      <c r="AD18" s="60">
        <f t="shared" si="10"/>
        <v>0</v>
      </c>
      <c r="AE18" s="62"/>
      <c r="AF18" s="60">
        <f t="shared" si="11"/>
        <v>0</v>
      </c>
      <c r="AG18" s="62"/>
      <c r="AH18" s="60">
        <f t="shared" si="12"/>
        <v>0</v>
      </c>
      <c r="AI18" s="62"/>
      <c r="AJ18" s="60">
        <f t="shared" si="13"/>
        <v>0</v>
      </c>
      <c r="AK18" s="62"/>
      <c r="AL18" s="60">
        <f t="shared" si="14"/>
        <v>0</v>
      </c>
      <c r="AM18" s="62"/>
      <c r="AN18" s="60">
        <f t="shared" si="15"/>
        <v>0</v>
      </c>
      <c r="AO18" s="62"/>
      <c r="AP18" s="60">
        <f t="shared" si="16"/>
        <v>0</v>
      </c>
      <c r="AQ18" s="62"/>
      <c r="AR18" s="60">
        <f t="shared" si="17"/>
        <v>0</v>
      </c>
      <c r="AS18" s="62"/>
      <c r="AT18" s="60">
        <f t="shared" si="18"/>
        <v>0</v>
      </c>
      <c r="AU18" s="62"/>
      <c r="AV18" s="60">
        <f t="shared" si="19"/>
        <v>0</v>
      </c>
      <c r="AW18" s="62"/>
      <c r="AX18" s="60">
        <f t="shared" si="20"/>
        <v>0</v>
      </c>
      <c r="AY18" s="62"/>
      <c r="AZ18" s="60">
        <f t="shared" si="21"/>
        <v>0</v>
      </c>
      <c r="BA18" s="62"/>
      <c r="BB18" s="60">
        <f t="shared" si="22"/>
        <v>0</v>
      </c>
      <c r="BC18" s="62">
        <v>55</v>
      </c>
      <c r="BD18" s="60">
        <f t="shared" si="23"/>
        <v>21819.05</v>
      </c>
      <c r="BE18" s="62"/>
      <c r="BF18" s="60">
        <f t="shared" si="24"/>
        <v>0</v>
      </c>
      <c r="BG18" s="63">
        <f t="shared" si="25"/>
        <v>55</v>
      </c>
      <c r="BH18" s="64">
        <f t="shared" si="26"/>
        <v>21819.05</v>
      </c>
      <c r="BI18" s="65">
        <f t="shared" si="30"/>
        <v>0.94827503781096256</v>
      </c>
      <c r="BJ18" s="66">
        <f t="shared" si="27"/>
        <v>3</v>
      </c>
      <c r="BK18" s="67">
        <f t="shared" si="28"/>
        <v>1190.1500000000015</v>
      </c>
      <c r="BL18" s="175">
        <f t="shared" si="31"/>
        <v>5.1724962189037493E-2</v>
      </c>
    </row>
    <row r="19" spans="2:64" s="160" customFormat="1" ht="22.9" hidden="1" customHeight="1" x14ac:dyDescent="0.2">
      <c r="B19" s="2"/>
      <c r="C19" s="68"/>
      <c r="D19" s="69" t="s">
        <v>3</v>
      </c>
      <c r="E19" s="70" t="s">
        <v>40</v>
      </c>
      <c r="F19" s="70" t="s">
        <v>41</v>
      </c>
      <c r="G19" s="68"/>
      <c r="H19" s="68"/>
      <c r="I19" s="71"/>
      <c r="J19" s="72">
        <v>3952.3</v>
      </c>
      <c r="K19" s="57" t="str">
        <f t="shared" si="29"/>
        <v/>
      </c>
      <c r="L19" s="58" t="str">
        <f t="shared" si="1"/>
        <v/>
      </c>
      <c r="M19" s="59"/>
      <c r="N19" s="60" t="str">
        <f t="shared" si="2"/>
        <v/>
      </c>
      <c r="O19" s="59"/>
      <c r="P19" s="60" t="str">
        <f t="shared" si="3"/>
        <v/>
      </c>
      <c r="Q19" s="61"/>
      <c r="R19" s="60" t="str">
        <f t="shared" si="4"/>
        <v/>
      </c>
      <c r="S19" s="62"/>
      <c r="T19" s="60" t="str">
        <f t="shared" si="5"/>
        <v/>
      </c>
      <c r="U19" s="62"/>
      <c r="V19" s="60" t="str">
        <f t="shared" si="6"/>
        <v/>
      </c>
      <c r="W19" s="62"/>
      <c r="X19" s="60" t="str">
        <f t="shared" si="7"/>
        <v/>
      </c>
      <c r="Y19" s="62"/>
      <c r="Z19" s="60" t="str">
        <f t="shared" si="8"/>
        <v/>
      </c>
      <c r="AA19" s="62"/>
      <c r="AB19" s="60" t="str">
        <f t="shared" si="9"/>
        <v/>
      </c>
      <c r="AC19" s="62"/>
      <c r="AD19" s="60" t="str">
        <f t="shared" si="10"/>
        <v/>
      </c>
      <c r="AE19" s="62"/>
      <c r="AF19" s="60" t="str">
        <f t="shared" si="11"/>
        <v/>
      </c>
      <c r="AG19" s="62"/>
      <c r="AH19" s="60" t="str">
        <f t="shared" si="12"/>
        <v/>
      </c>
      <c r="AI19" s="62"/>
      <c r="AJ19" s="60" t="str">
        <f t="shared" si="13"/>
        <v/>
      </c>
      <c r="AK19" s="62"/>
      <c r="AL19" s="60" t="str">
        <f t="shared" si="14"/>
        <v/>
      </c>
      <c r="AM19" s="62"/>
      <c r="AN19" s="60" t="str">
        <f t="shared" si="15"/>
        <v/>
      </c>
      <c r="AO19" s="62"/>
      <c r="AP19" s="60" t="str">
        <f t="shared" si="16"/>
        <v/>
      </c>
      <c r="AQ19" s="62"/>
      <c r="AR19" s="60" t="str">
        <f t="shared" si="17"/>
        <v/>
      </c>
      <c r="AS19" s="62"/>
      <c r="AT19" s="60" t="str">
        <f t="shared" si="18"/>
        <v/>
      </c>
      <c r="AU19" s="62"/>
      <c r="AV19" s="60" t="str">
        <f t="shared" si="19"/>
        <v/>
      </c>
      <c r="AW19" s="62"/>
      <c r="AX19" s="60" t="str">
        <f t="shared" si="20"/>
        <v/>
      </c>
      <c r="AY19" s="62"/>
      <c r="AZ19" s="60" t="str">
        <f t="shared" si="21"/>
        <v/>
      </c>
      <c r="BA19" s="62"/>
      <c r="BB19" s="60" t="str">
        <f t="shared" si="22"/>
        <v/>
      </c>
      <c r="BC19" s="62"/>
      <c r="BD19" s="60" t="str">
        <f t="shared" si="23"/>
        <v/>
      </c>
      <c r="BE19" s="62"/>
      <c r="BF19" s="60" t="str">
        <f t="shared" si="24"/>
        <v/>
      </c>
      <c r="BG19" s="63" t="str">
        <f t="shared" si="25"/>
        <v/>
      </c>
      <c r="BH19" s="64" t="str">
        <f t="shared" si="26"/>
        <v/>
      </c>
      <c r="BI19" s="65" t="str">
        <f t="shared" si="30"/>
        <v/>
      </c>
      <c r="BJ19" s="66" t="str">
        <f t="shared" si="27"/>
        <v/>
      </c>
      <c r="BK19" s="67" t="str">
        <f t="shared" si="28"/>
        <v/>
      </c>
      <c r="BL19" s="175" t="str">
        <f t="shared" si="31"/>
        <v/>
      </c>
    </row>
    <row r="20" spans="2:64" s="114" customFormat="1" ht="16.5" hidden="1" customHeight="1" x14ac:dyDescent="0.2">
      <c r="B20" s="1"/>
      <c r="C20" s="51" t="s">
        <v>33</v>
      </c>
      <c r="D20" s="51" t="s">
        <v>29</v>
      </c>
      <c r="E20" s="52" t="s">
        <v>42</v>
      </c>
      <c r="F20" s="53" t="s">
        <v>43</v>
      </c>
      <c r="G20" s="54" t="s">
        <v>44</v>
      </c>
      <c r="H20" s="55">
        <v>7.42</v>
      </c>
      <c r="I20" s="56">
        <v>274.88</v>
      </c>
      <c r="J20" s="55">
        <v>2039.6</v>
      </c>
      <c r="K20" s="57">
        <f t="shared" si="29"/>
        <v>0</v>
      </c>
      <c r="L20" s="58">
        <f t="shared" si="1"/>
        <v>0</v>
      </c>
      <c r="M20" s="59"/>
      <c r="N20" s="60">
        <f t="shared" si="2"/>
        <v>0</v>
      </c>
      <c r="O20" s="59"/>
      <c r="P20" s="60">
        <f t="shared" si="3"/>
        <v>0</v>
      </c>
      <c r="Q20" s="61"/>
      <c r="R20" s="60">
        <f t="shared" si="4"/>
        <v>0</v>
      </c>
      <c r="S20" s="62"/>
      <c r="T20" s="60">
        <f t="shared" si="5"/>
        <v>0</v>
      </c>
      <c r="U20" s="62"/>
      <c r="V20" s="60">
        <f t="shared" si="6"/>
        <v>0</v>
      </c>
      <c r="W20" s="62"/>
      <c r="X20" s="60">
        <f t="shared" si="7"/>
        <v>0</v>
      </c>
      <c r="Y20" s="62"/>
      <c r="Z20" s="60">
        <f t="shared" si="8"/>
        <v>0</v>
      </c>
      <c r="AA20" s="62"/>
      <c r="AB20" s="60">
        <f t="shared" si="9"/>
        <v>0</v>
      </c>
      <c r="AC20" s="62"/>
      <c r="AD20" s="60">
        <f t="shared" si="10"/>
        <v>0</v>
      </c>
      <c r="AE20" s="62"/>
      <c r="AF20" s="60">
        <f t="shared" si="11"/>
        <v>0</v>
      </c>
      <c r="AG20" s="62"/>
      <c r="AH20" s="60">
        <f t="shared" si="12"/>
        <v>0</v>
      </c>
      <c r="AI20" s="62"/>
      <c r="AJ20" s="60">
        <f t="shared" si="13"/>
        <v>0</v>
      </c>
      <c r="AK20" s="62"/>
      <c r="AL20" s="60">
        <f t="shared" si="14"/>
        <v>0</v>
      </c>
      <c r="AM20" s="62"/>
      <c r="AN20" s="60">
        <f t="shared" si="15"/>
        <v>0</v>
      </c>
      <c r="AO20" s="62"/>
      <c r="AP20" s="60">
        <f t="shared" si="16"/>
        <v>0</v>
      </c>
      <c r="AQ20" s="62"/>
      <c r="AR20" s="60">
        <f t="shared" si="17"/>
        <v>0</v>
      </c>
      <c r="AS20" s="62"/>
      <c r="AT20" s="60">
        <f t="shared" si="18"/>
        <v>0</v>
      </c>
      <c r="AU20" s="62"/>
      <c r="AV20" s="60">
        <f t="shared" si="19"/>
        <v>0</v>
      </c>
      <c r="AW20" s="62"/>
      <c r="AX20" s="60">
        <f t="shared" si="20"/>
        <v>0</v>
      </c>
      <c r="AY20" s="62"/>
      <c r="AZ20" s="60">
        <f t="shared" si="21"/>
        <v>0</v>
      </c>
      <c r="BA20" s="62"/>
      <c r="BB20" s="60">
        <f t="shared" si="22"/>
        <v>0</v>
      </c>
      <c r="BC20" s="62"/>
      <c r="BD20" s="60">
        <f t="shared" si="23"/>
        <v>0</v>
      </c>
      <c r="BE20" s="62"/>
      <c r="BF20" s="60">
        <f t="shared" si="24"/>
        <v>0</v>
      </c>
      <c r="BG20" s="63">
        <f t="shared" si="25"/>
        <v>0</v>
      </c>
      <c r="BH20" s="64">
        <f t="shared" si="26"/>
        <v>0</v>
      </c>
      <c r="BI20" s="65">
        <f t="shared" si="30"/>
        <v>0</v>
      </c>
      <c r="BJ20" s="66">
        <f t="shared" si="27"/>
        <v>7.42</v>
      </c>
      <c r="BK20" s="67">
        <f t="shared" si="28"/>
        <v>2039.6</v>
      </c>
      <c r="BL20" s="175">
        <f t="shared" si="31"/>
        <v>1</v>
      </c>
    </row>
    <row r="21" spans="2:64" s="114" customFormat="1" ht="16.5" hidden="1" customHeight="1" x14ac:dyDescent="0.2">
      <c r="B21" s="1"/>
      <c r="C21" s="51" t="s">
        <v>34</v>
      </c>
      <c r="D21" s="51" t="s">
        <v>29</v>
      </c>
      <c r="E21" s="52" t="s">
        <v>45</v>
      </c>
      <c r="F21" s="53" t="s">
        <v>46</v>
      </c>
      <c r="G21" s="54" t="s">
        <v>44</v>
      </c>
      <c r="H21" s="55">
        <v>7.42</v>
      </c>
      <c r="I21" s="56">
        <v>257.77999999999997</v>
      </c>
      <c r="J21" s="55">
        <v>1912.7</v>
      </c>
      <c r="K21" s="57">
        <f t="shared" si="29"/>
        <v>0</v>
      </c>
      <c r="L21" s="58">
        <f t="shared" si="1"/>
        <v>0</v>
      </c>
      <c r="M21" s="59"/>
      <c r="N21" s="60">
        <f t="shared" si="2"/>
        <v>0</v>
      </c>
      <c r="O21" s="59"/>
      <c r="P21" s="60">
        <f t="shared" si="3"/>
        <v>0</v>
      </c>
      <c r="Q21" s="61"/>
      <c r="R21" s="60">
        <f t="shared" si="4"/>
        <v>0</v>
      </c>
      <c r="S21" s="62"/>
      <c r="T21" s="60">
        <f t="shared" si="5"/>
        <v>0</v>
      </c>
      <c r="U21" s="62"/>
      <c r="V21" s="60">
        <f t="shared" si="6"/>
        <v>0</v>
      </c>
      <c r="W21" s="62"/>
      <c r="X21" s="60">
        <f t="shared" si="7"/>
        <v>0</v>
      </c>
      <c r="Y21" s="62"/>
      <c r="Z21" s="60">
        <f t="shared" si="8"/>
        <v>0</v>
      </c>
      <c r="AA21" s="62"/>
      <c r="AB21" s="60">
        <f t="shared" si="9"/>
        <v>0</v>
      </c>
      <c r="AC21" s="62"/>
      <c r="AD21" s="60">
        <f t="shared" si="10"/>
        <v>0</v>
      </c>
      <c r="AE21" s="62"/>
      <c r="AF21" s="60">
        <f t="shared" si="11"/>
        <v>0</v>
      </c>
      <c r="AG21" s="62"/>
      <c r="AH21" s="60">
        <f t="shared" si="12"/>
        <v>0</v>
      </c>
      <c r="AI21" s="62"/>
      <c r="AJ21" s="60">
        <f t="shared" si="13"/>
        <v>0</v>
      </c>
      <c r="AK21" s="62"/>
      <c r="AL21" s="60">
        <f t="shared" si="14"/>
        <v>0</v>
      </c>
      <c r="AM21" s="62"/>
      <c r="AN21" s="60">
        <f t="shared" si="15"/>
        <v>0</v>
      </c>
      <c r="AO21" s="62"/>
      <c r="AP21" s="60">
        <f t="shared" si="16"/>
        <v>0</v>
      </c>
      <c r="AQ21" s="62"/>
      <c r="AR21" s="60">
        <f t="shared" si="17"/>
        <v>0</v>
      </c>
      <c r="AS21" s="62"/>
      <c r="AT21" s="60">
        <f t="shared" si="18"/>
        <v>0</v>
      </c>
      <c r="AU21" s="62"/>
      <c r="AV21" s="60">
        <f t="shared" si="19"/>
        <v>0</v>
      </c>
      <c r="AW21" s="62"/>
      <c r="AX21" s="60">
        <f t="shared" si="20"/>
        <v>0</v>
      </c>
      <c r="AY21" s="62"/>
      <c r="AZ21" s="60">
        <f t="shared" si="21"/>
        <v>0</v>
      </c>
      <c r="BA21" s="62"/>
      <c r="BB21" s="60">
        <f t="shared" si="22"/>
        <v>0</v>
      </c>
      <c r="BC21" s="62"/>
      <c r="BD21" s="60">
        <f t="shared" si="23"/>
        <v>0</v>
      </c>
      <c r="BE21" s="62"/>
      <c r="BF21" s="60">
        <f t="shared" si="24"/>
        <v>0</v>
      </c>
      <c r="BG21" s="63">
        <f t="shared" si="25"/>
        <v>0</v>
      </c>
      <c r="BH21" s="64">
        <f t="shared" si="26"/>
        <v>0</v>
      </c>
      <c r="BI21" s="65">
        <f t="shared" si="30"/>
        <v>0</v>
      </c>
      <c r="BJ21" s="66">
        <f t="shared" si="27"/>
        <v>7.42</v>
      </c>
      <c r="BK21" s="67">
        <f t="shared" si="28"/>
        <v>1912.7</v>
      </c>
      <c r="BL21" s="175">
        <f t="shared" si="31"/>
        <v>1</v>
      </c>
    </row>
    <row r="22" spans="2:64" s="114" customFormat="1" ht="6.95" customHeight="1" x14ac:dyDescent="0.2">
      <c r="B22" s="1"/>
      <c r="C22" s="1"/>
      <c r="D22" s="1"/>
      <c r="E22" s="1"/>
      <c r="F22" s="1"/>
      <c r="G22" s="1"/>
      <c r="H22" s="1"/>
      <c r="I22" s="38"/>
      <c r="J22" s="1"/>
      <c r="BC22" s="185" t="s">
        <v>522</v>
      </c>
    </row>
    <row r="23" spans="2:64" ht="18" customHeight="1" x14ac:dyDescent="0.2">
      <c r="D23" s="24"/>
      <c r="E23" s="25" t="s">
        <v>523</v>
      </c>
      <c r="F23" s="26"/>
      <c r="G23" s="26"/>
      <c r="H23" s="27"/>
      <c r="I23" s="26"/>
      <c r="J23" s="28">
        <v>31361.4</v>
      </c>
      <c r="K23" s="29"/>
      <c r="L23" s="181">
        <f>ROUND(SUM(L12:L21),2)</f>
        <v>0</v>
      </c>
      <c r="M23" s="30" t="s">
        <v>522</v>
      </c>
      <c r="N23" s="181">
        <f>ROUND(SUM(N12:N21),2)</f>
        <v>0</v>
      </c>
      <c r="O23" s="30" t="s">
        <v>522</v>
      </c>
      <c r="P23" s="181">
        <f>ROUND(SUM(P12:P21),2)</f>
        <v>0</v>
      </c>
      <c r="Q23" s="30" t="s">
        <v>522</v>
      </c>
      <c r="R23" s="181">
        <f>ROUND(SUM(R12:R21),2)</f>
        <v>0</v>
      </c>
      <c r="S23" s="30" t="s">
        <v>522</v>
      </c>
      <c r="T23" s="181">
        <f>ROUND(SUM(T12:T21),2)</f>
        <v>0</v>
      </c>
      <c r="U23" s="30" t="s">
        <v>522</v>
      </c>
      <c r="V23" s="181">
        <f>ROUND(SUM(V12:V21),2)</f>
        <v>0</v>
      </c>
      <c r="W23" s="30" t="s">
        <v>522</v>
      </c>
      <c r="X23" s="181">
        <f>ROUND(SUM(X12:X21),2)</f>
        <v>0</v>
      </c>
      <c r="Y23" s="30" t="s">
        <v>522</v>
      </c>
      <c r="Z23" s="181">
        <f>ROUND(SUM(Z12:Z21),2)</f>
        <v>0</v>
      </c>
      <c r="AA23" s="30" t="s">
        <v>522</v>
      </c>
      <c r="AB23" s="181">
        <f>ROUND(SUM(AB12:AB21),2)</f>
        <v>0</v>
      </c>
      <c r="AC23" s="30" t="s">
        <v>522</v>
      </c>
      <c r="AD23" s="181">
        <f>ROUND(SUM(AD12:AD21),2)</f>
        <v>0</v>
      </c>
      <c r="AE23" s="30" t="s">
        <v>522</v>
      </c>
      <c r="AF23" s="181">
        <f>ROUND(SUM(AF12:AF21),2)</f>
        <v>0</v>
      </c>
      <c r="AG23" s="30" t="s">
        <v>522</v>
      </c>
      <c r="AH23" s="181">
        <f>ROUND(SUM(AH12:AH21),2)</f>
        <v>0</v>
      </c>
      <c r="AI23" s="30" t="s">
        <v>522</v>
      </c>
      <c r="AJ23" s="181">
        <f>ROUND(SUM(AJ12:AJ21),2)</f>
        <v>0</v>
      </c>
      <c r="AK23" s="30" t="s">
        <v>522</v>
      </c>
      <c r="AL23" s="181">
        <f>ROUND(SUM(AL12:AL21),2)</f>
        <v>0</v>
      </c>
      <c r="AM23" s="30" t="s">
        <v>522</v>
      </c>
      <c r="AN23" s="181">
        <f>ROUND(SUM(AN12:AN21),2)</f>
        <v>0</v>
      </c>
      <c r="AO23" s="30" t="s">
        <v>522</v>
      </c>
      <c r="AP23" s="181">
        <f>ROUND(SUM(AP12:AP21),2)</f>
        <v>0</v>
      </c>
      <c r="AQ23" s="30" t="s">
        <v>522</v>
      </c>
      <c r="AR23" s="181">
        <f>ROUND(SUM(AR12:AR21),2)</f>
        <v>0</v>
      </c>
      <c r="AS23" s="30" t="s">
        <v>522</v>
      </c>
      <c r="AT23" s="181">
        <f>ROUND(SUM(AT12:AT21),2)</f>
        <v>0</v>
      </c>
      <c r="AU23" s="30" t="s">
        <v>522</v>
      </c>
      <c r="AV23" s="181">
        <f>ROUND(SUM(AV12:AV21),2)</f>
        <v>0</v>
      </c>
      <c r="AW23" s="30" t="s">
        <v>522</v>
      </c>
      <c r="AX23" s="181">
        <f>ROUND(SUM(AX12:AX21),2)</f>
        <v>0</v>
      </c>
      <c r="AY23" s="30" t="s">
        <v>522</v>
      </c>
      <c r="AZ23" s="181">
        <f>ROUND(SUM(AZ12:AZ21),2)</f>
        <v>0</v>
      </c>
      <c r="BA23" s="30" t="s">
        <v>522</v>
      </c>
      <c r="BB23" s="181">
        <f>ROUND(SUM(BB12:BB21),2)</f>
        <v>0</v>
      </c>
      <c r="BC23" s="30" t="s">
        <v>522</v>
      </c>
      <c r="BD23" s="181">
        <f>ROUND(SUM(BD12:BD21),2)</f>
        <v>25991.35</v>
      </c>
      <c r="BE23" s="30" t="s">
        <v>522</v>
      </c>
      <c r="BF23" s="181">
        <f>ROUND(SUM(BF12:BF21),2)</f>
        <v>0</v>
      </c>
      <c r="BG23" s="31"/>
      <c r="BH23" s="181">
        <f>ROUND(SUM(BH12:BH21),2)</f>
        <v>25991.35</v>
      </c>
      <c r="BI23" s="28"/>
      <c r="BJ23" s="31"/>
      <c r="BK23" s="181">
        <f>ROUND(SUM(BK12:BK21),2)</f>
        <v>5370.05</v>
      </c>
    </row>
    <row r="24" spans="2:64" ht="12.75" x14ac:dyDescent="0.2">
      <c r="H24" s="32"/>
      <c r="I24" s="9"/>
      <c r="J24" s="10"/>
      <c r="K24" s="11"/>
      <c r="L24" s="11"/>
      <c r="M24" s="33" t="s">
        <v>522</v>
      </c>
      <c r="O24" s="33" t="s">
        <v>522</v>
      </c>
      <c r="Q24" s="34" t="s">
        <v>522</v>
      </c>
      <c r="S24" s="34" t="s">
        <v>522</v>
      </c>
      <c r="U24" s="35" t="s">
        <v>522</v>
      </c>
      <c r="Y24" s="35" t="s">
        <v>522</v>
      </c>
      <c r="AA24" s="34" t="s">
        <v>522</v>
      </c>
      <c r="AC24" s="36" t="s">
        <v>522</v>
      </c>
      <c r="BC24" s="186" t="s">
        <v>522</v>
      </c>
    </row>
    <row r="25" spans="2:64" ht="14.25" x14ac:dyDescent="0.2">
      <c r="E25" s="8" t="str">
        <f>+'Rekapitulace stavby'!$B$25</f>
        <v>Zhotovitel: Jiří Prokop</v>
      </c>
      <c r="F25" s="8"/>
      <c r="H25" s="32"/>
      <c r="I25" s="233" t="s">
        <v>592</v>
      </c>
      <c r="J25" s="8"/>
      <c r="K25" s="11"/>
      <c r="L25" s="11"/>
      <c r="M25" s="33" t="s">
        <v>522</v>
      </c>
      <c r="O25" s="33" t="s">
        <v>522</v>
      </c>
      <c r="Q25" s="34" t="s">
        <v>522</v>
      </c>
      <c r="S25" s="34" t="s">
        <v>522</v>
      </c>
      <c r="U25" s="35" t="s">
        <v>522</v>
      </c>
      <c r="Y25" s="35" t="s">
        <v>522</v>
      </c>
      <c r="AA25" s="34" t="s">
        <v>522</v>
      </c>
      <c r="AC25" s="36" t="s">
        <v>522</v>
      </c>
      <c r="BC25" s="186" t="s">
        <v>522</v>
      </c>
      <c r="BG25" s="8" t="s">
        <v>496</v>
      </c>
    </row>
    <row r="26" spans="2:64" x14ac:dyDescent="0.2">
      <c r="BC26" s="186"/>
    </row>
  </sheetData>
  <sheetProtection formatColumns="0" formatRows="0" autoFilter="0"/>
  <protectedRanges>
    <protectedRange password="CCAA" sqref="BG8 K8" name="Oblast1_1_1"/>
    <protectedRange password="CCAA" sqref="D9:H11" name="Oblast1_2"/>
  </protectedRanges>
  <autoFilter ref="C10:BL21" xr:uid="{00000000-0001-0000-0100-000000000000}">
    <filterColumn colId="10" showButton="0"/>
    <filterColumn colId="12" showButton="0"/>
    <filterColumn colId="16" showButton="0"/>
    <filterColumn colId="18" showButton="0"/>
    <filterColumn colId="20" showButton="0"/>
    <filterColumn colId="22" showButton="0"/>
    <filterColumn colId="24" showButton="0"/>
    <filterColumn colId="26" showButton="0"/>
    <filterColumn colId="28" showButton="0"/>
    <filterColumn colId="30" showButton="0"/>
    <filterColumn colId="32" showButton="0"/>
    <filterColumn colId="34" showButton="0"/>
    <filterColumn colId="36" showButton="0"/>
    <filterColumn colId="38" showButton="0"/>
    <filterColumn colId="40" showButton="0"/>
    <filterColumn colId="42" showButton="0"/>
    <filterColumn colId="44" showButton="0"/>
    <filterColumn colId="46" showButton="0"/>
    <filterColumn colId="48" showButton="0"/>
    <filterColumn colId="50" showButton="0"/>
    <filterColumn colId="52">
      <customFilters>
        <customFilter operator="notEqual" val=" "/>
      </customFilters>
    </filterColumn>
    <filterColumn colId="54" showButton="0"/>
  </autoFilter>
  <mergeCells count="70">
    <mergeCell ref="BA10:BB10"/>
    <mergeCell ref="BE10:BF10"/>
    <mergeCell ref="AO10:AP10"/>
    <mergeCell ref="AQ10:AR10"/>
    <mergeCell ref="AS10:AT10"/>
    <mergeCell ref="AU10:AV10"/>
    <mergeCell ref="AW10:AX10"/>
    <mergeCell ref="BC9:BD9"/>
    <mergeCell ref="BE9:BF9"/>
    <mergeCell ref="M10:N10"/>
    <mergeCell ref="O10:P10"/>
    <mergeCell ref="S10:T10"/>
    <mergeCell ref="U10:V10"/>
    <mergeCell ref="W10:X10"/>
    <mergeCell ref="Y10:Z10"/>
    <mergeCell ref="AA10:AB10"/>
    <mergeCell ref="AC10:AD10"/>
    <mergeCell ref="AE10:AF10"/>
    <mergeCell ref="AG10:AH10"/>
    <mergeCell ref="AI10:AJ10"/>
    <mergeCell ref="AK10:AL10"/>
    <mergeCell ref="AM10:AN10"/>
    <mergeCell ref="AY10:AZ10"/>
    <mergeCell ref="AS9:AT9"/>
    <mergeCell ref="AU9:AV9"/>
    <mergeCell ref="AW9:AX9"/>
    <mergeCell ref="AY9:AZ9"/>
    <mergeCell ref="BA9:BB9"/>
    <mergeCell ref="AI9:AJ9"/>
    <mergeCell ref="AK9:AL9"/>
    <mergeCell ref="AM9:AN9"/>
    <mergeCell ref="AO9:AP9"/>
    <mergeCell ref="AQ9:AR9"/>
    <mergeCell ref="AY8:AZ8"/>
    <mergeCell ref="BA8:BB8"/>
    <mergeCell ref="BC8:BD8"/>
    <mergeCell ref="BE8:BF8"/>
    <mergeCell ref="K9:L9"/>
    <mergeCell ref="M9:N9"/>
    <mergeCell ref="O9:P9"/>
    <mergeCell ref="Q9:R9"/>
    <mergeCell ref="S9:T9"/>
    <mergeCell ref="U9:V9"/>
    <mergeCell ref="W9:X9"/>
    <mergeCell ref="Y9:Z9"/>
    <mergeCell ref="AA9:AB9"/>
    <mergeCell ref="AC9:AD9"/>
    <mergeCell ref="AE9:AF9"/>
    <mergeCell ref="AG9:AH9"/>
    <mergeCell ref="AO8:AP8"/>
    <mergeCell ref="AQ8:AR8"/>
    <mergeCell ref="AS8:AT8"/>
    <mergeCell ref="AU8:AV8"/>
    <mergeCell ref="AW8:AX8"/>
    <mergeCell ref="BG9:BI9"/>
    <mergeCell ref="BJ9:BL9"/>
    <mergeCell ref="M8:N8"/>
    <mergeCell ref="O8:P8"/>
    <mergeCell ref="Q8:R8"/>
    <mergeCell ref="S8:T8"/>
    <mergeCell ref="U8:V8"/>
    <mergeCell ref="W8:X8"/>
    <mergeCell ref="Y8:Z8"/>
    <mergeCell ref="AA8:AB8"/>
    <mergeCell ref="AC8:AD8"/>
    <mergeCell ref="AE8:AF8"/>
    <mergeCell ref="AG8:AH8"/>
    <mergeCell ref="AI8:AJ8"/>
    <mergeCell ref="AK8:AL8"/>
    <mergeCell ref="AM8:AN8"/>
  </mergeCells>
  <conditionalFormatting sqref="D3:E8 H3:N7 H8:L8 D9:L10 D11:AL11 BE11:JE11 BG8:JE8 BM9:JE10 O1:AI7 D1:N2 AK1:JE7">
    <cfRule type="cellIs" dxfId="205" priority="87" operator="lessThan">
      <formula>0</formula>
    </cfRule>
  </conditionalFormatting>
  <conditionalFormatting sqref="G4">
    <cfRule type="cellIs" dxfId="204" priority="86" operator="lessThan">
      <formula>0</formula>
    </cfRule>
  </conditionalFormatting>
  <conditionalFormatting sqref="G3">
    <cfRule type="cellIs" dxfId="203" priority="85" operator="lessThan">
      <formula>0</formula>
    </cfRule>
  </conditionalFormatting>
  <conditionalFormatting sqref="AO11:AP11">
    <cfRule type="cellIs" dxfId="202" priority="83" operator="lessThan">
      <formula>0</formula>
    </cfRule>
  </conditionalFormatting>
  <conditionalFormatting sqref="AQ11:AR11">
    <cfRule type="cellIs" dxfId="201" priority="82" operator="lessThan">
      <formula>0</formula>
    </cfRule>
  </conditionalFormatting>
  <conditionalFormatting sqref="AS11:AT11">
    <cfRule type="cellIs" dxfId="200" priority="81" operator="lessThan">
      <formula>0</formula>
    </cfRule>
  </conditionalFormatting>
  <conditionalFormatting sqref="AS10:AT10">
    <cfRule type="cellIs" dxfId="199" priority="59" operator="lessThan">
      <formula>0</formula>
    </cfRule>
  </conditionalFormatting>
  <conditionalFormatting sqref="AM10:AN10">
    <cfRule type="cellIs" dxfId="198" priority="62" operator="lessThan">
      <formula>0</formula>
    </cfRule>
  </conditionalFormatting>
  <conditionalFormatting sqref="AI8">
    <cfRule type="cellIs" dxfId="197" priority="65" operator="lessThan">
      <formula>0</formula>
    </cfRule>
  </conditionalFormatting>
  <conditionalFormatting sqref="AG10:AH10">
    <cfRule type="cellIs" dxfId="196" priority="68" operator="lessThan">
      <formula>0</formula>
    </cfRule>
  </conditionalFormatting>
  <conditionalFormatting sqref="AC8">
    <cfRule type="cellIs" dxfId="195" priority="71" operator="lessThan">
      <formula>0</formula>
    </cfRule>
  </conditionalFormatting>
  <conditionalFormatting sqref="W8">
    <cfRule type="cellIs" dxfId="194" priority="74" operator="lessThan">
      <formula>0</formula>
    </cfRule>
  </conditionalFormatting>
  <conditionalFormatting sqref="BC11:BD11">
    <cfRule type="cellIs" dxfId="193" priority="76" operator="lessThan">
      <formula>0</formula>
    </cfRule>
  </conditionalFormatting>
  <conditionalFormatting sqref="AO10:AP10">
    <cfRule type="cellIs" dxfId="192" priority="61" operator="lessThan">
      <formula>0</formula>
    </cfRule>
  </conditionalFormatting>
  <conditionalFormatting sqref="AK10:AL10">
    <cfRule type="cellIs" dxfId="191" priority="64" operator="lessThan">
      <formula>0</formula>
    </cfRule>
  </conditionalFormatting>
  <conditionalFormatting sqref="AG8">
    <cfRule type="cellIs" dxfId="190" priority="67" operator="lessThan">
      <formula>0</formula>
    </cfRule>
  </conditionalFormatting>
  <conditionalFormatting sqref="AE10:AF10">
    <cfRule type="cellIs" dxfId="189" priority="70" operator="lessThan">
      <formula>0</formula>
    </cfRule>
  </conditionalFormatting>
  <conditionalFormatting sqref="Y8">
    <cfRule type="cellIs" dxfId="188" priority="73" operator="lessThan">
      <formula>0</formula>
    </cfRule>
  </conditionalFormatting>
  <conditionalFormatting sqref="AM11:AN11">
    <cfRule type="cellIs" dxfId="187" priority="84" operator="lessThan">
      <formula>0</formula>
    </cfRule>
  </conditionalFormatting>
  <conditionalFormatting sqref="O8 Q8 M8 S8 U8 M10:AD10 M9:AZ9">
    <cfRule type="cellIs" dxfId="186" priority="75" operator="lessThan">
      <formula>0</formula>
    </cfRule>
  </conditionalFormatting>
  <conditionalFormatting sqref="AA8">
    <cfRule type="cellIs" dxfId="185" priority="72" operator="lessThan">
      <formula>0</formula>
    </cfRule>
  </conditionalFormatting>
  <conditionalFormatting sqref="AE8">
    <cfRule type="cellIs" dxfId="184" priority="69" operator="lessThan">
      <formula>0</formula>
    </cfRule>
  </conditionalFormatting>
  <conditionalFormatting sqref="AU11:AV11">
    <cfRule type="cellIs" dxfId="183" priority="80" operator="lessThan">
      <formula>0</formula>
    </cfRule>
  </conditionalFormatting>
  <conditionalFormatting sqref="AK8">
    <cfRule type="cellIs" dxfId="182" priority="63" operator="lessThan">
      <formula>0</formula>
    </cfRule>
  </conditionalFormatting>
  <conditionalFormatting sqref="AW11:AX11">
    <cfRule type="cellIs" dxfId="181" priority="79" operator="lessThan">
      <formula>0</formula>
    </cfRule>
  </conditionalFormatting>
  <conditionalFormatting sqref="AQ10:AR10">
    <cfRule type="cellIs" dxfId="180" priority="60" operator="lessThan">
      <formula>0</formula>
    </cfRule>
  </conditionalFormatting>
  <conditionalFormatting sqref="AY11:AZ11">
    <cfRule type="cellIs" dxfId="179" priority="78" operator="lessThan">
      <formula>0</formula>
    </cfRule>
  </conditionalFormatting>
  <conditionalFormatting sqref="AW10:AX10">
    <cfRule type="cellIs" dxfId="178" priority="57" operator="lessThan">
      <formula>0</formula>
    </cfRule>
  </conditionalFormatting>
  <conditionalFormatting sqref="AY10:AZ10">
    <cfRule type="cellIs" dxfId="177" priority="56" operator="lessThan">
      <formula>0</formula>
    </cfRule>
  </conditionalFormatting>
  <conditionalFormatting sqref="BA9:BB10 BC9:BD9">
    <cfRule type="cellIs" dxfId="176" priority="55" operator="lessThan">
      <formula>0</formula>
    </cfRule>
  </conditionalFormatting>
  <conditionalFormatting sqref="BA11:BB11">
    <cfRule type="cellIs" dxfId="175" priority="77" operator="lessThan">
      <formula>0</formula>
    </cfRule>
  </conditionalFormatting>
  <conditionalFormatting sqref="AM8 AO8 AQ8 AS8">
    <cfRule type="cellIs" dxfId="174" priority="53" operator="lessThan">
      <formula>0</formula>
    </cfRule>
  </conditionalFormatting>
  <conditionalFormatting sqref="AU8">
    <cfRule type="cellIs" dxfId="173" priority="52" operator="lessThan">
      <formula>0</formula>
    </cfRule>
  </conditionalFormatting>
  <conditionalFormatting sqref="AY8">
    <cfRule type="cellIs" dxfId="172" priority="50" operator="lessThan">
      <formula>0</formula>
    </cfRule>
  </conditionalFormatting>
  <conditionalFormatting sqref="BA8">
    <cfRule type="cellIs" dxfId="171" priority="49" operator="lessThan">
      <formula>0</formula>
    </cfRule>
  </conditionalFormatting>
  <conditionalFormatting sqref="BC8">
    <cfRule type="cellIs" dxfId="170" priority="48" operator="lessThan">
      <formula>0</formula>
    </cfRule>
  </conditionalFormatting>
  <conditionalFormatting sqref="BE9:BF9">
    <cfRule type="cellIs" dxfId="169" priority="47" operator="lessThan">
      <formula>0</formula>
    </cfRule>
  </conditionalFormatting>
  <conditionalFormatting sqref="BE10:BF10">
    <cfRule type="cellIs" dxfId="168" priority="46" operator="lessThan">
      <formula>0</formula>
    </cfRule>
  </conditionalFormatting>
  <conditionalFormatting sqref="BE8">
    <cfRule type="cellIs" dxfId="167" priority="45" operator="lessThan">
      <formula>0</formula>
    </cfRule>
  </conditionalFormatting>
  <conditionalFormatting sqref="AI10:AJ10">
    <cfRule type="cellIs" dxfId="166" priority="66" operator="lessThan">
      <formula>0</formula>
    </cfRule>
  </conditionalFormatting>
  <conditionalFormatting sqref="AU10:AV10">
    <cfRule type="cellIs" dxfId="165" priority="58" operator="lessThan">
      <formula>0</formula>
    </cfRule>
  </conditionalFormatting>
  <conditionalFormatting sqref="BC10:BD10">
    <cfRule type="cellIs" dxfId="164" priority="54" operator="lessThan">
      <formula>0</formula>
    </cfRule>
  </conditionalFormatting>
  <conditionalFormatting sqref="AW8">
    <cfRule type="cellIs" dxfId="163" priority="51" operator="lessThan">
      <formula>0</formula>
    </cfRule>
  </conditionalFormatting>
  <conditionalFormatting sqref="BE12:BK14 BE15:BH21 BJ16:BK21 K12:AL21">
    <cfRule type="cellIs" dxfId="162" priority="44" operator="lessThan">
      <formula>0</formula>
    </cfRule>
  </conditionalFormatting>
  <conditionalFormatting sqref="N12:N21 Q12:Q21 S12:S21 W12:W21 Y12:Y21">
    <cfRule type="cellIs" dxfId="161" priority="43" operator="lessThan">
      <formula>0</formula>
    </cfRule>
  </conditionalFormatting>
  <conditionalFormatting sqref="N12:N21 Q12:Q21 S12:S21 W12:W21 Y12:Y21">
    <cfRule type="cellIs" dxfId="160" priority="42" operator="lessThan">
      <formula>0</formula>
    </cfRule>
  </conditionalFormatting>
  <conditionalFormatting sqref="N12:N21 Q12:Q21 S12:S21 W12:W21 Y12:Y21">
    <cfRule type="cellIs" dxfId="159" priority="41" operator="lessThan">
      <formula>0</formula>
    </cfRule>
  </conditionalFormatting>
  <conditionalFormatting sqref="W12:W21 Y12:Y21">
    <cfRule type="cellIs" dxfId="158" priority="39" operator="lessThan">
      <formula>0</formula>
    </cfRule>
    <cfRule type="cellIs" dxfId="157" priority="40" operator="lessThan">
      <formula>0</formula>
    </cfRule>
  </conditionalFormatting>
  <conditionalFormatting sqref="N12:N21 Q12:Q21 S12:S21 W12:W21 Y12:Y21">
    <cfRule type="cellIs" dxfId="156" priority="38" operator="lessThan">
      <formula>0</formula>
    </cfRule>
  </conditionalFormatting>
  <conditionalFormatting sqref="W12:W21">
    <cfRule type="cellIs" dxfId="155" priority="36" operator="lessThan">
      <formula>0</formula>
    </cfRule>
    <cfRule type="cellIs" dxfId="154" priority="37" operator="lessThan">
      <formula>0</formula>
    </cfRule>
  </conditionalFormatting>
  <conditionalFormatting sqref="Y12:Y21">
    <cfRule type="cellIs" dxfId="153" priority="34" operator="lessThan">
      <formula>0</formula>
    </cfRule>
    <cfRule type="cellIs" dxfId="152" priority="35" operator="lessThan">
      <formula>0</formula>
    </cfRule>
  </conditionalFormatting>
  <conditionalFormatting sqref="N12:N21">
    <cfRule type="cellIs" dxfId="151" priority="33" operator="lessThan">
      <formula>0</formula>
    </cfRule>
  </conditionalFormatting>
  <conditionalFormatting sqref="BG12:BK14 BG15:BH21 BJ16:BK21">
    <cfRule type="cellIs" dxfId="150" priority="32" operator="lessThan">
      <formula>0</formula>
    </cfRule>
  </conditionalFormatting>
  <conditionalFormatting sqref="AO12:AP21">
    <cfRule type="cellIs" dxfId="149" priority="30" operator="lessThan">
      <formula>0</formula>
    </cfRule>
  </conditionalFormatting>
  <conditionalFormatting sqref="AQ12:AR21">
    <cfRule type="cellIs" dxfId="148" priority="29" operator="lessThan">
      <formula>0</formula>
    </cfRule>
  </conditionalFormatting>
  <conditionalFormatting sqref="AS12:AT21">
    <cfRule type="cellIs" dxfId="147" priority="28" operator="lessThan">
      <formula>0</formula>
    </cfRule>
  </conditionalFormatting>
  <conditionalFormatting sqref="BC12:BD21">
    <cfRule type="cellIs" dxfId="146" priority="23" operator="lessThan">
      <formula>0</formula>
    </cfRule>
  </conditionalFormatting>
  <conditionalFormatting sqref="AM12:AN21">
    <cfRule type="cellIs" dxfId="145" priority="31" operator="lessThan">
      <formula>0</formula>
    </cfRule>
  </conditionalFormatting>
  <conditionalFormatting sqref="AU12:AV21">
    <cfRule type="cellIs" dxfId="144" priority="27" operator="lessThan">
      <formula>0</formula>
    </cfRule>
  </conditionalFormatting>
  <conditionalFormatting sqref="AW12:AX21">
    <cfRule type="cellIs" dxfId="143" priority="26" operator="lessThan">
      <formula>0</formula>
    </cfRule>
  </conditionalFormatting>
  <conditionalFormatting sqref="AY12:AZ21">
    <cfRule type="cellIs" dxfId="142" priority="25" operator="lessThan">
      <formula>0</formula>
    </cfRule>
  </conditionalFormatting>
  <conditionalFormatting sqref="BA12:BB21">
    <cfRule type="cellIs" dxfId="141" priority="24" operator="lessThan">
      <formula>0</formula>
    </cfRule>
  </conditionalFormatting>
  <conditionalFormatting sqref="K24:AL25 BE24:BF25 K23 M23 O23 Q23 S23 U23 W23 Y23 AA23 AC23 AE23 AG23 AI23 AK23 BE23">
    <cfRule type="cellIs" dxfId="140" priority="22" operator="lessThan">
      <formula>0</formula>
    </cfRule>
  </conditionalFormatting>
  <conditionalFormatting sqref="E23:J24 BG23:BG24 D23:D25 G25:I25 BH24:JO25 BI23:BJ23 BL23:JO23">
    <cfRule type="cellIs" dxfId="139" priority="21" operator="lessThan">
      <formula>0</formula>
    </cfRule>
  </conditionalFormatting>
  <conditionalFormatting sqref="G25:I25 BH25:BI25 K25:L25 N25 P25:R25 T25 V25:X25 Z25 AB25">
    <cfRule type="cellIs" dxfId="138" priority="20" operator="lessThan">
      <formula>0</formula>
    </cfRule>
  </conditionalFormatting>
  <conditionalFormatting sqref="G25:I25 K25:L25 N25 P25:R25 T25 V25:X25 Z25 AB25">
    <cfRule type="cellIs" dxfId="137" priority="19" operator="lessThan">
      <formula>0</formula>
    </cfRule>
  </conditionalFormatting>
  <conditionalFormatting sqref="G25:I25 K25:L25 N25 P25:R25 T25 V25:X25 Z25 AB25">
    <cfRule type="cellIs" dxfId="136" priority="18" operator="lessThan">
      <formula>0</formula>
    </cfRule>
  </conditionalFormatting>
  <conditionalFormatting sqref="AO24:AP25 AO23">
    <cfRule type="cellIs" dxfId="135" priority="16" operator="lessThan">
      <formula>0</formula>
    </cfRule>
  </conditionalFormatting>
  <conditionalFormatting sqref="AQ24:AR25 AQ23">
    <cfRule type="cellIs" dxfId="134" priority="15" operator="lessThan">
      <formula>0</formula>
    </cfRule>
  </conditionalFormatting>
  <conditionalFormatting sqref="AS24:AT25 AS23">
    <cfRule type="cellIs" dxfId="133" priority="14" operator="lessThan">
      <formula>0</formula>
    </cfRule>
  </conditionalFormatting>
  <conditionalFormatting sqref="BC24:BD25 BC23">
    <cfRule type="cellIs" dxfId="132" priority="9" operator="lessThan">
      <formula>0</formula>
    </cfRule>
  </conditionalFormatting>
  <conditionalFormatting sqref="AM24:AN25 AM23">
    <cfRule type="cellIs" dxfId="131" priority="17" operator="lessThan">
      <formula>0</formula>
    </cfRule>
  </conditionalFormatting>
  <conditionalFormatting sqref="AU24:AV25 AU23">
    <cfRule type="cellIs" dxfId="130" priority="13" operator="lessThan">
      <formula>0</formula>
    </cfRule>
  </conditionalFormatting>
  <conditionalFormatting sqref="AW24:AX25 AW23">
    <cfRule type="cellIs" dxfId="129" priority="12" operator="lessThan">
      <formula>0</formula>
    </cfRule>
  </conditionalFormatting>
  <conditionalFormatting sqref="AY24:AZ25 AY23">
    <cfRule type="cellIs" dxfId="128" priority="11" operator="lessThan">
      <formula>0</formula>
    </cfRule>
  </conditionalFormatting>
  <conditionalFormatting sqref="BA24:BB25 BA23">
    <cfRule type="cellIs" dxfId="127" priority="10" operator="lessThan">
      <formula>0</formula>
    </cfRule>
  </conditionalFormatting>
  <conditionalFormatting sqref="BG9:BH10 BJ9:BK9">
    <cfRule type="cellIs" dxfId="126" priority="6" operator="lessThan">
      <formula>0</formula>
    </cfRule>
  </conditionalFormatting>
  <conditionalFormatting sqref="BI10:BL10">
    <cfRule type="cellIs" dxfId="125" priority="5" operator="lessThan">
      <formula>0</formula>
    </cfRule>
  </conditionalFormatting>
  <conditionalFormatting sqref="BJ15:BK15">
    <cfRule type="cellIs" dxfId="124" priority="4" operator="lessThan">
      <formula>0</formula>
    </cfRule>
  </conditionalFormatting>
  <conditionalFormatting sqref="BJ15:BK15">
    <cfRule type="cellIs" dxfId="123" priority="3" operator="lessThan">
      <formula>0</formula>
    </cfRule>
  </conditionalFormatting>
  <conditionalFormatting sqref="L23 N23 P23 R23 T23 V23 X23 Z23 AB23 AD23 AF23 AH23 AJ23 AL23 AN23 AP23 AR23 AT23 AV23 AX23 AZ23 BB23 BD23 BF23">
    <cfRule type="cellIs" dxfId="122" priority="2" operator="lessThan">
      <formula>0</formula>
    </cfRule>
  </conditionalFormatting>
  <conditionalFormatting sqref="BK23 BH23">
    <cfRule type="cellIs" dxfId="121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58" fitToHeight="0" orientation="landscape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T86"/>
  <sheetViews>
    <sheetView showGridLines="0" view="pageBreakPreview" topLeftCell="F62" zoomScaleNormal="90" zoomScaleSheetLayoutView="100" workbookViewId="0">
      <selection activeCell="G86" sqref="G86:O86"/>
    </sheetView>
  </sheetViews>
  <sheetFormatPr defaultColWidth="9.33203125" defaultRowHeight="11.25" x14ac:dyDescent="0.2"/>
  <cols>
    <col min="1" max="1" width="8.33203125" style="9" customWidth="1"/>
    <col min="2" max="2" width="1.6640625" style="9" customWidth="1"/>
    <col min="3" max="3" width="4.1640625" style="9" customWidth="1"/>
    <col min="4" max="4" width="4.33203125" style="9" customWidth="1"/>
    <col min="5" max="5" width="17.1640625" style="9" customWidth="1"/>
    <col min="6" max="6" width="100.83203125" style="9" customWidth="1"/>
    <col min="7" max="7" width="8.6640625" style="9" customWidth="1"/>
    <col min="8" max="8" width="11.1640625" style="9" customWidth="1"/>
    <col min="9" max="9" width="14.1640625" style="161" customWidth="1"/>
    <col min="10" max="10" width="20.1640625" style="9" customWidth="1"/>
    <col min="11" max="11" width="15.83203125" style="9" customWidth="1"/>
    <col min="12" max="12" width="16.6640625" style="9" customWidth="1"/>
    <col min="13" max="13" width="15.83203125" style="9" bestFit="1" customWidth="1"/>
    <col min="14" max="14" width="16.33203125" style="9" bestFit="1" customWidth="1"/>
    <col min="15" max="15" width="20.1640625" style="9" bestFit="1" customWidth="1"/>
    <col min="16" max="16" width="16.33203125" style="9" customWidth="1"/>
    <col min="17" max="17" width="19.33203125" style="9" customWidth="1"/>
    <col min="18" max="18" width="16.33203125" style="9" customWidth="1"/>
    <col min="19" max="19" width="28.83203125" style="9" bestFit="1" customWidth="1"/>
    <col min="20" max="20" width="10" style="9" bestFit="1" customWidth="1"/>
    <col min="21" max="21" width="0" style="9" hidden="1" customWidth="1"/>
    <col min="22" max="16384" width="9.33203125" style="9"/>
  </cols>
  <sheetData>
    <row r="1" spans="2:20" ht="18.75" customHeight="1" x14ac:dyDescent="0.2">
      <c r="F1" s="12"/>
      <c r="G1" s="83"/>
      <c r="H1" s="82"/>
      <c r="I1" s="9"/>
      <c r="J1" s="10"/>
    </row>
    <row r="2" spans="2:20" s="82" customFormat="1" ht="18" customHeight="1" x14ac:dyDescent="0.2">
      <c r="E2" s="14"/>
      <c r="F2" s="12" t="s">
        <v>471</v>
      </c>
      <c r="G2" s="83" t="s">
        <v>472</v>
      </c>
      <c r="I2" s="85"/>
      <c r="J2" s="135"/>
      <c r="K2" s="89"/>
      <c r="L2" s="90"/>
      <c r="M2" s="90"/>
      <c r="N2" s="91"/>
      <c r="O2" s="136"/>
    </row>
    <row r="3" spans="2:20" s="82" customFormat="1" ht="18" customHeight="1" x14ac:dyDescent="0.2">
      <c r="E3" s="14"/>
      <c r="F3" s="12" t="s">
        <v>473</v>
      </c>
      <c r="G3" s="83" t="s">
        <v>2</v>
      </c>
      <c r="H3" s="14"/>
      <c r="I3" s="85"/>
      <c r="J3" s="135"/>
      <c r="K3" s="89"/>
      <c r="L3" s="90"/>
      <c r="M3" s="90"/>
      <c r="N3" s="91"/>
      <c r="O3" s="136"/>
    </row>
    <row r="4" spans="2:20" s="14" customFormat="1" ht="18" customHeight="1" x14ac:dyDescent="0.2">
      <c r="F4" s="3" t="s">
        <v>474</v>
      </c>
      <c r="G4" s="13" t="s">
        <v>475</v>
      </c>
      <c r="I4" s="85"/>
      <c r="J4" s="137"/>
      <c r="K4" s="96"/>
      <c r="L4" s="97"/>
      <c r="M4" s="97"/>
      <c r="N4" s="98"/>
      <c r="O4" s="138"/>
    </row>
    <row r="5" spans="2:20" s="14" customFormat="1" ht="18" customHeight="1" x14ac:dyDescent="0.2">
      <c r="F5" s="3" t="s">
        <v>476</v>
      </c>
      <c r="G5" s="13" t="s">
        <v>477</v>
      </c>
      <c r="I5" s="85"/>
      <c r="J5" s="137"/>
      <c r="K5" s="96"/>
      <c r="L5" s="97"/>
      <c r="M5" s="97"/>
      <c r="N5" s="98"/>
      <c r="O5" s="138"/>
    </row>
    <row r="6" spans="2:20" s="14" customFormat="1" ht="18" customHeight="1" x14ac:dyDescent="0.2">
      <c r="F6" s="12" t="s">
        <v>478</v>
      </c>
      <c r="G6" s="13" t="s">
        <v>479</v>
      </c>
      <c r="I6" s="85"/>
      <c r="J6" s="137"/>
      <c r="K6" s="96"/>
      <c r="L6" s="97"/>
      <c r="M6" s="97"/>
      <c r="N6" s="98"/>
      <c r="O6" s="138"/>
    </row>
    <row r="7" spans="2:20" s="14" customFormat="1" ht="18" customHeight="1" x14ac:dyDescent="0.2">
      <c r="F7" s="12" t="s">
        <v>480</v>
      </c>
      <c r="G7" s="99" t="s">
        <v>481</v>
      </c>
      <c r="H7" s="139"/>
      <c r="I7" s="85"/>
      <c r="J7" s="137"/>
      <c r="K7" s="96"/>
      <c r="L7" s="97"/>
      <c r="M7" s="97"/>
      <c r="N7" s="98"/>
      <c r="O7" s="138"/>
    </row>
    <row r="8" spans="2:20" s="15" customFormat="1" ht="18" customHeight="1" x14ac:dyDescent="0.2">
      <c r="D8" s="140"/>
      <c r="F8" s="12"/>
      <c r="G8" s="99"/>
      <c r="H8" s="139"/>
      <c r="K8" s="143" t="s">
        <v>498</v>
      </c>
      <c r="L8" s="144" t="str">
        <f>+C12</f>
        <v>R1 - Vodovodní řad R1</v>
      </c>
      <c r="M8" s="144"/>
      <c r="O8" s="145"/>
    </row>
    <row r="9" spans="2:20" s="16" customFormat="1" ht="20.100000000000001" customHeight="1" x14ac:dyDescent="0.2">
      <c r="C9" s="162"/>
      <c r="D9" s="163"/>
      <c r="E9" s="163"/>
      <c r="F9" s="163"/>
      <c r="G9" s="163"/>
      <c r="H9" s="163"/>
      <c r="I9" s="164"/>
      <c r="J9" s="165"/>
      <c r="K9" s="242" t="s">
        <v>587</v>
      </c>
      <c r="L9" s="242"/>
      <c r="M9" s="243"/>
      <c r="N9" s="244" t="s">
        <v>588</v>
      </c>
      <c r="O9" s="244"/>
      <c r="P9" s="245"/>
      <c r="Q9" s="79"/>
      <c r="R9" s="79"/>
    </row>
    <row r="10" spans="2:20" s="16" customFormat="1" ht="24" customHeight="1" x14ac:dyDescent="0.2">
      <c r="C10" s="166"/>
      <c r="D10" s="167" t="s">
        <v>516</v>
      </c>
      <c r="E10" s="167" t="s">
        <v>517</v>
      </c>
      <c r="F10" s="167" t="s">
        <v>518</v>
      </c>
      <c r="G10" s="167" t="s">
        <v>24</v>
      </c>
      <c r="H10" s="168" t="s">
        <v>25</v>
      </c>
      <c r="I10" s="169" t="s">
        <v>519</v>
      </c>
      <c r="J10" s="170" t="s">
        <v>520</v>
      </c>
      <c r="K10" s="46" t="s">
        <v>521</v>
      </c>
      <c r="L10" s="47" t="s">
        <v>584</v>
      </c>
      <c r="M10" s="47" t="s">
        <v>585</v>
      </c>
      <c r="N10" s="48" t="s">
        <v>521</v>
      </c>
      <c r="O10" s="49" t="s">
        <v>584</v>
      </c>
      <c r="P10" s="50" t="s">
        <v>586</v>
      </c>
      <c r="Q10" s="149"/>
      <c r="R10" s="149"/>
      <c r="S10" s="184" t="s">
        <v>531</v>
      </c>
    </row>
    <row r="11" spans="2:20" s="16" customFormat="1" ht="12.75" x14ac:dyDescent="0.2">
      <c r="D11" s="17"/>
      <c r="E11" s="17"/>
      <c r="F11" s="17"/>
      <c r="G11" s="17"/>
      <c r="H11" s="18"/>
      <c r="I11" s="19"/>
      <c r="J11" s="20"/>
      <c r="K11" s="146"/>
      <c r="L11" s="147"/>
      <c r="M11" s="147"/>
      <c r="N11" s="148"/>
      <c r="O11" s="149"/>
    </row>
    <row r="12" spans="2:20" s="114" customFormat="1" ht="22.9" customHeight="1" x14ac:dyDescent="0.25">
      <c r="B12" s="1"/>
      <c r="C12" s="37" t="s">
        <v>47</v>
      </c>
      <c r="D12" s="1"/>
      <c r="E12" s="1"/>
      <c r="F12" s="1"/>
      <c r="G12" s="1"/>
      <c r="H12" s="1"/>
      <c r="I12" s="38"/>
      <c r="J12" s="39">
        <v>336199.30000000005</v>
      </c>
      <c r="K12" s="156" t="str">
        <f>IF(ISBLANK(H12),"",SUM(#REF!+#REF!+#REF!+#REF!+#REF!+#REF!+#REF!+#REF!+#REF!+#REF!+#REF!+#REF!+#REF!+#REF!+#REF!,#REF!,#REF!,#REF!+#REF!,#REF!,#REF!,#REF!,#REF!,#REF!))</f>
        <v/>
      </c>
      <c r="L12" s="157" t="str">
        <f>IF(ISBLANK(H12),"",SUM(#REF!+#REF!+#REF!+#REF!+#REF!+#REF!+#REF!+#REF!+#REF!+#REF!+#REF!+#REF!+#REF!+#REF!,#REF!,#REF!,#REF!,#REF!,#REF!,#REF!,#REF!,#REF!,#REF!))</f>
        <v/>
      </c>
      <c r="M12" s="157"/>
      <c r="N12" s="158" t="str">
        <f>IF(ISBLANK(H12),"",H12-K12)</f>
        <v/>
      </c>
      <c r="O12" s="159" t="str">
        <f>IF(ISBLANK(H12),"",J12-L12)</f>
        <v/>
      </c>
      <c r="S12" s="183" t="s">
        <v>533</v>
      </c>
    </row>
    <row r="13" spans="2:20" s="160" customFormat="1" ht="25.9" customHeight="1" x14ac:dyDescent="0.2">
      <c r="B13" s="2"/>
      <c r="C13" s="2"/>
      <c r="D13" s="40" t="s">
        <v>3</v>
      </c>
      <c r="E13" s="41" t="s">
        <v>26</v>
      </c>
      <c r="F13" s="41" t="s">
        <v>27</v>
      </c>
      <c r="G13" s="2"/>
      <c r="H13" s="2"/>
      <c r="I13" s="42"/>
      <c r="J13" s="43">
        <v>333068.90000000002</v>
      </c>
      <c r="K13" s="156" t="str">
        <f>IF(ISBLANK(H13),"",SUM(#REF!+#REF!+#REF!+#REF!+#REF!+#REF!+#REF!+#REF!+#REF!+#REF!+#REF!+#REF!+#REF!+#REF!+#REF!,#REF!,#REF!,#REF!+#REF!,#REF!,#REF!,#REF!,#REF!,#REF!))</f>
        <v/>
      </c>
      <c r="L13" s="157" t="str">
        <f>IF(ISBLANK(H13),"",SUM(#REF!+#REF!+#REF!+#REF!+#REF!+#REF!+#REF!+#REF!+#REF!+#REF!+#REF!+#REF!+#REF!+#REF!,#REF!,#REF!,#REF!,#REF!,#REF!,#REF!,#REF!,#REF!,#REF!))</f>
        <v/>
      </c>
      <c r="M13" s="157"/>
      <c r="N13" s="158" t="str">
        <f>IF(ISBLANK(H13),"",H13-K13)</f>
        <v/>
      </c>
      <c r="O13" s="159" t="str">
        <f>IF(ISBLANK(H13),"",J13-L13)</f>
        <v/>
      </c>
    </row>
    <row r="14" spans="2:20" s="160" customFormat="1" ht="33" customHeight="1" x14ac:dyDescent="0.2">
      <c r="B14" s="2"/>
      <c r="C14" s="213"/>
      <c r="D14" s="214" t="s">
        <v>3</v>
      </c>
      <c r="E14" s="215" t="s">
        <v>6</v>
      </c>
      <c r="F14" s="215" t="s">
        <v>28</v>
      </c>
      <c r="G14" s="213"/>
      <c r="H14" s="213"/>
      <c r="I14" s="216"/>
      <c r="J14" s="217">
        <v>153594.29999999999</v>
      </c>
      <c r="K14" s="218" t="str">
        <f>IF(ISBLANK(H14),"",SUM(#REF!+#REF!+#REF!+#REF!+#REF!+#REF!+#REF!+#REF!+#REF!+#REF!+#REF!+#REF!+#REF!+#REF!+#REF!,#REF!,#REF!,#REF!+#REF!,#REF!,#REF!,#REF!,#REF!,#REF!))</f>
        <v/>
      </c>
      <c r="L14" s="219" t="str">
        <f>IF(ISBLANK(H14),"",SUM(#REF!+#REF!+#REF!+#REF!+#REF!+#REF!+#REF!+#REF!+#REF!+#REF!+#REF!+#REF!+#REF!+#REF!,#REF!,#REF!,#REF!,#REF!,#REF!,#REF!,#REF!,#REF!,#REF!))</f>
        <v/>
      </c>
      <c r="M14" s="219">
        <f>SUM(M15:M37)</f>
        <v>-1816.1703</v>
      </c>
      <c r="N14" s="220" t="str">
        <f>IF(ISBLANK(H14),"",H14-K14)</f>
        <v/>
      </c>
      <c r="O14" s="219" t="str">
        <f>IF(ISBLANK(H14),"",J14-L14)</f>
        <v/>
      </c>
      <c r="P14" s="219">
        <f>SUM(P15:P37)</f>
        <v>151778.16570000001</v>
      </c>
      <c r="Q14" s="231" t="s">
        <v>589</v>
      </c>
    </row>
    <row r="15" spans="2:20" s="114" customFormat="1" ht="16.5" customHeight="1" x14ac:dyDescent="0.2">
      <c r="B15" s="1"/>
      <c r="C15" s="51" t="s">
        <v>7</v>
      </c>
      <c r="D15" s="51" t="s">
        <v>29</v>
      </c>
      <c r="E15" s="52" t="s">
        <v>48</v>
      </c>
      <c r="F15" s="53" t="s">
        <v>49</v>
      </c>
      <c r="G15" s="54" t="s">
        <v>32</v>
      </c>
      <c r="H15" s="55">
        <v>4</v>
      </c>
      <c r="I15" s="56">
        <v>40.770000000000003</v>
      </c>
      <c r="J15" s="55">
        <v>163.1</v>
      </c>
      <c r="K15" s="63">
        <f>ROUND(58.3/59*Q15-Q15,2)</f>
        <v>-0.05</v>
      </c>
      <c r="L15" s="64">
        <f>I15</f>
        <v>40.770000000000003</v>
      </c>
      <c r="M15" s="196">
        <f>K15*L15</f>
        <v>-2.0385000000000004</v>
      </c>
      <c r="N15" s="66">
        <f>H15+K15</f>
        <v>3.95</v>
      </c>
      <c r="O15" s="67">
        <f>I15</f>
        <v>40.770000000000003</v>
      </c>
      <c r="P15" s="197">
        <f>N15*O15</f>
        <v>161.04150000000001</v>
      </c>
      <c r="Q15" s="230">
        <f>ROUND(59/58.67*H15,2)</f>
        <v>4.0199999999999996</v>
      </c>
      <c r="R15" s="230"/>
      <c r="T15" s="182"/>
    </row>
    <row r="16" spans="2:20" s="114" customFormat="1" ht="16.5" customHeight="1" x14ac:dyDescent="0.2">
      <c r="B16" s="1"/>
      <c r="C16" s="51" t="s">
        <v>14</v>
      </c>
      <c r="D16" s="51" t="s">
        <v>29</v>
      </c>
      <c r="E16" s="52" t="s">
        <v>30</v>
      </c>
      <c r="F16" s="53" t="s">
        <v>31</v>
      </c>
      <c r="G16" s="54" t="s">
        <v>32</v>
      </c>
      <c r="H16" s="55">
        <v>7.64</v>
      </c>
      <c r="I16" s="56">
        <v>55.24</v>
      </c>
      <c r="J16" s="55">
        <v>422</v>
      </c>
      <c r="K16" s="63">
        <v>0</v>
      </c>
      <c r="L16" s="64">
        <f t="shared" ref="L16:L78" si="0">I16</f>
        <v>55.24</v>
      </c>
      <c r="M16" s="196">
        <f t="shared" ref="M16:M78" si="1">K16*L16</f>
        <v>0</v>
      </c>
      <c r="N16" s="66">
        <f t="shared" ref="N16:N78" si="2">H16+K16</f>
        <v>7.64</v>
      </c>
      <c r="O16" s="67">
        <f t="shared" ref="O16:O78" si="3">I16</f>
        <v>55.24</v>
      </c>
      <c r="P16" s="197">
        <f t="shared" ref="P16:P78" si="4">N16*O16</f>
        <v>422.03359999999998</v>
      </c>
      <c r="Q16" s="230">
        <f t="shared" ref="Q16:Q79" si="5">ROUND(59/58.67*H16,2)</f>
        <v>7.68</v>
      </c>
      <c r="R16" s="230"/>
      <c r="T16" s="182"/>
    </row>
    <row r="17" spans="2:20" s="114" customFormat="1" ht="16.5" customHeight="1" x14ac:dyDescent="0.2">
      <c r="B17" s="1"/>
      <c r="C17" s="51" t="s">
        <v>33</v>
      </c>
      <c r="D17" s="51" t="s">
        <v>29</v>
      </c>
      <c r="E17" s="52" t="s">
        <v>50</v>
      </c>
      <c r="F17" s="53" t="s">
        <v>51</v>
      </c>
      <c r="G17" s="54" t="s">
        <v>32</v>
      </c>
      <c r="H17" s="55">
        <v>4</v>
      </c>
      <c r="I17" s="56">
        <v>151.25</v>
      </c>
      <c r="J17" s="55">
        <v>605</v>
      </c>
      <c r="K17" s="63">
        <v>0</v>
      </c>
      <c r="L17" s="64">
        <f t="shared" si="0"/>
        <v>151.25</v>
      </c>
      <c r="M17" s="196">
        <f t="shared" si="1"/>
        <v>0</v>
      </c>
      <c r="N17" s="66">
        <f t="shared" si="2"/>
        <v>4</v>
      </c>
      <c r="O17" s="67">
        <f t="shared" si="3"/>
        <v>151.25</v>
      </c>
      <c r="P17" s="197">
        <f t="shared" si="4"/>
        <v>605</v>
      </c>
      <c r="Q17" s="230">
        <f t="shared" si="5"/>
        <v>4.0199999999999996</v>
      </c>
      <c r="R17" s="230"/>
      <c r="T17" s="182"/>
    </row>
    <row r="18" spans="2:20" s="114" customFormat="1" ht="16.5" customHeight="1" x14ac:dyDescent="0.2">
      <c r="B18" s="1"/>
      <c r="C18" s="51" t="s">
        <v>34</v>
      </c>
      <c r="D18" s="51" t="s">
        <v>29</v>
      </c>
      <c r="E18" s="52" t="s">
        <v>52</v>
      </c>
      <c r="F18" s="53" t="s">
        <v>53</v>
      </c>
      <c r="G18" s="54" t="s">
        <v>54</v>
      </c>
      <c r="H18" s="55">
        <v>3</v>
      </c>
      <c r="I18" s="56">
        <v>220.96</v>
      </c>
      <c r="J18" s="55">
        <v>662.9</v>
      </c>
      <c r="K18" s="63">
        <f t="shared" ref="K18:K40" si="6">ROUND(58.3/59*Q18-Q18,2)</f>
        <v>-0.04</v>
      </c>
      <c r="L18" s="64">
        <f t="shared" si="0"/>
        <v>220.96</v>
      </c>
      <c r="M18" s="196">
        <f t="shared" si="1"/>
        <v>-8.8384</v>
      </c>
      <c r="N18" s="66">
        <f t="shared" si="2"/>
        <v>2.96</v>
      </c>
      <c r="O18" s="67">
        <f t="shared" si="3"/>
        <v>220.96</v>
      </c>
      <c r="P18" s="197">
        <f t="shared" si="4"/>
        <v>654.04160000000002</v>
      </c>
      <c r="Q18" s="230">
        <f t="shared" si="5"/>
        <v>3.02</v>
      </c>
      <c r="R18" s="230"/>
      <c r="T18" s="182"/>
    </row>
    <row r="19" spans="2:20" s="114" customFormat="1" ht="16.5" customHeight="1" x14ac:dyDescent="0.2">
      <c r="B19" s="1"/>
      <c r="C19" s="51" t="s">
        <v>55</v>
      </c>
      <c r="D19" s="51" t="s">
        <v>29</v>
      </c>
      <c r="E19" s="52" t="s">
        <v>56</v>
      </c>
      <c r="F19" s="53" t="s">
        <v>57</v>
      </c>
      <c r="G19" s="54" t="s">
        <v>58</v>
      </c>
      <c r="H19" s="55">
        <v>24.21</v>
      </c>
      <c r="I19" s="56">
        <v>38.14</v>
      </c>
      <c r="J19" s="55">
        <v>923.4</v>
      </c>
      <c r="K19" s="63">
        <f t="shared" si="6"/>
        <v>-0.28999999999999998</v>
      </c>
      <c r="L19" s="64">
        <f t="shared" si="0"/>
        <v>38.14</v>
      </c>
      <c r="M19" s="196">
        <f t="shared" si="1"/>
        <v>-11.060599999999999</v>
      </c>
      <c r="N19" s="66">
        <f t="shared" si="2"/>
        <v>23.92</v>
      </c>
      <c r="O19" s="67">
        <f t="shared" si="3"/>
        <v>38.14</v>
      </c>
      <c r="P19" s="197">
        <f t="shared" si="4"/>
        <v>912.30880000000013</v>
      </c>
      <c r="Q19" s="230">
        <f t="shared" si="5"/>
        <v>24.35</v>
      </c>
      <c r="R19" s="230"/>
      <c r="T19" s="182"/>
    </row>
    <row r="20" spans="2:20" s="114" customFormat="1" ht="16.5" customHeight="1" x14ac:dyDescent="0.2">
      <c r="B20" s="1"/>
      <c r="C20" s="51" t="s">
        <v>59</v>
      </c>
      <c r="D20" s="51" t="s">
        <v>29</v>
      </c>
      <c r="E20" s="52" t="s">
        <v>60</v>
      </c>
      <c r="F20" s="53" t="s">
        <v>61</v>
      </c>
      <c r="G20" s="54" t="s">
        <v>58</v>
      </c>
      <c r="H20" s="55">
        <v>4.01</v>
      </c>
      <c r="I20" s="56">
        <v>257.77999999999997</v>
      </c>
      <c r="J20" s="55">
        <v>1033.7</v>
      </c>
      <c r="K20" s="63">
        <f t="shared" si="6"/>
        <v>-0.05</v>
      </c>
      <c r="L20" s="64">
        <f t="shared" si="0"/>
        <v>257.77999999999997</v>
      </c>
      <c r="M20" s="196">
        <f t="shared" si="1"/>
        <v>-12.888999999999999</v>
      </c>
      <c r="N20" s="66">
        <f t="shared" si="2"/>
        <v>3.96</v>
      </c>
      <c r="O20" s="67">
        <f t="shared" si="3"/>
        <v>257.77999999999997</v>
      </c>
      <c r="P20" s="197">
        <f t="shared" si="4"/>
        <v>1020.8087999999999</v>
      </c>
      <c r="Q20" s="230">
        <f t="shared" si="5"/>
        <v>4.03</v>
      </c>
      <c r="R20" s="230"/>
      <c r="T20" s="182"/>
    </row>
    <row r="21" spans="2:20" s="114" customFormat="1" ht="16.5" customHeight="1" x14ac:dyDescent="0.2">
      <c r="B21" s="1"/>
      <c r="C21" s="51" t="s">
        <v>62</v>
      </c>
      <c r="D21" s="51" t="s">
        <v>29</v>
      </c>
      <c r="E21" s="52" t="s">
        <v>63</v>
      </c>
      <c r="F21" s="53" t="s">
        <v>64</v>
      </c>
      <c r="G21" s="54" t="s">
        <v>58</v>
      </c>
      <c r="H21" s="55">
        <v>29.14</v>
      </c>
      <c r="I21" s="56">
        <v>257.77999999999997</v>
      </c>
      <c r="J21" s="55">
        <v>7511.7</v>
      </c>
      <c r="K21" s="63">
        <f t="shared" si="6"/>
        <v>-0.35</v>
      </c>
      <c r="L21" s="64">
        <f t="shared" si="0"/>
        <v>257.77999999999997</v>
      </c>
      <c r="M21" s="196">
        <f t="shared" si="1"/>
        <v>-90.222999999999985</v>
      </c>
      <c r="N21" s="66">
        <f t="shared" si="2"/>
        <v>28.79</v>
      </c>
      <c r="O21" s="67">
        <f t="shared" si="3"/>
        <v>257.77999999999997</v>
      </c>
      <c r="P21" s="197">
        <f t="shared" si="4"/>
        <v>7421.4861999999994</v>
      </c>
      <c r="Q21" s="230">
        <f t="shared" si="5"/>
        <v>29.3</v>
      </c>
      <c r="R21" s="230"/>
      <c r="T21" s="182"/>
    </row>
    <row r="22" spans="2:20" s="114" customFormat="1" ht="16.5" customHeight="1" x14ac:dyDescent="0.2">
      <c r="B22" s="1"/>
      <c r="C22" s="51" t="s">
        <v>65</v>
      </c>
      <c r="D22" s="51" t="s">
        <v>29</v>
      </c>
      <c r="E22" s="52" t="s">
        <v>66</v>
      </c>
      <c r="F22" s="53" t="s">
        <v>67</v>
      </c>
      <c r="G22" s="54" t="s">
        <v>58</v>
      </c>
      <c r="H22" s="55">
        <v>8.74</v>
      </c>
      <c r="I22" s="56">
        <v>13.15</v>
      </c>
      <c r="J22" s="55">
        <v>114.9</v>
      </c>
      <c r="K22" s="63">
        <f t="shared" si="6"/>
        <v>-0.1</v>
      </c>
      <c r="L22" s="64">
        <f t="shared" si="0"/>
        <v>13.15</v>
      </c>
      <c r="M22" s="196">
        <f t="shared" si="1"/>
        <v>-1.3150000000000002</v>
      </c>
      <c r="N22" s="66">
        <f t="shared" si="2"/>
        <v>8.64</v>
      </c>
      <c r="O22" s="67">
        <f t="shared" si="3"/>
        <v>13.15</v>
      </c>
      <c r="P22" s="197">
        <f t="shared" si="4"/>
        <v>113.61600000000001</v>
      </c>
      <c r="Q22" s="230">
        <f t="shared" si="5"/>
        <v>8.7899999999999991</v>
      </c>
      <c r="R22" s="230"/>
      <c r="T22" s="182"/>
    </row>
    <row r="23" spans="2:20" s="114" customFormat="1" ht="16.5" customHeight="1" x14ac:dyDescent="0.2">
      <c r="B23" s="1"/>
      <c r="C23" s="51" t="s">
        <v>68</v>
      </c>
      <c r="D23" s="51" t="s">
        <v>29</v>
      </c>
      <c r="E23" s="52" t="s">
        <v>69</v>
      </c>
      <c r="F23" s="53" t="s">
        <v>70</v>
      </c>
      <c r="G23" s="54" t="s">
        <v>58</v>
      </c>
      <c r="H23" s="55">
        <v>25.28</v>
      </c>
      <c r="I23" s="56">
        <v>315.64999999999998</v>
      </c>
      <c r="J23" s="55">
        <v>7979.6</v>
      </c>
      <c r="K23" s="63">
        <f t="shared" si="6"/>
        <v>-0.3</v>
      </c>
      <c r="L23" s="64">
        <f t="shared" si="0"/>
        <v>315.64999999999998</v>
      </c>
      <c r="M23" s="196">
        <f t="shared" si="1"/>
        <v>-94.694999999999993</v>
      </c>
      <c r="N23" s="66">
        <f t="shared" si="2"/>
        <v>24.98</v>
      </c>
      <c r="O23" s="67">
        <f t="shared" si="3"/>
        <v>315.64999999999998</v>
      </c>
      <c r="P23" s="197">
        <f t="shared" si="4"/>
        <v>7884.9369999999999</v>
      </c>
      <c r="Q23" s="230">
        <f t="shared" si="5"/>
        <v>25.42</v>
      </c>
      <c r="R23" s="230"/>
      <c r="T23" s="182"/>
    </row>
    <row r="24" spans="2:20" s="114" customFormat="1" ht="16.5" customHeight="1" x14ac:dyDescent="0.2">
      <c r="B24" s="1"/>
      <c r="C24" s="51" t="s">
        <v>71</v>
      </c>
      <c r="D24" s="51" t="s">
        <v>29</v>
      </c>
      <c r="E24" s="52" t="s">
        <v>72</v>
      </c>
      <c r="F24" s="53" t="s">
        <v>73</v>
      </c>
      <c r="G24" s="54" t="s">
        <v>58</v>
      </c>
      <c r="H24" s="55">
        <v>7.58</v>
      </c>
      <c r="I24" s="56">
        <v>15.78</v>
      </c>
      <c r="J24" s="55">
        <v>119.6</v>
      </c>
      <c r="K24" s="63">
        <f t="shared" si="6"/>
        <v>-0.09</v>
      </c>
      <c r="L24" s="64">
        <f t="shared" si="0"/>
        <v>15.78</v>
      </c>
      <c r="M24" s="196">
        <f t="shared" si="1"/>
        <v>-1.4201999999999999</v>
      </c>
      <c r="N24" s="66">
        <f t="shared" si="2"/>
        <v>7.49</v>
      </c>
      <c r="O24" s="67">
        <f t="shared" si="3"/>
        <v>15.78</v>
      </c>
      <c r="P24" s="197">
        <f t="shared" si="4"/>
        <v>118.1922</v>
      </c>
      <c r="Q24" s="230">
        <f t="shared" si="5"/>
        <v>7.62</v>
      </c>
      <c r="R24" s="230"/>
      <c r="T24" s="182"/>
    </row>
    <row r="25" spans="2:20" s="114" customFormat="1" ht="16.5" customHeight="1" x14ac:dyDescent="0.2">
      <c r="B25" s="1"/>
      <c r="C25" s="51" t="s">
        <v>74</v>
      </c>
      <c r="D25" s="51" t="s">
        <v>29</v>
      </c>
      <c r="E25" s="52" t="s">
        <v>75</v>
      </c>
      <c r="F25" s="53" t="s">
        <v>76</v>
      </c>
      <c r="G25" s="54" t="s">
        <v>58</v>
      </c>
      <c r="H25" s="55">
        <v>2.09</v>
      </c>
      <c r="I25" s="56">
        <v>837.79</v>
      </c>
      <c r="J25" s="55">
        <v>1751</v>
      </c>
      <c r="K25" s="63">
        <f t="shared" si="6"/>
        <v>-0.02</v>
      </c>
      <c r="L25" s="64">
        <f t="shared" si="0"/>
        <v>837.79</v>
      </c>
      <c r="M25" s="196">
        <f t="shared" si="1"/>
        <v>-16.755800000000001</v>
      </c>
      <c r="N25" s="66">
        <f t="shared" si="2"/>
        <v>2.0699999999999998</v>
      </c>
      <c r="O25" s="67">
        <f t="shared" si="3"/>
        <v>837.79</v>
      </c>
      <c r="P25" s="197">
        <f t="shared" si="4"/>
        <v>1734.2252999999998</v>
      </c>
      <c r="Q25" s="230">
        <f t="shared" si="5"/>
        <v>2.1</v>
      </c>
      <c r="R25" s="230"/>
      <c r="T25" s="182"/>
    </row>
    <row r="26" spans="2:20" s="114" customFormat="1" ht="16.5" customHeight="1" x14ac:dyDescent="0.2">
      <c r="B26" s="1"/>
      <c r="C26" s="51" t="s">
        <v>77</v>
      </c>
      <c r="D26" s="51" t="s">
        <v>29</v>
      </c>
      <c r="E26" s="52" t="s">
        <v>78</v>
      </c>
      <c r="F26" s="53" t="s">
        <v>79</v>
      </c>
      <c r="G26" s="54" t="s">
        <v>58</v>
      </c>
      <c r="H26" s="55">
        <v>23.76</v>
      </c>
      <c r="I26" s="56">
        <v>1116.6199999999999</v>
      </c>
      <c r="J26" s="55">
        <v>26530.9</v>
      </c>
      <c r="K26" s="63">
        <f t="shared" si="6"/>
        <v>-0.28000000000000003</v>
      </c>
      <c r="L26" s="64">
        <f t="shared" si="0"/>
        <v>1116.6199999999999</v>
      </c>
      <c r="M26" s="196">
        <f t="shared" si="1"/>
        <v>-312.65359999999998</v>
      </c>
      <c r="N26" s="66">
        <f t="shared" si="2"/>
        <v>23.48</v>
      </c>
      <c r="O26" s="67">
        <f t="shared" si="3"/>
        <v>1116.6199999999999</v>
      </c>
      <c r="P26" s="197">
        <f t="shared" si="4"/>
        <v>26218.237599999997</v>
      </c>
      <c r="Q26" s="230">
        <f t="shared" si="5"/>
        <v>23.89</v>
      </c>
      <c r="R26" s="230"/>
      <c r="T26" s="182"/>
    </row>
    <row r="27" spans="2:20" s="114" customFormat="1" ht="12" x14ac:dyDescent="0.2">
      <c r="B27" s="1"/>
      <c r="C27" s="51" t="s">
        <v>80</v>
      </c>
      <c r="D27" s="51" t="s">
        <v>29</v>
      </c>
      <c r="E27" s="52" t="s">
        <v>81</v>
      </c>
      <c r="F27" s="53" t="s">
        <v>82</v>
      </c>
      <c r="G27" s="54" t="s">
        <v>32</v>
      </c>
      <c r="H27" s="55">
        <v>204.17</v>
      </c>
      <c r="I27" s="56">
        <v>99.96</v>
      </c>
      <c r="J27" s="55">
        <v>20408.8</v>
      </c>
      <c r="K27" s="63">
        <f t="shared" si="6"/>
        <v>-2.44</v>
      </c>
      <c r="L27" s="64">
        <f t="shared" si="0"/>
        <v>99.96</v>
      </c>
      <c r="M27" s="196">
        <f t="shared" si="1"/>
        <v>-243.90239999999997</v>
      </c>
      <c r="N27" s="66">
        <f t="shared" si="2"/>
        <v>201.73</v>
      </c>
      <c r="O27" s="67">
        <f t="shared" si="3"/>
        <v>99.96</v>
      </c>
      <c r="P27" s="197">
        <f t="shared" si="4"/>
        <v>20164.930799999998</v>
      </c>
      <c r="Q27" s="230">
        <f t="shared" si="5"/>
        <v>205.32</v>
      </c>
      <c r="R27" s="230"/>
      <c r="S27" s="183" t="s">
        <v>530</v>
      </c>
      <c r="T27" s="182" t="s">
        <v>534</v>
      </c>
    </row>
    <row r="28" spans="2:20" s="114" customFormat="1" ht="12" x14ac:dyDescent="0.2">
      <c r="B28" s="1"/>
      <c r="C28" s="51" t="s">
        <v>1</v>
      </c>
      <c r="D28" s="51" t="s">
        <v>29</v>
      </c>
      <c r="E28" s="52" t="s">
        <v>83</v>
      </c>
      <c r="F28" s="53" t="s">
        <v>84</v>
      </c>
      <c r="G28" s="54" t="s">
        <v>32</v>
      </c>
      <c r="H28" s="55">
        <v>204.17</v>
      </c>
      <c r="I28" s="56">
        <v>149.94</v>
      </c>
      <c r="J28" s="55">
        <v>30613.200000000001</v>
      </c>
      <c r="K28" s="63">
        <f t="shared" si="6"/>
        <v>-2.44</v>
      </c>
      <c r="L28" s="64">
        <f t="shared" si="0"/>
        <v>149.94</v>
      </c>
      <c r="M28" s="196">
        <f t="shared" si="1"/>
        <v>-365.85359999999997</v>
      </c>
      <c r="N28" s="66">
        <f t="shared" si="2"/>
        <v>201.73</v>
      </c>
      <c r="O28" s="67">
        <f t="shared" si="3"/>
        <v>149.94</v>
      </c>
      <c r="P28" s="197">
        <f t="shared" si="4"/>
        <v>30247.396199999999</v>
      </c>
      <c r="Q28" s="230">
        <f t="shared" si="5"/>
        <v>205.32</v>
      </c>
      <c r="R28" s="230"/>
      <c r="S28" s="183" t="s">
        <v>530</v>
      </c>
      <c r="T28" s="182" t="s">
        <v>534</v>
      </c>
    </row>
    <row r="29" spans="2:20" s="114" customFormat="1" ht="16.5" customHeight="1" x14ac:dyDescent="0.2">
      <c r="B29" s="1"/>
      <c r="C29" s="51" t="s">
        <v>85</v>
      </c>
      <c r="D29" s="51" t="s">
        <v>29</v>
      </c>
      <c r="E29" s="52" t="s">
        <v>86</v>
      </c>
      <c r="F29" s="53" t="s">
        <v>87</v>
      </c>
      <c r="G29" s="54" t="s">
        <v>58</v>
      </c>
      <c r="H29" s="55">
        <v>130.71</v>
      </c>
      <c r="I29" s="56">
        <v>97.48</v>
      </c>
      <c r="J29" s="55">
        <v>12741.6</v>
      </c>
      <c r="K29" s="63">
        <f t="shared" si="6"/>
        <v>-1.56</v>
      </c>
      <c r="L29" s="64">
        <f t="shared" si="0"/>
        <v>97.48</v>
      </c>
      <c r="M29" s="196">
        <f t="shared" si="1"/>
        <v>-152.06880000000001</v>
      </c>
      <c r="N29" s="66">
        <f t="shared" si="2"/>
        <v>129.15</v>
      </c>
      <c r="O29" s="67">
        <f t="shared" si="3"/>
        <v>97.48</v>
      </c>
      <c r="P29" s="197">
        <f t="shared" si="4"/>
        <v>12589.542000000001</v>
      </c>
      <c r="Q29" s="230">
        <f t="shared" si="5"/>
        <v>131.44999999999999</v>
      </c>
      <c r="R29" s="230"/>
      <c r="T29" s="182"/>
    </row>
    <row r="30" spans="2:20" s="114" customFormat="1" ht="16.5" customHeight="1" x14ac:dyDescent="0.2">
      <c r="B30" s="1"/>
      <c r="C30" s="51" t="s">
        <v>88</v>
      </c>
      <c r="D30" s="51" t="s">
        <v>29</v>
      </c>
      <c r="E30" s="52" t="s">
        <v>89</v>
      </c>
      <c r="F30" s="53" t="s">
        <v>90</v>
      </c>
      <c r="G30" s="54" t="s">
        <v>58</v>
      </c>
      <c r="H30" s="55">
        <v>29.83</v>
      </c>
      <c r="I30" s="56">
        <v>247.39</v>
      </c>
      <c r="J30" s="55">
        <v>7379.6</v>
      </c>
      <c r="K30" s="63">
        <f t="shared" si="6"/>
        <v>-0.36</v>
      </c>
      <c r="L30" s="64">
        <f t="shared" si="0"/>
        <v>247.39</v>
      </c>
      <c r="M30" s="196">
        <f t="shared" si="1"/>
        <v>-89.060399999999987</v>
      </c>
      <c r="N30" s="66">
        <f t="shared" si="2"/>
        <v>29.47</v>
      </c>
      <c r="O30" s="67">
        <f t="shared" si="3"/>
        <v>247.39</v>
      </c>
      <c r="P30" s="197">
        <f t="shared" si="4"/>
        <v>7290.5832999999993</v>
      </c>
      <c r="Q30" s="230">
        <f t="shared" si="5"/>
        <v>30</v>
      </c>
      <c r="R30" s="230"/>
      <c r="T30" s="182"/>
    </row>
    <row r="31" spans="2:20" s="114" customFormat="1" ht="16.5" customHeight="1" x14ac:dyDescent="0.2">
      <c r="B31" s="1"/>
      <c r="C31" s="51" t="s">
        <v>91</v>
      </c>
      <c r="D31" s="51" t="s">
        <v>29</v>
      </c>
      <c r="E31" s="52" t="s">
        <v>92</v>
      </c>
      <c r="F31" s="53" t="s">
        <v>93</v>
      </c>
      <c r="G31" s="54" t="s">
        <v>58</v>
      </c>
      <c r="H31" s="55">
        <v>29.83</v>
      </c>
      <c r="I31" s="56">
        <v>44.72</v>
      </c>
      <c r="J31" s="55">
        <v>1334</v>
      </c>
      <c r="K31" s="63">
        <f t="shared" si="6"/>
        <v>-0.36</v>
      </c>
      <c r="L31" s="64">
        <f t="shared" si="0"/>
        <v>44.72</v>
      </c>
      <c r="M31" s="196">
        <f t="shared" si="1"/>
        <v>-16.0992</v>
      </c>
      <c r="N31" s="66">
        <f t="shared" si="2"/>
        <v>29.47</v>
      </c>
      <c r="O31" s="67">
        <f t="shared" si="3"/>
        <v>44.72</v>
      </c>
      <c r="P31" s="197">
        <f t="shared" si="4"/>
        <v>1317.8983999999998</v>
      </c>
      <c r="Q31" s="230">
        <f t="shared" si="5"/>
        <v>30</v>
      </c>
      <c r="R31" s="230"/>
      <c r="T31" s="182"/>
    </row>
    <row r="32" spans="2:20" s="114" customFormat="1" ht="16.5" customHeight="1" x14ac:dyDescent="0.2">
      <c r="B32" s="1"/>
      <c r="C32" s="51" t="s">
        <v>94</v>
      </c>
      <c r="D32" s="51" t="s">
        <v>29</v>
      </c>
      <c r="E32" s="52" t="s">
        <v>95</v>
      </c>
      <c r="F32" s="53" t="s">
        <v>96</v>
      </c>
      <c r="G32" s="54" t="s">
        <v>58</v>
      </c>
      <c r="H32" s="55">
        <v>29.83</v>
      </c>
      <c r="I32" s="56">
        <v>11.84</v>
      </c>
      <c r="J32" s="55">
        <v>353.2</v>
      </c>
      <c r="K32" s="63">
        <f t="shared" si="6"/>
        <v>-0.36</v>
      </c>
      <c r="L32" s="64">
        <f t="shared" si="0"/>
        <v>11.84</v>
      </c>
      <c r="M32" s="196">
        <f t="shared" si="1"/>
        <v>-4.2623999999999995</v>
      </c>
      <c r="N32" s="66">
        <f t="shared" si="2"/>
        <v>29.47</v>
      </c>
      <c r="O32" s="67">
        <f t="shared" si="3"/>
        <v>11.84</v>
      </c>
      <c r="P32" s="197">
        <f t="shared" si="4"/>
        <v>348.9248</v>
      </c>
      <c r="Q32" s="230">
        <f t="shared" si="5"/>
        <v>30</v>
      </c>
      <c r="R32" s="230"/>
      <c r="T32" s="182"/>
    </row>
    <row r="33" spans="2:20" s="114" customFormat="1" ht="16.5" customHeight="1" x14ac:dyDescent="0.2">
      <c r="B33" s="1"/>
      <c r="C33" s="51" t="s">
        <v>97</v>
      </c>
      <c r="D33" s="51" t="s">
        <v>29</v>
      </c>
      <c r="E33" s="52" t="s">
        <v>98</v>
      </c>
      <c r="F33" s="53" t="s">
        <v>99</v>
      </c>
      <c r="G33" s="54" t="s">
        <v>44</v>
      </c>
      <c r="H33" s="55">
        <v>59.66</v>
      </c>
      <c r="I33" s="56">
        <v>116</v>
      </c>
      <c r="J33" s="55">
        <v>6920.6</v>
      </c>
      <c r="K33" s="63">
        <f t="shared" si="6"/>
        <v>-0.71</v>
      </c>
      <c r="L33" s="64">
        <f t="shared" si="0"/>
        <v>116</v>
      </c>
      <c r="M33" s="196">
        <f t="shared" si="1"/>
        <v>-82.36</v>
      </c>
      <c r="N33" s="66">
        <f t="shared" si="2"/>
        <v>58.949999999999996</v>
      </c>
      <c r="O33" s="67">
        <f t="shared" si="3"/>
        <v>116</v>
      </c>
      <c r="P33" s="197">
        <f t="shared" si="4"/>
        <v>6838.2</v>
      </c>
      <c r="Q33" s="230">
        <f t="shared" si="5"/>
        <v>60</v>
      </c>
      <c r="R33" s="230"/>
      <c r="T33" s="182"/>
    </row>
    <row r="34" spans="2:20" s="114" customFormat="1" ht="16.5" customHeight="1" x14ac:dyDescent="0.2">
      <c r="B34" s="1"/>
      <c r="C34" s="51" t="s">
        <v>0</v>
      </c>
      <c r="D34" s="51" t="s">
        <v>29</v>
      </c>
      <c r="E34" s="52" t="s">
        <v>100</v>
      </c>
      <c r="F34" s="53" t="s">
        <v>101</v>
      </c>
      <c r="G34" s="54" t="s">
        <v>58</v>
      </c>
      <c r="H34" s="55">
        <v>50.44</v>
      </c>
      <c r="I34" s="56">
        <v>143.36000000000001</v>
      </c>
      <c r="J34" s="55">
        <v>7231.1</v>
      </c>
      <c r="K34" s="63">
        <f t="shared" si="6"/>
        <v>-0.6</v>
      </c>
      <c r="L34" s="64">
        <f t="shared" si="0"/>
        <v>143.36000000000001</v>
      </c>
      <c r="M34" s="196">
        <f t="shared" si="1"/>
        <v>-86.016000000000005</v>
      </c>
      <c r="N34" s="66">
        <f t="shared" si="2"/>
        <v>49.839999999999996</v>
      </c>
      <c r="O34" s="67">
        <f t="shared" si="3"/>
        <v>143.36000000000001</v>
      </c>
      <c r="P34" s="197">
        <f t="shared" si="4"/>
        <v>7145.0623999999998</v>
      </c>
      <c r="Q34" s="230">
        <f t="shared" si="5"/>
        <v>50.72</v>
      </c>
      <c r="R34" s="230"/>
      <c r="T34" s="182"/>
    </row>
    <row r="35" spans="2:20" s="114" customFormat="1" ht="16.5" customHeight="1" x14ac:dyDescent="0.2">
      <c r="B35" s="1"/>
      <c r="C35" s="51" t="s">
        <v>102</v>
      </c>
      <c r="D35" s="51" t="s">
        <v>29</v>
      </c>
      <c r="E35" s="52" t="s">
        <v>103</v>
      </c>
      <c r="F35" s="53" t="s">
        <v>104</v>
      </c>
      <c r="G35" s="54" t="s">
        <v>58</v>
      </c>
      <c r="H35" s="55">
        <v>23.4</v>
      </c>
      <c r="I35" s="56">
        <v>318.27999999999997</v>
      </c>
      <c r="J35" s="55">
        <v>7447.8</v>
      </c>
      <c r="K35" s="63">
        <f t="shared" si="6"/>
        <v>-0.28000000000000003</v>
      </c>
      <c r="L35" s="64">
        <f t="shared" si="0"/>
        <v>318.27999999999997</v>
      </c>
      <c r="M35" s="196">
        <f t="shared" si="1"/>
        <v>-89.118399999999994</v>
      </c>
      <c r="N35" s="66">
        <f t="shared" si="2"/>
        <v>23.119999999999997</v>
      </c>
      <c r="O35" s="67">
        <f t="shared" si="3"/>
        <v>318.27999999999997</v>
      </c>
      <c r="P35" s="197">
        <f t="shared" si="4"/>
        <v>7358.6335999999983</v>
      </c>
      <c r="Q35" s="230">
        <f t="shared" si="5"/>
        <v>23.53</v>
      </c>
      <c r="R35" s="230"/>
      <c r="T35" s="182"/>
    </row>
    <row r="36" spans="2:20" s="114" customFormat="1" ht="16.5" customHeight="1" x14ac:dyDescent="0.2">
      <c r="B36" s="1"/>
      <c r="C36" s="73" t="s">
        <v>105</v>
      </c>
      <c r="D36" s="73" t="s">
        <v>106</v>
      </c>
      <c r="E36" s="74" t="s">
        <v>107</v>
      </c>
      <c r="F36" s="75" t="s">
        <v>108</v>
      </c>
      <c r="G36" s="76" t="s">
        <v>44</v>
      </c>
      <c r="H36" s="77">
        <v>46.8</v>
      </c>
      <c r="I36" s="78">
        <v>172.71</v>
      </c>
      <c r="J36" s="77">
        <v>8082.8</v>
      </c>
      <c r="K36" s="63">
        <f t="shared" si="6"/>
        <v>-0.56000000000000005</v>
      </c>
      <c r="L36" s="64">
        <f t="shared" si="0"/>
        <v>172.71</v>
      </c>
      <c r="M36" s="196">
        <f t="shared" si="1"/>
        <v>-96.717600000000019</v>
      </c>
      <c r="N36" s="66">
        <f t="shared" si="2"/>
        <v>46.239999999999995</v>
      </c>
      <c r="O36" s="67">
        <f t="shared" si="3"/>
        <v>172.71</v>
      </c>
      <c r="P36" s="197">
        <f t="shared" si="4"/>
        <v>7986.1103999999996</v>
      </c>
      <c r="Q36" s="230">
        <f t="shared" si="5"/>
        <v>47.06</v>
      </c>
      <c r="R36" s="230"/>
      <c r="T36" s="182"/>
    </row>
    <row r="37" spans="2:20" s="114" customFormat="1" ht="16.5" customHeight="1" x14ac:dyDescent="0.2">
      <c r="B37" s="1"/>
      <c r="C37" s="51" t="s">
        <v>109</v>
      </c>
      <c r="D37" s="51" t="s">
        <v>29</v>
      </c>
      <c r="E37" s="52" t="s">
        <v>110</v>
      </c>
      <c r="F37" s="53" t="s">
        <v>111</v>
      </c>
      <c r="G37" s="54" t="s">
        <v>32</v>
      </c>
      <c r="H37" s="55">
        <v>60.53</v>
      </c>
      <c r="I37" s="56">
        <v>53.92</v>
      </c>
      <c r="J37" s="55">
        <v>3263.8</v>
      </c>
      <c r="K37" s="63">
        <f t="shared" si="6"/>
        <v>-0.72</v>
      </c>
      <c r="L37" s="64">
        <f t="shared" si="0"/>
        <v>53.92</v>
      </c>
      <c r="M37" s="196">
        <f t="shared" si="1"/>
        <v>-38.822400000000002</v>
      </c>
      <c r="N37" s="66">
        <f t="shared" si="2"/>
        <v>59.81</v>
      </c>
      <c r="O37" s="67">
        <f t="shared" si="3"/>
        <v>53.92</v>
      </c>
      <c r="P37" s="197">
        <f t="shared" si="4"/>
        <v>3224.9552000000003</v>
      </c>
      <c r="Q37" s="230">
        <f t="shared" si="5"/>
        <v>60.87</v>
      </c>
      <c r="R37" s="230"/>
      <c r="T37" s="182"/>
    </row>
    <row r="38" spans="2:20" s="160" customFormat="1" ht="22.9" customHeight="1" x14ac:dyDescent="0.2">
      <c r="B38" s="2"/>
      <c r="C38" s="198"/>
      <c r="D38" s="199" t="s">
        <v>3</v>
      </c>
      <c r="E38" s="200" t="s">
        <v>33</v>
      </c>
      <c r="F38" s="200" t="s">
        <v>112</v>
      </c>
      <c r="G38" s="198"/>
      <c r="H38" s="198"/>
      <c r="I38" s="201"/>
      <c r="J38" s="202">
        <v>5709.3</v>
      </c>
      <c r="K38" s="203"/>
      <c r="L38" s="204"/>
      <c r="M38" s="212">
        <f>SUM(M39:M40)</f>
        <v>-78.719800000000006</v>
      </c>
      <c r="N38" s="205"/>
      <c r="O38" s="206"/>
      <c r="P38" s="212">
        <f>SUM(P39:P40)</f>
        <v>5630.5272000000004</v>
      </c>
      <c r="Q38" s="230">
        <f t="shared" si="5"/>
        <v>0</v>
      </c>
      <c r="R38" s="230"/>
      <c r="S38" s="114"/>
      <c r="T38" s="182"/>
    </row>
    <row r="39" spans="2:20" s="114" customFormat="1" ht="16.5" customHeight="1" x14ac:dyDescent="0.2">
      <c r="B39" s="1"/>
      <c r="C39" s="51" t="s">
        <v>113</v>
      </c>
      <c r="D39" s="51" t="s">
        <v>29</v>
      </c>
      <c r="E39" s="52" t="s">
        <v>114</v>
      </c>
      <c r="F39" s="53" t="s">
        <v>115</v>
      </c>
      <c r="G39" s="54" t="s">
        <v>58</v>
      </c>
      <c r="H39" s="55">
        <v>5.99</v>
      </c>
      <c r="I39" s="56">
        <v>644.70000000000005</v>
      </c>
      <c r="J39" s="55">
        <v>3861.8</v>
      </c>
      <c r="K39" s="63">
        <f t="shared" si="6"/>
        <v>-7.0000000000000007E-2</v>
      </c>
      <c r="L39" s="64">
        <f t="shared" si="0"/>
        <v>644.70000000000005</v>
      </c>
      <c r="M39" s="196">
        <f t="shared" si="1"/>
        <v>-45.129000000000005</v>
      </c>
      <c r="N39" s="66">
        <f t="shared" si="2"/>
        <v>5.92</v>
      </c>
      <c r="O39" s="67">
        <f t="shared" si="3"/>
        <v>644.70000000000005</v>
      </c>
      <c r="P39" s="197">
        <f t="shared" si="4"/>
        <v>3816.6240000000003</v>
      </c>
      <c r="Q39" s="230">
        <f t="shared" si="5"/>
        <v>6.02</v>
      </c>
      <c r="R39" s="230"/>
      <c r="T39" s="182"/>
    </row>
    <row r="40" spans="2:20" s="114" customFormat="1" ht="16.5" customHeight="1" x14ac:dyDescent="0.2">
      <c r="B40" s="1"/>
      <c r="C40" s="51" t="s">
        <v>116</v>
      </c>
      <c r="D40" s="51" t="s">
        <v>29</v>
      </c>
      <c r="E40" s="52" t="s">
        <v>117</v>
      </c>
      <c r="F40" s="53" t="s">
        <v>118</v>
      </c>
      <c r="G40" s="54" t="s">
        <v>58</v>
      </c>
      <c r="H40" s="55">
        <v>0.55000000000000004</v>
      </c>
      <c r="I40" s="56">
        <v>3359.0800000000004</v>
      </c>
      <c r="J40" s="55">
        <v>1847.5</v>
      </c>
      <c r="K40" s="63">
        <f t="shared" si="6"/>
        <v>-0.01</v>
      </c>
      <c r="L40" s="64">
        <f t="shared" si="0"/>
        <v>3359.0800000000004</v>
      </c>
      <c r="M40" s="196">
        <f t="shared" si="1"/>
        <v>-33.590800000000002</v>
      </c>
      <c r="N40" s="66">
        <f t="shared" si="2"/>
        <v>0.54</v>
      </c>
      <c r="O40" s="67">
        <f t="shared" si="3"/>
        <v>3359.0800000000004</v>
      </c>
      <c r="P40" s="197">
        <f t="shared" si="4"/>
        <v>1813.9032000000004</v>
      </c>
      <c r="Q40" s="230">
        <f t="shared" si="5"/>
        <v>0.55000000000000004</v>
      </c>
      <c r="R40" s="230"/>
      <c r="T40" s="182"/>
    </row>
    <row r="41" spans="2:20" s="160" customFormat="1" ht="22.9" customHeight="1" x14ac:dyDescent="0.2">
      <c r="B41" s="2"/>
      <c r="C41" s="198"/>
      <c r="D41" s="199" t="s">
        <v>3</v>
      </c>
      <c r="E41" s="200" t="s">
        <v>34</v>
      </c>
      <c r="F41" s="200" t="s">
        <v>35</v>
      </c>
      <c r="G41" s="198"/>
      <c r="H41" s="198"/>
      <c r="I41" s="201"/>
      <c r="J41" s="202">
        <v>6693.3</v>
      </c>
      <c r="K41" s="203"/>
      <c r="L41" s="204"/>
      <c r="M41" s="212">
        <f>SUM(M42:M47)</f>
        <v>0</v>
      </c>
      <c r="N41" s="205"/>
      <c r="O41" s="206"/>
      <c r="P41" s="212">
        <f>SUM(P42:P47)</f>
        <v>6693.3212000000003</v>
      </c>
      <c r="Q41" s="230">
        <f t="shared" si="5"/>
        <v>0</v>
      </c>
      <c r="R41" s="230"/>
      <c r="S41" s="114"/>
      <c r="T41" s="182"/>
    </row>
    <row r="42" spans="2:20" s="114" customFormat="1" ht="16.5" customHeight="1" x14ac:dyDescent="0.2">
      <c r="B42" s="1"/>
      <c r="C42" s="51" t="s">
        <v>119</v>
      </c>
      <c r="D42" s="51" t="s">
        <v>29</v>
      </c>
      <c r="E42" s="52" t="s">
        <v>120</v>
      </c>
      <c r="F42" s="53" t="s">
        <v>121</v>
      </c>
      <c r="G42" s="54" t="s">
        <v>32</v>
      </c>
      <c r="H42" s="55">
        <v>4</v>
      </c>
      <c r="I42" s="56">
        <v>302.54000000000002</v>
      </c>
      <c r="J42" s="55">
        <v>1210.2</v>
      </c>
      <c r="K42" s="63">
        <v>0</v>
      </c>
      <c r="L42" s="64">
        <f t="shared" si="0"/>
        <v>302.54000000000002</v>
      </c>
      <c r="M42" s="196">
        <f t="shared" si="1"/>
        <v>0</v>
      </c>
      <c r="N42" s="66">
        <f t="shared" si="2"/>
        <v>4</v>
      </c>
      <c r="O42" s="67">
        <f t="shared" si="3"/>
        <v>302.54000000000002</v>
      </c>
      <c r="P42" s="197">
        <f t="shared" si="4"/>
        <v>1210.1600000000001</v>
      </c>
      <c r="Q42" s="230">
        <f t="shared" si="5"/>
        <v>4.0199999999999996</v>
      </c>
      <c r="R42" s="230"/>
      <c r="T42" s="182"/>
    </row>
    <row r="43" spans="2:20" s="114" customFormat="1" ht="16.5" customHeight="1" x14ac:dyDescent="0.2">
      <c r="B43" s="1"/>
      <c r="C43" s="51" t="s">
        <v>122</v>
      </c>
      <c r="D43" s="51" t="s">
        <v>29</v>
      </c>
      <c r="E43" s="52" t="s">
        <v>123</v>
      </c>
      <c r="F43" s="53" t="s">
        <v>124</v>
      </c>
      <c r="G43" s="54" t="s">
        <v>32</v>
      </c>
      <c r="H43" s="55">
        <v>0</v>
      </c>
      <c r="I43" s="56">
        <v>412.07</v>
      </c>
      <c r="J43" s="55">
        <v>0</v>
      </c>
      <c r="K43" s="63">
        <v>0</v>
      </c>
      <c r="L43" s="64">
        <f t="shared" si="0"/>
        <v>412.07</v>
      </c>
      <c r="M43" s="196">
        <f t="shared" si="1"/>
        <v>0</v>
      </c>
      <c r="N43" s="66">
        <f t="shared" si="2"/>
        <v>0</v>
      </c>
      <c r="O43" s="67">
        <f t="shared" si="3"/>
        <v>412.07</v>
      </c>
      <c r="P43" s="197">
        <f t="shared" si="4"/>
        <v>0</v>
      </c>
      <c r="Q43" s="230">
        <f t="shared" si="5"/>
        <v>0</v>
      </c>
      <c r="R43" s="230"/>
      <c r="T43" s="182"/>
    </row>
    <row r="44" spans="2:20" s="114" customFormat="1" ht="16.5" customHeight="1" x14ac:dyDescent="0.2">
      <c r="B44" s="1"/>
      <c r="C44" s="51" t="s">
        <v>125</v>
      </c>
      <c r="D44" s="51" t="s">
        <v>29</v>
      </c>
      <c r="E44" s="52" t="s">
        <v>126</v>
      </c>
      <c r="F44" s="53" t="s">
        <v>127</v>
      </c>
      <c r="G44" s="54" t="s">
        <v>32</v>
      </c>
      <c r="H44" s="55">
        <v>4</v>
      </c>
      <c r="I44" s="56">
        <v>14.18</v>
      </c>
      <c r="J44" s="55">
        <v>56.7</v>
      </c>
      <c r="K44" s="63">
        <v>0</v>
      </c>
      <c r="L44" s="64">
        <f t="shared" si="0"/>
        <v>14.18</v>
      </c>
      <c r="M44" s="196">
        <f t="shared" si="1"/>
        <v>0</v>
      </c>
      <c r="N44" s="66">
        <f t="shared" si="2"/>
        <v>4</v>
      </c>
      <c r="O44" s="67">
        <f t="shared" si="3"/>
        <v>14.18</v>
      </c>
      <c r="P44" s="197">
        <f t="shared" si="4"/>
        <v>56.72</v>
      </c>
      <c r="Q44" s="230">
        <f t="shared" si="5"/>
        <v>4.0199999999999996</v>
      </c>
      <c r="R44" s="230"/>
      <c r="T44" s="182"/>
    </row>
    <row r="45" spans="2:20" s="114" customFormat="1" ht="16.5" customHeight="1" x14ac:dyDescent="0.2">
      <c r="B45" s="1"/>
      <c r="C45" s="51" t="s">
        <v>128</v>
      </c>
      <c r="D45" s="51" t="s">
        <v>29</v>
      </c>
      <c r="E45" s="52" t="s">
        <v>36</v>
      </c>
      <c r="F45" s="53" t="s">
        <v>37</v>
      </c>
      <c r="G45" s="54" t="s">
        <v>32</v>
      </c>
      <c r="H45" s="55">
        <v>7.64</v>
      </c>
      <c r="I45" s="56">
        <v>20.62</v>
      </c>
      <c r="J45" s="55">
        <v>157.5</v>
      </c>
      <c r="K45" s="63">
        <v>0</v>
      </c>
      <c r="L45" s="64">
        <f t="shared" si="0"/>
        <v>20.62</v>
      </c>
      <c r="M45" s="196">
        <f t="shared" si="1"/>
        <v>0</v>
      </c>
      <c r="N45" s="66">
        <f t="shared" si="2"/>
        <v>7.64</v>
      </c>
      <c r="O45" s="67">
        <f t="shared" si="3"/>
        <v>20.62</v>
      </c>
      <c r="P45" s="197">
        <f t="shared" si="4"/>
        <v>157.5368</v>
      </c>
      <c r="Q45" s="230">
        <f t="shared" si="5"/>
        <v>7.68</v>
      </c>
      <c r="R45" s="230"/>
      <c r="T45" s="182"/>
    </row>
    <row r="46" spans="2:20" s="114" customFormat="1" ht="16.5" customHeight="1" x14ac:dyDescent="0.2">
      <c r="B46" s="1"/>
      <c r="C46" s="51" t="s">
        <v>129</v>
      </c>
      <c r="D46" s="51" t="s">
        <v>29</v>
      </c>
      <c r="E46" s="52" t="s">
        <v>38</v>
      </c>
      <c r="F46" s="53" t="s">
        <v>39</v>
      </c>
      <c r="G46" s="54" t="s">
        <v>32</v>
      </c>
      <c r="H46" s="55">
        <v>7.64</v>
      </c>
      <c r="I46" s="56">
        <v>396.71</v>
      </c>
      <c r="J46" s="55">
        <v>3030.9</v>
      </c>
      <c r="K46" s="63">
        <v>0</v>
      </c>
      <c r="L46" s="64">
        <f t="shared" si="0"/>
        <v>396.71</v>
      </c>
      <c r="M46" s="196">
        <f t="shared" si="1"/>
        <v>0</v>
      </c>
      <c r="N46" s="66">
        <f t="shared" si="2"/>
        <v>7.64</v>
      </c>
      <c r="O46" s="67">
        <f t="shared" si="3"/>
        <v>396.71</v>
      </c>
      <c r="P46" s="197">
        <f t="shared" si="4"/>
        <v>3030.8643999999999</v>
      </c>
      <c r="Q46" s="230">
        <f t="shared" si="5"/>
        <v>7.68</v>
      </c>
      <c r="R46" s="230"/>
      <c r="T46" s="182"/>
    </row>
    <row r="47" spans="2:20" s="114" customFormat="1" ht="16.5" customHeight="1" x14ac:dyDescent="0.2">
      <c r="B47" s="1"/>
      <c r="C47" s="51" t="s">
        <v>130</v>
      </c>
      <c r="D47" s="51" t="s">
        <v>29</v>
      </c>
      <c r="E47" s="52" t="s">
        <v>131</v>
      </c>
      <c r="F47" s="53" t="s">
        <v>132</v>
      </c>
      <c r="G47" s="54" t="s">
        <v>32</v>
      </c>
      <c r="H47" s="55">
        <v>4</v>
      </c>
      <c r="I47" s="56">
        <v>559.51</v>
      </c>
      <c r="J47" s="55">
        <v>2238</v>
      </c>
      <c r="K47" s="63">
        <v>0</v>
      </c>
      <c r="L47" s="64">
        <f t="shared" si="0"/>
        <v>559.51</v>
      </c>
      <c r="M47" s="196">
        <f t="shared" si="1"/>
        <v>0</v>
      </c>
      <c r="N47" s="66">
        <f t="shared" si="2"/>
        <v>4</v>
      </c>
      <c r="O47" s="67">
        <f t="shared" si="3"/>
        <v>559.51</v>
      </c>
      <c r="P47" s="197">
        <f t="shared" si="4"/>
        <v>2238.04</v>
      </c>
      <c r="Q47" s="230">
        <f t="shared" si="5"/>
        <v>4.0199999999999996</v>
      </c>
      <c r="R47" s="230"/>
      <c r="T47" s="182"/>
    </row>
    <row r="48" spans="2:20" s="160" customFormat="1" ht="22.9" customHeight="1" x14ac:dyDescent="0.2">
      <c r="B48" s="2"/>
      <c r="C48" s="198"/>
      <c r="D48" s="199" t="s">
        <v>3</v>
      </c>
      <c r="E48" s="200" t="s">
        <v>55</v>
      </c>
      <c r="F48" s="200" t="s">
        <v>133</v>
      </c>
      <c r="G48" s="198"/>
      <c r="H48" s="198"/>
      <c r="I48" s="201"/>
      <c r="J48" s="202">
        <v>191.29999999999998</v>
      </c>
      <c r="K48" s="203"/>
      <c r="L48" s="204"/>
      <c r="M48" s="212">
        <f>SUM(M49:M50)</f>
        <v>0</v>
      </c>
      <c r="N48" s="205"/>
      <c r="O48" s="206"/>
      <c r="P48" s="212">
        <f>SUM(P49:P50)</f>
        <v>191.28480000000002</v>
      </c>
      <c r="Q48" s="230">
        <f t="shared" si="5"/>
        <v>0</v>
      </c>
      <c r="R48" s="230"/>
      <c r="S48" s="114"/>
      <c r="T48" s="182"/>
    </row>
    <row r="49" spans="2:20" s="114" customFormat="1" ht="16.5" customHeight="1" x14ac:dyDescent="0.2">
      <c r="B49" s="1"/>
      <c r="C49" s="51" t="s">
        <v>134</v>
      </c>
      <c r="D49" s="51" t="s">
        <v>29</v>
      </c>
      <c r="E49" s="52" t="s">
        <v>135</v>
      </c>
      <c r="F49" s="53" t="s">
        <v>136</v>
      </c>
      <c r="G49" s="54" t="s">
        <v>32</v>
      </c>
      <c r="H49" s="55">
        <v>0.12</v>
      </c>
      <c r="I49" s="56">
        <v>1256.03</v>
      </c>
      <c r="J49" s="55">
        <v>150.69999999999999</v>
      </c>
      <c r="K49" s="63">
        <f t="shared" ref="K49:K50" si="7">ROUND(58.3/59*Q49-Q49,2)</f>
        <v>0</v>
      </c>
      <c r="L49" s="64">
        <f t="shared" si="0"/>
        <v>1256.03</v>
      </c>
      <c r="M49" s="196">
        <f t="shared" si="1"/>
        <v>0</v>
      </c>
      <c r="N49" s="66">
        <f t="shared" si="2"/>
        <v>0.12</v>
      </c>
      <c r="O49" s="67">
        <f t="shared" si="3"/>
        <v>1256.03</v>
      </c>
      <c r="P49" s="197">
        <f t="shared" si="4"/>
        <v>150.7236</v>
      </c>
      <c r="Q49" s="230">
        <f t="shared" si="5"/>
        <v>0.12</v>
      </c>
      <c r="R49" s="230"/>
      <c r="T49" s="182"/>
    </row>
    <row r="50" spans="2:20" s="114" customFormat="1" ht="16.5" customHeight="1" x14ac:dyDescent="0.2">
      <c r="B50" s="1"/>
      <c r="C50" s="73" t="s">
        <v>137</v>
      </c>
      <c r="D50" s="73" t="s">
        <v>106</v>
      </c>
      <c r="E50" s="74" t="s">
        <v>138</v>
      </c>
      <c r="F50" s="75" t="s">
        <v>139</v>
      </c>
      <c r="G50" s="76" t="s">
        <v>32</v>
      </c>
      <c r="H50" s="77">
        <v>0.12</v>
      </c>
      <c r="I50" s="78">
        <v>338.01</v>
      </c>
      <c r="J50" s="77">
        <v>40.6</v>
      </c>
      <c r="K50" s="63">
        <f t="shared" si="7"/>
        <v>0</v>
      </c>
      <c r="L50" s="64">
        <f t="shared" si="0"/>
        <v>338.01</v>
      </c>
      <c r="M50" s="196">
        <f t="shared" si="1"/>
        <v>0</v>
      </c>
      <c r="N50" s="66">
        <f t="shared" si="2"/>
        <v>0.12</v>
      </c>
      <c r="O50" s="67">
        <f t="shared" si="3"/>
        <v>338.01</v>
      </c>
      <c r="P50" s="197">
        <f t="shared" si="4"/>
        <v>40.561199999999999</v>
      </c>
      <c r="Q50" s="230">
        <f t="shared" si="5"/>
        <v>0.12</v>
      </c>
      <c r="R50" s="230"/>
      <c r="T50" s="182"/>
    </row>
    <row r="51" spans="2:20" s="160" customFormat="1" ht="22.9" customHeight="1" x14ac:dyDescent="0.2">
      <c r="B51" s="2"/>
      <c r="C51" s="198"/>
      <c r="D51" s="199" t="s">
        <v>3</v>
      </c>
      <c r="E51" s="200" t="s">
        <v>62</v>
      </c>
      <c r="F51" s="200" t="s">
        <v>140</v>
      </c>
      <c r="G51" s="198"/>
      <c r="H51" s="198"/>
      <c r="I51" s="201"/>
      <c r="J51" s="202">
        <v>156746.60000000003</v>
      </c>
      <c r="K51" s="203"/>
      <c r="L51" s="204"/>
      <c r="M51" s="212">
        <f>SUM(M52:M69)</f>
        <v>-1044.9529999999997</v>
      </c>
      <c r="N51" s="205"/>
      <c r="O51" s="206"/>
      <c r="P51" s="212">
        <f>SUM(P52:P69)</f>
        <v>155701.70609999998</v>
      </c>
      <c r="Q51" s="230">
        <f t="shared" si="5"/>
        <v>0</v>
      </c>
      <c r="R51" s="230"/>
      <c r="S51" s="114"/>
      <c r="T51" s="182"/>
    </row>
    <row r="52" spans="2:20" s="114" customFormat="1" ht="16.5" customHeight="1" x14ac:dyDescent="0.2">
      <c r="B52" s="1"/>
      <c r="C52" s="51" t="s">
        <v>141</v>
      </c>
      <c r="D52" s="51" t="s">
        <v>29</v>
      </c>
      <c r="E52" s="52" t="s">
        <v>142</v>
      </c>
      <c r="F52" s="53" t="s">
        <v>143</v>
      </c>
      <c r="G52" s="54" t="s">
        <v>144</v>
      </c>
      <c r="H52" s="55">
        <v>1</v>
      </c>
      <c r="I52" s="56">
        <v>4045.61</v>
      </c>
      <c r="J52" s="55">
        <v>4045.6</v>
      </c>
      <c r="K52" s="63">
        <v>0</v>
      </c>
      <c r="L52" s="64">
        <f t="shared" si="0"/>
        <v>4045.61</v>
      </c>
      <c r="M52" s="196">
        <f t="shared" si="1"/>
        <v>0</v>
      </c>
      <c r="N52" s="66">
        <f t="shared" si="2"/>
        <v>1</v>
      </c>
      <c r="O52" s="67">
        <f t="shared" si="3"/>
        <v>4045.61</v>
      </c>
      <c r="P52" s="197">
        <f t="shared" si="4"/>
        <v>4045.61</v>
      </c>
      <c r="Q52" s="230">
        <f t="shared" si="5"/>
        <v>1.01</v>
      </c>
      <c r="R52" s="230"/>
      <c r="T52" s="182"/>
    </row>
    <row r="53" spans="2:20" s="114" customFormat="1" ht="16.5" customHeight="1" x14ac:dyDescent="0.2">
      <c r="B53" s="1"/>
      <c r="C53" s="51" t="s">
        <v>145</v>
      </c>
      <c r="D53" s="51" t="s">
        <v>29</v>
      </c>
      <c r="E53" s="52" t="s">
        <v>146</v>
      </c>
      <c r="F53" s="53" t="s">
        <v>147</v>
      </c>
      <c r="G53" s="54" t="s">
        <v>54</v>
      </c>
      <c r="H53" s="55">
        <v>58.67</v>
      </c>
      <c r="I53" s="56">
        <v>220.96</v>
      </c>
      <c r="J53" s="55">
        <v>12963.7</v>
      </c>
      <c r="K53" s="63">
        <f t="shared" ref="K53:K54" si="8">ROUND(58.3/59*Q53-Q53,2)</f>
        <v>-0.7</v>
      </c>
      <c r="L53" s="64">
        <f t="shared" si="0"/>
        <v>220.96</v>
      </c>
      <c r="M53" s="196">
        <f t="shared" si="1"/>
        <v>-154.672</v>
      </c>
      <c r="N53" s="66">
        <f t="shared" si="2"/>
        <v>57.97</v>
      </c>
      <c r="O53" s="67">
        <f t="shared" si="3"/>
        <v>220.96</v>
      </c>
      <c r="P53" s="197">
        <f t="shared" si="4"/>
        <v>12809.0512</v>
      </c>
      <c r="Q53" s="230">
        <f t="shared" si="5"/>
        <v>59</v>
      </c>
      <c r="R53" s="230"/>
      <c r="T53" s="182"/>
    </row>
    <row r="54" spans="2:20" s="114" customFormat="1" ht="16.5" customHeight="1" x14ac:dyDescent="0.2">
      <c r="B54" s="1"/>
      <c r="C54" s="73" t="s">
        <v>148</v>
      </c>
      <c r="D54" s="73" t="s">
        <v>106</v>
      </c>
      <c r="E54" s="74" t="s">
        <v>149</v>
      </c>
      <c r="F54" s="75" t="s">
        <v>150</v>
      </c>
      <c r="G54" s="76" t="s">
        <v>54</v>
      </c>
      <c r="H54" s="77">
        <v>58.67</v>
      </c>
      <c r="I54" s="78">
        <v>1208.69</v>
      </c>
      <c r="J54" s="77">
        <v>70913.8</v>
      </c>
      <c r="K54" s="63">
        <f t="shared" si="8"/>
        <v>-0.7</v>
      </c>
      <c r="L54" s="64">
        <f t="shared" si="0"/>
        <v>1208.69</v>
      </c>
      <c r="M54" s="196">
        <f t="shared" si="1"/>
        <v>-846.08299999999997</v>
      </c>
      <c r="N54" s="66">
        <f t="shared" si="2"/>
        <v>57.97</v>
      </c>
      <c r="O54" s="67">
        <f t="shared" si="3"/>
        <v>1208.69</v>
      </c>
      <c r="P54" s="197">
        <f t="shared" si="4"/>
        <v>70067.759300000005</v>
      </c>
      <c r="Q54" s="230">
        <f t="shared" si="5"/>
        <v>59</v>
      </c>
      <c r="R54" s="230"/>
      <c r="T54" s="182"/>
    </row>
    <row r="55" spans="2:20" s="114" customFormat="1" ht="16.5" customHeight="1" x14ac:dyDescent="0.2">
      <c r="B55" s="1"/>
      <c r="C55" s="51" t="s">
        <v>151</v>
      </c>
      <c r="D55" s="51" t="s">
        <v>29</v>
      </c>
      <c r="E55" s="52" t="s">
        <v>152</v>
      </c>
      <c r="F55" s="53" t="s">
        <v>153</v>
      </c>
      <c r="G55" s="54" t="s">
        <v>144</v>
      </c>
      <c r="H55" s="55">
        <v>4</v>
      </c>
      <c r="I55" s="56">
        <v>255.15</v>
      </c>
      <c r="J55" s="55">
        <v>1020.6</v>
      </c>
      <c r="K55" s="63">
        <v>0</v>
      </c>
      <c r="L55" s="64">
        <f t="shared" si="0"/>
        <v>255.15</v>
      </c>
      <c r="M55" s="196">
        <f t="shared" si="1"/>
        <v>0</v>
      </c>
      <c r="N55" s="66">
        <f t="shared" si="2"/>
        <v>4</v>
      </c>
      <c r="O55" s="67">
        <f t="shared" si="3"/>
        <v>255.15</v>
      </c>
      <c r="P55" s="197">
        <f t="shared" si="4"/>
        <v>1020.6</v>
      </c>
      <c r="Q55" s="230">
        <f t="shared" si="5"/>
        <v>4.0199999999999996</v>
      </c>
      <c r="R55" s="230"/>
      <c r="T55" s="182"/>
    </row>
    <row r="56" spans="2:20" s="114" customFormat="1" ht="16.5" customHeight="1" x14ac:dyDescent="0.2">
      <c r="B56" s="1"/>
      <c r="C56" s="73" t="s">
        <v>154</v>
      </c>
      <c r="D56" s="73" t="s">
        <v>106</v>
      </c>
      <c r="E56" s="74" t="s">
        <v>155</v>
      </c>
      <c r="F56" s="75" t="s">
        <v>156</v>
      </c>
      <c r="G56" s="76" t="s">
        <v>157</v>
      </c>
      <c r="H56" s="77">
        <v>1</v>
      </c>
      <c r="I56" s="78">
        <v>2596.2399999999998</v>
      </c>
      <c r="J56" s="77">
        <v>2596.1999999999998</v>
      </c>
      <c r="K56" s="63">
        <v>0</v>
      </c>
      <c r="L56" s="64">
        <f t="shared" si="0"/>
        <v>2596.2399999999998</v>
      </c>
      <c r="M56" s="196">
        <f t="shared" si="1"/>
        <v>0</v>
      </c>
      <c r="N56" s="66">
        <f t="shared" si="2"/>
        <v>1</v>
      </c>
      <c r="O56" s="67">
        <f t="shared" si="3"/>
        <v>2596.2399999999998</v>
      </c>
      <c r="P56" s="197">
        <f t="shared" si="4"/>
        <v>2596.2399999999998</v>
      </c>
      <c r="Q56" s="230">
        <f t="shared" si="5"/>
        <v>1.01</v>
      </c>
      <c r="R56" s="230"/>
      <c r="T56" s="182"/>
    </row>
    <row r="57" spans="2:20" s="114" customFormat="1" ht="16.5" customHeight="1" x14ac:dyDescent="0.2">
      <c r="B57" s="1"/>
      <c r="C57" s="73" t="s">
        <v>158</v>
      </c>
      <c r="D57" s="73" t="s">
        <v>106</v>
      </c>
      <c r="E57" s="74" t="s">
        <v>159</v>
      </c>
      <c r="F57" s="75" t="s">
        <v>160</v>
      </c>
      <c r="G57" s="76" t="s">
        <v>161</v>
      </c>
      <c r="H57" s="77">
        <v>3</v>
      </c>
      <c r="I57" s="78">
        <v>4573.0200000000004</v>
      </c>
      <c r="J57" s="77">
        <v>13719.1</v>
      </c>
      <c r="K57" s="63">
        <v>0</v>
      </c>
      <c r="L57" s="64">
        <f t="shared" si="0"/>
        <v>4573.0200000000004</v>
      </c>
      <c r="M57" s="196">
        <f t="shared" si="1"/>
        <v>0</v>
      </c>
      <c r="N57" s="66">
        <f t="shared" si="2"/>
        <v>3</v>
      </c>
      <c r="O57" s="67">
        <f t="shared" si="3"/>
        <v>4573.0200000000004</v>
      </c>
      <c r="P57" s="197">
        <f t="shared" si="4"/>
        <v>13719.060000000001</v>
      </c>
      <c r="Q57" s="230">
        <f t="shared" si="5"/>
        <v>3.02</v>
      </c>
      <c r="R57" s="230"/>
      <c r="T57" s="182"/>
    </row>
    <row r="58" spans="2:20" s="114" customFormat="1" ht="16.5" customHeight="1" x14ac:dyDescent="0.2">
      <c r="B58" s="1"/>
      <c r="C58" s="51" t="s">
        <v>162</v>
      </c>
      <c r="D58" s="51" t="s">
        <v>29</v>
      </c>
      <c r="E58" s="52" t="s">
        <v>163</v>
      </c>
      <c r="F58" s="53" t="s">
        <v>164</v>
      </c>
      <c r="G58" s="54" t="s">
        <v>144</v>
      </c>
      <c r="H58" s="55">
        <v>2</v>
      </c>
      <c r="I58" s="56">
        <v>255.15</v>
      </c>
      <c r="J58" s="55">
        <v>510.3</v>
      </c>
      <c r="K58" s="63">
        <v>0</v>
      </c>
      <c r="L58" s="64">
        <f t="shared" si="0"/>
        <v>255.15</v>
      </c>
      <c r="M58" s="196">
        <f t="shared" si="1"/>
        <v>0</v>
      </c>
      <c r="N58" s="66">
        <f t="shared" si="2"/>
        <v>2</v>
      </c>
      <c r="O58" s="67">
        <f t="shared" si="3"/>
        <v>255.15</v>
      </c>
      <c r="P58" s="197">
        <f t="shared" si="4"/>
        <v>510.3</v>
      </c>
      <c r="Q58" s="230">
        <f t="shared" si="5"/>
        <v>2.0099999999999998</v>
      </c>
      <c r="R58" s="230"/>
      <c r="T58" s="182"/>
    </row>
    <row r="59" spans="2:20" s="114" customFormat="1" ht="16.5" customHeight="1" x14ac:dyDescent="0.2">
      <c r="B59" s="1"/>
      <c r="C59" s="73" t="s">
        <v>165</v>
      </c>
      <c r="D59" s="73" t="s">
        <v>106</v>
      </c>
      <c r="E59" s="74" t="s">
        <v>166</v>
      </c>
      <c r="F59" s="75" t="s">
        <v>167</v>
      </c>
      <c r="G59" s="76" t="s">
        <v>161</v>
      </c>
      <c r="H59" s="77">
        <v>1</v>
      </c>
      <c r="I59" s="78">
        <v>1628.24</v>
      </c>
      <c r="J59" s="77">
        <v>1628.2</v>
      </c>
      <c r="K59" s="63">
        <v>0</v>
      </c>
      <c r="L59" s="64">
        <f t="shared" si="0"/>
        <v>1628.24</v>
      </c>
      <c r="M59" s="196">
        <f t="shared" si="1"/>
        <v>0</v>
      </c>
      <c r="N59" s="66">
        <f t="shared" si="2"/>
        <v>1</v>
      </c>
      <c r="O59" s="67">
        <f t="shared" si="3"/>
        <v>1628.24</v>
      </c>
      <c r="P59" s="197">
        <f t="shared" si="4"/>
        <v>1628.24</v>
      </c>
      <c r="Q59" s="230">
        <f t="shared" si="5"/>
        <v>1.01</v>
      </c>
      <c r="R59" s="230"/>
      <c r="T59" s="182"/>
    </row>
    <row r="60" spans="2:20" s="114" customFormat="1" ht="16.5" customHeight="1" x14ac:dyDescent="0.2">
      <c r="B60" s="1"/>
      <c r="C60" s="51" t="s">
        <v>168</v>
      </c>
      <c r="D60" s="51" t="s">
        <v>29</v>
      </c>
      <c r="E60" s="52" t="s">
        <v>169</v>
      </c>
      <c r="F60" s="53" t="s">
        <v>170</v>
      </c>
      <c r="G60" s="54" t="s">
        <v>144</v>
      </c>
      <c r="H60" s="55">
        <v>1</v>
      </c>
      <c r="I60" s="56">
        <v>9184.17</v>
      </c>
      <c r="J60" s="55">
        <v>9184.2000000000007</v>
      </c>
      <c r="K60" s="63">
        <v>0</v>
      </c>
      <c r="L60" s="64">
        <f t="shared" si="0"/>
        <v>9184.17</v>
      </c>
      <c r="M60" s="196">
        <f t="shared" si="1"/>
        <v>0</v>
      </c>
      <c r="N60" s="66">
        <f t="shared" si="2"/>
        <v>1</v>
      </c>
      <c r="O60" s="67">
        <f t="shared" si="3"/>
        <v>9184.17</v>
      </c>
      <c r="P60" s="197">
        <f t="shared" si="4"/>
        <v>9184.17</v>
      </c>
      <c r="Q60" s="230">
        <f t="shared" si="5"/>
        <v>1.01</v>
      </c>
      <c r="R60" s="230"/>
      <c r="T60" s="182"/>
    </row>
    <row r="61" spans="2:20" s="114" customFormat="1" ht="16.5" customHeight="1" x14ac:dyDescent="0.2">
      <c r="B61" s="1"/>
      <c r="C61" s="51" t="s">
        <v>171</v>
      </c>
      <c r="D61" s="51" t="s">
        <v>29</v>
      </c>
      <c r="E61" s="52" t="s">
        <v>172</v>
      </c>
      <c r="F61" s="53" t="s">
        <v>173</v>
      </c>
      <c r="G61" s="54" t="s">
        <v>144</v>
      </c>
      <c r="H61" s="55">
        <v>1</v>
      </c>
      <c r="I61" s="56">
        <v>20259.650000000001</v>
      </c>
      <c r="J61" s="55">
        <v>20259.7</v>
      </c>
      <c r="K61" s="63">
        <v>0</v>
      </c>
      <c r="L61" s="64">
        <f t="shared" si="0"/>
        <v>20259.650000000001</v>
      </c>
      <c r="M61" s="196">
        <f t="shared" si="1"/>
        <v>0</v>
      </c>
      <c r="N61" s="66">
        <f t="shared" si="2"/>
        <v>1</v>
      </c>
      <c r="O61" s="67">
        <f t="shared" si="3"/>
        <v>20259.650000000001</v>
      </c>
      <c r="P61" s="197">
        <f t="shared" si="4"/>
        <v>20259.650000000001</v>
      </c>
      <c r="Q61" s="230">
        <f t="shared" si="5"/>
        <v>1.01</v>
      </c>
      <c r="R61" s="230"/>
      <c r="T61" s="182"/>
    </row>
    <row r="62" spans="2:20" s="114" customFormat="1" ht="16.5" customHeight="1" x14ac:dyDescent="0.2">
      <c r="B62" s="1"/>
      <c r="C62" s="51" t="s">
        <v>174</v>
      </c>
      <c r="D62" s="51" t="s">
        <v>29</v>
      </c>
      <c r="E62" s="52" t="s">
        <v>175</v>
      </c>
      <c r="F62" s="53" t="s">
        <v>176</v>
      </c>
      <c r="G62" s="54" t="s">
        <v>54</v>
      </c>
      <c r="H62" s="55">
        <v>58.67</v>
      </c>
      <c r="I62" s="56">
        <v>34.200000000000003</v>
      </c>
      <c r="J62" s="55">
        <v>2006.5</v>
      </c>
      <c r="K62" s="63">
        <f t="shared" ref="K62:K63" si="9">ROUND(58.3/59*Q62-Q62,2)</f>
        <v>-0.7</v>
      </c>
      <c r="L62" s="64">
        <f t="shared" si="0"/>
        <v>34.200000000000003</v>
      </c>
      <c r="M62" s="196">
        <f t="shared" si="1"/>
        <v>-23.94</v>
      </c>
      <c r="N62" s="66">
        <f t="shared" si="2"/>
        <v>57.97</v>
      </c>
      <c r="O62" s="67">
        <f t="shared" si="3"/>
        <v>34.200000000000003</v>
      </c>
      <c r="P62" s="197">
        <f t="shared" si="4"/>
        <v>1982.5740000000001</v>
      </c>
      <c r="Q62" s="230">
        <f t="shared" si="5"/>
        <v>59</v>
      </c>
      <c r="R62" s="230"/>
      <c r="T62" s="182"/>
    </row>
    <row r="63" spans="2:20" s="114" customFormat="1" ht="16.5" customHeight="1" x14ac:dyDescent="0.2">
      <c r="B63" s="1"/>
      <c r="C63" s="51" t="s">
        <v>177</v>
      </c>
      <c r="D63" s="51" t="s">
        <v>29</v>
      </c>
      <c r="E63" s="52" t="s">
        <v>178</v>
      </c>
      <c r="F63" s="53" t="s">
        <v>179</v>
      </c>
      <c r="G63" s="54" t="s">
        <v>54</v>
      </c>
      <c r="H63" s="55">
        <v>58.67</v>
      </c>
      <c r="I63" s="56">
        <v>19.73</v>
      </c>
      <c r="J63" s="55">
        <v>1157.5999999999999</v>
      </c>
      <c r="K63" s="63">
        <f t="shared" si="9"/>
        <v>-0.7</v>
      </c>
      <c r="L63" s="64">
        <f t="shared" si="0"/>
        <v>19.73</v>
      </c>
      <c r="M63" s="196">
        <f t="shared" si="1"/>
        <v>-13.811</v>
      </c>
      <c r="N63" s="66">
        <f t="shared" si="2"/>
        <v>57.97</v>
      </c>
      <c r="O63" s="67">
        <f t="shared" si="3"/>
        <v>19.73</v>
      </c>
      <c r="P63" s="197">
        <f t="shared" si="4"/>
        <v>1143.7481</v>
      </c>
      <c r="Q63" s="230">
        <f t="shared" si="5"/>
        <v>59</v>
      </c>
      <c r="R63" s="230"/>
      <c r="T63" s="182"/>
    </row>
    <row r="64" spans="2:20" s="114" customFormat="1" ht="16.5" customHeight="1" x14ac:dyDescent="0.2">
      <c r="B64" s="1"/>
      <c r="C64" s="51" t="s">
        <v>180</v>
      </c>
      <c r="D64" s="51" t="s">
        <v>29</v>
      </c>
      <c r="E64" s="52" t="s">
        <v>181</v>
      </c>
      <c r="F64" s="53" t="s">
        <v>182</v>
      </c>
      <c r="G64" s="54" t="s">
        <v>54</v>
      </c>
      <c r="H64" s="55">
        <v>58.67</v>
      </c>
      <c r="I64" s="56">
        <v>13.15</v>
      </c>
      <c r="J64" s="55">
        <v>771.5</v>
      </c>
      <c r="K64" s="63">
        <v>0</v>
      </c>
      <c r="L64" s="64">
        <f t="shared" si="0"/>
        <v>13.15</v>
      </c>
      <c r="M64" s="196">
        <f t="shared" si="1"/>
        <v>0</v>
      </c>
      <c r="N64" s="66">
        <f t="shared" si="2"/>
        <v>58.67</v>
      </c>
      <c r="O64" s="67">
        <f t="shared" si="3"/>
        <v>13.15</v>
      </c>
      <c r="P64" s="197">
        <f t="shared" si="4"/>
        <v>771.51050000000009</v>
      </c>
      <c r="Q64" s="230">
        <f t="shared" si="5"/>
        <v>59</v>
      </c>
      <c r="R64" s="230"/>
      <c r="T64" s="182"/>
    </row>
    <row r="65" spans="2:20" s="114" customFormat="1" ht="16.5" customHeight="1" x14ac:dyDescent="0.2">
      <c r="B65" s="1"/>
      <c r="C65" s="51" t="s">
        <v>183</v>
      </c>
      <c r="D65" s="51" t="s">
        <v>29</v>
      </c>
      <c r="E65" s="52" t="s">
        <v>184</v>
      </c>
      <c r="F65" s="53" t="s">
        <v>185</v>
      </c>
      <c r="G65" s="54" t="s">
        <v>186</v>
      </c>
      <c r="H65" s="55">
        <v>1</v>
      </c>
      <c r="I65" s="56">
        <v>8548.93</v>
      </c>
      <c r="J65" s="55">
        <v>8548.9</v>
      </c>
      <c r="K65" s="63">
        <v>0</v>
      </c>
      <c r="L65" s="64">
        <f t="shared" si="0"/>
        <v>8548.93</v>
      </c>
      <c r="M65" s="196">
        <f t="shared" si="1"/>
        <v>0</v>
      </c>
      <c r="N65" s="66">
        <f t="shared" si="2"/>
        <v>1</v>
      </c>
      <c r="O65" s="67">
        <f t="shared" si="3"/>
        <v>8548.93</v>
      </c>
      <c r="P65" s="197">
        <f t="shared" si="4"/>
        <v>8548.93</v>
      </c>
      <c r="Q65" s="230">
        <f t="shared" si="5"/>
        <v>1.01</v>
      </c>
      <c r="R65" s="230"/>
      <c r="T65" s="182"/>
    </row>
    <row r="66" spans="2:20" s="114" customFormat="1" ht="16.5" customHeight="1" x14ac:dyDescent="0.2">
      <c r="B66" s="1"/>
      <c r="C66" s="51" t="s">
        <v>187</v>
      </c>
      <c r="D66" s="51" t="s">
        <v>29</v>
      </c>
      <c r="E66" s="52" t="s">
        <v>188</v>
      </c>
      <c r="F66" s="53" t="s">
        <v>189</v>
      </c>
      <c r="G66" s="54" t="s">
        <v>144</v>
      </c>
      <c r="H66" s="55">
        <v>1</v>
      </c>
      <c r="I66" s="56">
        <v>1262.6099999999999</v>
      </c>
      <c r="J66" s="55">
        <v>1262.5999999999999</v>
      </c>
      <c r="K66" s="63">
        <v>0</v>
      </c>
      <c r="L66" s="64">
        <f t="shared" si="0"/>
        <v>1262.6099999999999</v>
      </c>
      <c r="M66" s="196">
        <f t="shared" si="1"/>
        <v>0</v>
      </c>
      <c r="N66" s="66">
        <f t="shared" si="2"/>
        <v>1</v>
      </c>
      <c r="O66" s="67">
        <f t="shared" si="3"/>
        <v>1262.6099999999999</v>
      </c>
      <c r="P66" s="197">
        <f t="shared" si="4"/>
        <v>1262.6099999999999</v>
      </c>
      <c r="Q66" s="230">
        <f t="shared" si="5"/>
        <v>1.01</v>
      </c>
      <c r="R66" s="230"/>
      <c r="T66" s="182"/>
    </row>
    <row r="67" spans="2:20" s="114" customFormat="1" ht="16.5" customHeight="1" x14ac:dyDescent="0.2">
      <c r="B67" s="1"/>
      <c r="C67" s="51" t="s">
        <v>190</v>
      </c>
      <c r="D67" s="51" t="s">
        <v>29</v>
      </c>
      <c r="E67" s="52" t="s">
        <v>191</v>
      </c>
      <c r="F67" s="53" t="s">
        <v>192</v>
      </c>
      <c r="G67" s="54" t="s">
        <v>144</v>
      </c>
      <c r="H67" s="55">
        <v>1</v>
      </c>
      <c r="I67" s="56">
        <v>1786.07</v>
      </c>
      <c r="J67" s="55">
        <v>1786.1</v>
      </c>
      <c r="K67" s="63">
        <v>0</v>
      </c>
      <c r="L67" s="64">
        <f t="shared" si="0"/>
        <v>1786.07</v>
      </c>
      <c r="M67" s="196">
        <f t="shared" si="1"/>
        <v>0</v>
      </c>
      <c r="N67" s="66">
        <f t="shared" si="2"/>
        <v>1</v>
      </c>
      <c r="O67" s="67">
        <f t="shared" si="3"/>
        <v>1786.07</v>
      </c>
      <c r="P67" s="197">
        <f t="shared" si="4"/>
        <v>1786.07</v>
      </c>
      <c r="Q67" s="230">
        <f t="shared" si="5"/>
        <v>1.01</v>
      </c>
      <c r="R67" s="230"/>
      <c r="T67" s="182"/>
    </row>
    <row r="68" spans="2:20" s="114" customFormat="1" ht="16.5" customHeight="1" x14ac:dyDescent="0.2">
      <c r="B68" s="1"/>
      <c r="C68" s="51" t="s">
        <v>193</v>
      </c>
      <c r="D68" s="51" t="s">
        <v>29</v>
      </c>
      <c r="E68" s="52" t="s">
        <v>194</v>
      </c>
      <c r="F68" s="53" t="s">
        <v>195</v>
      </c>
      <c r="G68" s="54" t="s">
        <v>144</v>
      </c>
      <c r="H68" s="55">
        <v>1</v>
      </c>
      <c r="I68" s="56">
        <v>3727.33</v>
      </c>
      <c r="J68" s="55">
        <v>3727.3</v>
      </c>
      <c r="K68" s="63">
        <v>0</v>
      </c>
      <c r="L68" s="64">
        <f t="shared" si="0"/>
        <v>3727.33</v>
      </c>
      <c r="M68" s="196">
        <f t="shared" si="1"/>
        <v>0</v>
      </c>
      <c r="N68" s="66">
        <f t="shared" si="2"/>
        <v>1</v>
      </c>
      <c r="O68" s="67">
        <f t="shared" si="3"/>
        <v>3727.33</v>
      </c>
      <c r="P68" s="197">
        <f t="shared" si="4"/>
        <v>3727.33</v>
      </c>
      <c r="Q68" s="230">
        <f t="shared" si="5"/>
        <v>1.01</v>
      </c>
      <c r="R68" s="230"/>
      <c r="T68" s="182"/>
    </row>
    <row r="69" spans="2:20" s="114" customFormat="1" ht="16.5" customHeight="1" x14ac:dyDescent="0.2">
      <c r="B69" s="1"/>
      <c r="C69" s="51" t="s">
        <v>196</v>
      </c>
      <c r="D69" s="51" t="s">
        <v>29</v>
      </c>
      <c r="E69" s="52" t="s">
        <v>197</v>
      </c>
      <c r="F69" s="53" t="s">
        <v>198</v>
      </c>
      <c r="G69" s="54" t="s">
        <v>54</v>
      </c>
      <c r="H69" s="55">
        <v>70</v>
      </c>
      <c r="I69" s="56">
        <v>9.2100000000000009</v>
      </c>
      <c r="J69" s="55">
        <v>644.70000000000005</v>
      </c>
      <c r="K69" s="63">
        <v>-0.7</v>
      </c>
      <c r="L69" s="64">
        <f t="shared" si="0"/>
        <v>9.2100000000000009</v>
      </c>
      <c r="M69" s="196">
        <f t="shared" si="1"/>
        <v>-6.4470000000000001</v>
      </c>
      <c r="N69" s="66">
        <f t="shared" si="2"/>
        <v>69.3</v>
      </c>
      <c r="O69" s="67">
        <f t="shared" si="3"/>
        <v>9.2100000000000009</v>
      </c>
      <c r="P69" s="197">
        <f t="shared" si="4"/>
        <v>638.25300000000004</v>
      </c>
      <c r="Q69" s="230">
        <f t="shared" si="5"/>
        <v>70.39</v>
      </c>
      <c r="R69" s="230"/>
      <c r="T69" s="182"/>
    </row>
    <row r="70" spans="2:20" s="160" customFormat="1" ht="22.9" customHeight="1" x14ac:dyDescent="0.2">
      <c r="B70" s="2"/>
      <c r="C70" s="198"/>
      <c r="D70" s="199" t="s">
        <v>3</v>
      </c>
      <c r="E70" s="200" t="s">
        <v>65</v>
      </c>
      <c r="F70" s="200" t="s">
        <v>199</v>
      </c>
      <c r="G70" s="198"/>
      <c r="H70" s="198"/>
      <c r="I70" s="201"/>
      <c r="J70" s="202">
        <v>1164.7</v>
      </c>
      <c r="K70" s="203"/>
      <c r="L70" s="204"/>
      <c r="M70" s="212">
        <f>SUM(M71:M72)</f>
        <v>0</v>
      </c>
      <c r="N70" s="205"/>
      <c r="O70" s="206"/>
      <c r="P70" s="212">
        <f>SUM(P71:P72)</f>
        <v>1164.7272000000003</v>
      </c>
      <c r="Q70" s="230">
        <f t="shared" si="5"/>
        <v>0</v>
      </c>
      <c r="R70" s="230"/>
      <c r="S70" s="114"/>
      <c r="T70" s="182"/>
    </row>
    <row r="71" spans="2:20" s="114" customFormat="1" ht="16.5" customHeight="1" x14ac:dyDescent="0.2">
      <c r="B71" s="1"/>
      <c r="C71" s="51" t="s">
        <v>200</v>
      </c>
      <c r="D71" s="51" t="s">
        <v>29</v>
      </c>
      <c r="E71" s="52" t="s">
        <v>201</v>
      </c>
      <c r="F71" s="53" t="s">
        <v>202</v>
      </c>
      <c r="G71" s="54" t="s">
        <v>54</v>
      </c>
      <c r="H71" s="55">
        <v>7.28</v>
      </c>
      <c r="I71" s="56">
        <v>87.65</v>
      </c>
      <c r="J71" s="55">
        <v>638.1</v>
      </c>
      <c r="K71" s="63">
        <v>0</v>
      </c>
      <c r="L71" s="64">
        <f t="shared" si="0"/>
        <v>87.65</v>
      </c>
      <c r="M71" s="196">
        <f t="shared" si="1"/>
        <v>0</v>
      </c>
      <c r="N71" s="66">
        <f t="shared" si="2"/>
        <v>7.28</v>
      </c>
      <c r="O71" s="67">
        <f t="shared" si="3"/>
        <v>87.65</v>
      </c>
      <c r="P71" s="197">
        <f t="shared" si="4"/>
        <v>638.0920000000001</v>
      </c>
      <c r="Q71" s="230">
        <f t="shared" si="5"/>
        <v>7.32</v>
      </c>
      <c r="R71" s="230"/>
      <c r="T71" s="182"/>
    </row>
    <row r="72" spans="2:20" s="114" customFormat="1" ht="16.5" customHeight="1" x14ac:dyDescent="0.2">
      <c r="B72" s="1"/>
      <c r="C72" s="51" t="s">
        <v>203</v>
      </c>
      <c r="D72" s="51" t="s">
        <v>29</v>
      </c>
      <c r="E72" s="52" t="s">
        <v>204</v>
      </c>
      <c r="F72" s="53" t="s">
        <v>205</v>
      </c>
      <c r="G72" s="54" t="s">
        <v>54</v>
      </c>
      <c r="H72" s="55">
        <v>7.28</v>
      </c>
      <c r="I72" s="56">
        <v>72.34</v>
      </c>
      <c r="J72" s="55">
        <v>526.6</v>
      </c>
      <c r="K72" s="63">
        <v>0</v>
      </c>
      <c r="L72" s="64">
        <f t="shared" si="0"/>
        <v>72.34</v>
      </c>
      <c r="M72" s="196">
        <f t="shared" si="1"/>
        <v>0</v>
      </c>
      <c r="N72" s="66">
        <f t="shared" si="2"/>
        <v>7.28</v>
      </c>
      <c r="O72" s="67">
        <f t="shared" si="3"/>
        <v>72.34</v>
      </c>
      <c r="P72" s="197">
        <f t="shared" si="4"/>
        <v>526.63520000000005</v>
      </c>
      <c r="Q72" s="230">
        <f t="shared" si="5"/>
        <v>7.32</v>
      </c>
      <c r="R72" s="230"/>
      <c r="T72" s="182"/>
    </row>
    <row r="73" spans="2:20" s="160" customFormat="1" ht="22.9" customHeight="1" x14ac:dyDescent="0.2">
      <c r="B73" s="2"/>
      <c r="C73" s="198"/>
      <c r="D73" s="199" t="s">
        <v>3</v>
      </c>
      <c r="E73" s="200" t="s">
        <v>40</v>
      </c>
      <c r="F73" s="200" t="s">
        <v>41</v>
      </c>
      <c r="G73" s="198"/>
      <c r="H73" s="198"/>
      <c r="I73" s="201"/>
      <c r="J73" s="202">
        <v>1484.0000000000002</v>
      </c>
      <c r="K73" s="203">
        <v>0</v>
      </c>
      <c r="L73" s="204">
        <f t="shared" si="0"/>
        <v>0</v>
      </c>
      <c r="M73" s="212">
        <f>SUM(M74:M76)</f>
        <v>-10.4734</v>
      </c>
      <c r="N73" s="205">
        <f t="shared" si="2"/>
        <v>0</v>
      </c>
      <c r="O73" s="206">
        <f t="shared" si="3"/>
        <v>0</v>
      </c>
      <c r="P73" s="212">
        <f>SUM(P74:P76)</f>
        <v>1473.6035999999997</v>
      </c>
      <c r="Q73" s="230">
        <f t="shared" si="5"/>
        <v>0</v>
      </c>
      <c r="R73" s="230"/>
      <c r="S73" s="114"/>
      <c r="T73" s="182"/>
    </row>
    <row r="74" spans="2:20" s="114" customFormat="1" ht="16.5" customHeight="1" x14ac:dyDescent="0.2">
      <c r="B74" s="1"/>
      <c r="C74" s="51" t="s">
        <v>206</v>
      </c>
      <c r="D74" s="51" t="s">
        <v>29</v>
      </c>
      <c r="E74" s="52" t="s">
        <v>42</v>
      </c>
      <c r="F74" s="53" t="s">
        <v>43</v>
      </c>
      <c r="G74" s="54" t="s">
        <v>44</v>
      </c>
      <c r="H74" s="55">
        <v>3.76</v>
      </c>
      <c r="I74" s="56">
        <v>184.5</v>
      </c>
      <c r="J74" s="55">
        <v>693.7</v>
      </c>
      <c r="K74" s="63">
        <f t="shared" ref="K74" si="10">ROUND(58.3/59*Q74-Q74,2)</f>
        <v>-0.04</v>
      </c>
      <c r="L74" s="64">
        <f t="shared" si="0"/>
        <v>184.5</v>
      </c>
      <c r="M74" s="196">
        <f t="shared" si="1"/>
        <v>-7.38</v>
      </c>
      <c r="N74" s="66">
        <f t="shared" si="2"/>
        <v>3.7199999999999998</v>
      </c>
      <c r="O74" s="67">
        <f t="shared" si="3"/>
        <v>184.5</v>
      </c>
      <c r="P74" s="197">
        <f t="shared" si="4"/>
        <v>686.33999999999992</v>
      </c>
      <c r="Q74" s="230">
        <f t="shared" si="5"/>
        <v>3.78</v>
      </c>
      <c r="R74" s="230"/>
      <c r="T74" s="182"/>
    </row>
    <row r="75" spans="2:20" s="114" customFormat="1" ht="16.5" customHeight="1" x14ac:dyDescent="0.2">
      <c r="B75" s="1"/>
      <c r="C75" s="51" t="s">
        <v>207</v>
      </c>
      <c r="D75" s="51" t="s">
        <v>29</v>
      </c>
      <c r="E75" s="52" t="s">
        <v>45</v>
      </c>
      <c r="F75" s="53" t="s">
        <v>46</v>
      </c>
      <c r="G75" s="54" t="s">
        <v>44</v>
      </c>
      <c r="H75" s="55">
        <v>2.0099999999999998</v>
      </c>
      <c r="I75" s="56">
        <v>257.77999999999997</v>
      </c>
      <c r="J75" s="55">
        <v>518.1</v>
      </c>
      <c r="K75" s="63">
        <v>0</v>
      </c>
      <c r="L75" s="64">
        <f t="shared" si="0"/>
        <v>257.77999999999997</v>
      </c>
      <c r="M75" s="196">
        <f t="shared" si="1"/>
        <v>0</v>
      </c>
      <c r="N75" s="66">
        <f t="shared" si="2"/>
        <v>2.0099999999999998</v>
      </c>
      <c r="O75" s="67">
        <f t="shared" si="3"/>
        <v>257.77999999999997</v>
      </c>
      <c r="P75" s="197">
        <f t="shared" si="4"/>
        <v>518.13779999999986</v>
      </c>
      <c r="Q75" s="230">
        <f t="shared" si="5"/>
        <v>2.02</v>
      </c>
      <c r="R75" s="230"/>
      <c r="T75" s="182"/>
    </row>
    <row r="76" spans="2:20" s="114" customFormat="1" ht="16.5" customHeight="1" x14ac:dyDescent="0.2">
      <c r="B76" s="1"/>
      <c r="C76" s="51" t="s">
        <v>208</v>
      </c>
      <c r="D76" s="51" t="s">
        <v>29</v>
      </c>
      <c r="E76" s="52" t="s">
        <v>209</v>
      </c>
      <c r="F76" s="53" t="s">
        <v>210</v>
      </c>
      <c r="G76" s="54" t="s">
        <v>44</v>
      </c>
      <c r="H76" s="55">
        <v>1.76</v>
      </c>
      <c r="I76" s="56">
        <v>154.66999999999999</v>
      </c>
      <c r="J76" s="55">
        <v>272.2</v>
      </c>
      <c r="K76" s="63">
        <f t="shared" ref="K76" si="11">ROUND(58.3/59*Q76-Q76,2)</f>
        <v>-0.02</v>
      </c>
      <c r="L76" s="64">
        <f t="shared" si="0"/>
        <v>154.66999999999999</v>
      </c>
      <c r="M76" s="196">
        <f t="shared" si="1"/>
        <v>-3.0933999999999999</v>
      </c>
      <c r="N76" s="66">
        <f t="shared" si="2"/>
        <v>1.74</v>
      </c>
      <c r="O76" s="67">
        <f t="shared" si="3"/>
        <v>154.66999999999999</v>
      </c>
      <c r="P76" s="197">
        <f t="shared" si="4"/>
        <v>269.12579999999997</v>
      </c>
      <c r="Q76" s="230">
        <f t="shared" si="5"/>
        <v>1.77</v>
      </c>
      <c r="R76" s="230"/>
      <c r="T76" s="182"/>
    </row>
    <row r="77" spans="2:20" s="160" customFormat="1" ht="22.9" customHeight="1" x14ac:dyDescent="0.2">
      <c r="B77" s="2"/>
      <c r="C77" s="198"/>
      <c r="D77" s="199" t="s">
        <v>3</v>
      </c>
      <c r="E77" s="200" t="s">
        <v>211</v>
      </c>
      <c r="F77" s="200" t="s">
        <v>212</v>
      </c>
      <c r="G77" s="198"/>
      <c r="H77" s="198"/>
      <c r="I77" s="201"/>
      <c r="J77" s="202">
        <v>7485.4</v>
      </c>
      <c r="K77" s="203"/>
      <c r="L77" s="204"/>
      <c r="M77" s="209">
        <f>M78</f>
        <v>-89.247600000000006</v>
      </c>
      <c r="N77" s="210"/>
      <c r="O77" s="211"/>
      <c r="P77" s="209">
        <f>P78</f>
        <v>7396.1088</v>
      </c>
      <c r="Q77" s="230">
        <f t="shared" si="5"/>
        <v>0</v>
      </c>
      <c r="R77" s="230"/>
      <c r="S77" s="114"/>
      <c r="T77" s="182"/>
    </row>
    <row r="78" spans="2:20" s="114" customFormat="1" ht="16.5" customHeight="1" x14ac:dyDescent="0.2">
      <c r="B78" s="1"/>
      <c r="C78" s="51" t="s">
        <v>213</v>
      </c>
      <c r="D78" s="51" t="s">
        <v>29</v>
      </c>
      <c r="E78" s="52" t="s">
        <v>214</v>
      </c>
      <c r="F78" s="53" t="s">
        <v>215</v>
      </c>
      <c r="G78" s="54" t="s">
        <v>44</v>
      </c>
      <c r="H78" s="55">
        <v>65.42</v>
      </c>
      <c r="I78" s="56">
        <v>114.42</v>
      </c>
      <c r="J78" s="55">
        <v>7485.4</v>
      </c>
      <c r="K78" s="63">
        <f t="shared" ref="K78" si="12">ROUND(58.3/59*Q78-Q78,2)</f>
        <v>-0.78</v>
      </c>
      <c r="L78" s="64">
        <f t="shared" si="0"/>
        <v>114.42</v>
      </c>
      <c r="M78" s="196">
        <f t="shared" si="1"/>
        <v>-89.247600000000006</v>
      </c>
      <c r="N78" s="66">
        <f t="shared" si="2"/>
        <v>64.64</v>
      </c>
      <c r="O78" s="67">
        <f t="shared" si="3"/>
        <v>114.42</v>
      </c>
      <c r="P78" s="197">
        <f t="shared" si="4"/>
        <v>7396.1088</v>
      </c>
      <c r="Q78" s="230">
        <f t="shared" si="5"/>
        <v>65.790000000000006</v>
      </c>
      <c r="R78" s="230"/>
      <c r="T78" s="182"/>
    </row>
    <row r="79" spans="2:20" s="160" customFormat="1" ht="25.9" customHeight="1" x14ac:dyDescent="0.2">
      <c r="B79" s="2"/>
      <c r="C79" s="198"/>
      <c r="D79" s="199" t="s">
        <v>3</v>
      </c>
      <c r="E79" s="207" t="s">
        <v>106</v>
      </c>
      <c r="F79" s="207" t="s">
        <v>216</v>
      </c>
      <c r="G79" s="198"/>
      <c r="H79" s="198"/>
      <c r="I79" s="201"/>
      <c r="J79" s="208">
        <v>3130.4</v>
      </c>
      <c r="K79" s="203"/>
      <c r="L79" s="204"/>
      <c r="M79" s="209">
        <f>M80</f>
        <v>-37.564800000000005</v>
      </c>
      <c r="N79" s="210"/>
      <c r="O79" s="211"/>
      <c r="P79" s="209">
        <f>P80</f>
        <v>3092.8352</v>
      </c>
      <c r="Q79" s="230">
        <f t="shared" si="5"/>
        <v>0</v>
      </c>
      <c r="R79" s="230"/>
      <c r="S79" s="114"/>
      <c r="T79" s="182"/>
    </row>
    <row r="80" spans="2:20" s="160" customFormat="1" ht="22.9" customHeight="1" x14ac:dyDescent="0.2">
      <c r="B80" s="2"/>
      <c r="C80" s="198"/>
      <c r="D80" s="199" t="s">
        <v>3</v>
      </c>
      <c r="E80" s="200" t="s">
        <v>217</v>
      </c>
      <c r="F80" s="200" t="s">
        <v>218</v>
      </c>
      <c r="G80" s="198"/>
      <c r="H80" s="198"/>
      <c r="I80" s="201"/>
      <c r="J80" s="202">
        <v>3130.4</v>
      </c>
      <c r="K80" s="203"/>
      <c r="L80" s="204"/>
      <c r="M80" s="209">
        <f>SUM(M81:M82)</f>
        <v>-37.564800000000005</v>
      </c>
      <c r="N80" s="210"/>
      <c r="O80" s="211"/>
      <c r="P80" s="209">
        <f>SUM(P81:P82)</f>
        <v>3092.8352</v>
      </c>
      <c r="Q80" s="230">
        <f t="shared" ref="Q80:Q82" si="13">ROUND(59/58.67*H80,2)</f>
        <v>0</v>
      </c>
      <c r="R80" s="230"/>
      <c r="S80" s="114"/>
      <c r="T80" s="182"/>
    </row>
    <row r="81" spans="2:20" s="114" customFormat="1" ht="16.5" customHeight="1" x14ac:dyDescent="0.2">
      <c r="B81" s="1"/>
      <c r="C81" s="51" t="s">
        <v>219</v>
      </c>
      <c r="D81" s="51" t="s">
        <v>29</v>
      </c>
      <c r="E81" s="52" t="s">
        <v>220</v>
      </c>
      <c r="F81" s="53" t="s">
        <v>221</v>
      </c>
      <c r="G81" s="54" t="s">
        <v>54</v>
      </c>
      <c r="H81" s="55">
        <v>70</v>
      </c>
      <c r="I81" s="56">
        <v>17.100000000000001</v>
      </c>
      <c r="J81" s="55">
        <v>1197</v>
      </c>
      <c r="K81" s="63">
        <f t="shared" ref="K81:K82" si="14">ROUND(58.3/59*Q81-Q81,2)</f>
        <v>-0.84</v>
      </c>
      <c r="L81" s="64">
        <f t="shared" ref="L81:L82" si="15">I81</f>
        <v>17.100000000000001</v>
      </c>
      <c r="M81" s="196">
        <f t="shared" ref="M81:M82" si="16">K81*L81</f>
        <v>-14.364000000000001</v>
      </c>
      <c r="N81" s="66">
        <f t="shared" ref="N81:N82" si="17">H81+K81</f>
        <v>69.16</v>
      </c>
      <c r="O81" s="67">
        <f t="shared" ref="O81:O82" si="18">I81</f>
        <v>17.100000000000001</v>
      </c>
      <c r="P81" s="197">
        <f t="shared" ref="P81:P82" si="19">N81*O81</f>
        <v>1182.636</v>
      </c>
      <c r="Q81" s="230">
        <f t="shared" si="13"/>
        <v>70.39</v>
      </c>
      <c r="R81" s="230"/>
      <c r="S81" s="252" t="s">
        <v>532</v>
      </c>
      <c r="T81" s="182" t="s">
        <v>535</v>
      </c>
    </row>
    <row r="82" spans="2:20" s="114" customFormat="1" ht="16.5" customHeight="1" x14ac:dyDescent="0.2">
      <c r="B82" s="1"/>
      <c r="C82" s="73" t="s">
        <v>223</v>
      </c>
      <c r="D82" s="73" t="s">
        <v>106</v>
      </c>
      <c r="E82" s="74" t="s">
        <v>224</v>
      </c>
      <c r="F82" s="75" t="s">
        <v>225</v>
      </c>
      <c r="G82" s="76" t="s">
        <v>54</v>
      </c>
      <c r="H82" s="77">
        <v>70</v>
      </c>
      <c r="I82" s="78">
        <v>27.62</v>
      </c>
      <c r="J82" s="77">
        <v>1933.4</v>
      </c>
      <c r="K82" s="63">
        <f t="shared" si="14"/>
        <v>-0.84</v>
      </c>
      <c r="L82" s="64">
        <f t="shared" si="15"/>
        <v>27.62</v>
      </c>
      <c r="M82" s="196">
        <f t="shared" si="16"/>
        <v>-23.200800000000001</v>
      </c>
      <c r="N82" s="66">
        <f t="shared" si="17"/>
        <v>69.16</v>
      </c>
      <c r="O82" s="67">
        <f t="shared" si="18"/>
        <v>27.62</v>
      </c>
      <c r="P82" s="197">
        <f t="shared" si="19"/>
        <v>1910.1992</v>
      </c>
      <c r="Q82" s="230">
        <f t="shared" si="13"/>
        <v>70.39</v>
      </c>
      <c r="R82" s="230"/>
      <c r="S82" s="252"/>
      <c r="T82" s="182" t="s">
        <v>535</v>
      </c>
    </row>
    <row r="83" spans="2:20" s="114" customFormat="1" ht="6.95" customHeight="1" x14ac:dyDescent="0.2">
      <c r="B83" s="1"/>
      <c r="C83" s="1"/>
      <c r="D83" s="1"/>
      <c r="E83" s="1"/>
      <c r="F83" s="1"/>
      <c r="G83" s="1"/>
      <c r="H83" s="1"/>
      <c r="I83" s="38"/>
      <c r="J83" s="1"/>
    </row>
    <row r="84" spans="2:20" ht="18" customHeight="1" x14ac:dyDescent="0.2">
      <c r="D84" s="24"/>
      <c r="E84" s="25" t="s">
        <v>524</v>
      </c>
      <c r="F84" s="26"/>
      <c r="G84" s="26"/>
      <c r="H84" s="27"/>
      <c r="I84" s="26"/>
      <c r="J84" s="28">
        <v>336199.3</v>
      </c>
      <c r="K84" s="31"/>
      <c r="L84" s="181"/>
      <c r="M84" s="181">
        <f>M79+M77+M73+M70+M51+M48+M41+M38+M14</f>
        <v>-3077.1288999999997</v>
      </c>
      <c r="N84" s="31"/>
      <c r="O84" s="181"/>
      <c r="P84" s="181">
        <f>P79+P77+P73+P70+P51+P48+P41+P38+P14</f>
        <v>333122.27980000002</v>
      </c>
    </row>
    <row r="85" spans="2:20" ht="12.75" x14ac:dyDescent="0.2">
      <c r="H85" s="32"/>
      <c r="I85" s="9"/>
      <c r="J85" s="10"/>
    </row>
    <row r="86" spans="2:20" ht="14.25" x14ac:dyDescent="0.2">
      <c r="E86" s="8" t="str">
        <f>+'Rekapitulace stavby'!$B$25</f>
        <v>Zhotovitel: Jiří Prokop</v>
      </c>
      <c r="F86" s="8"/>
      <c r="G86" s="233" t="s">
        <v>592</v>
      </c>
      <c r="H86" s="32"/>
      <c r="I86" s="9"/>
      <c r="J86" s="8"/>
      <c r="M86" s="8" t="s">
        <v>496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82" xr:uid="{176AF75A-2E79-403E-B4C4-A91C86AB85C0}"/>
  <mergeCells count="3">
    <mergeCell ref="S81:S82"/>
    <mergeCell ref="K9:M9"/>
    <mergeCell ref="N9:P9"/>
  </mergeCells>
  <conditionalFormatting sqref="G86">
    <cfRule type="cellIs" dxfId="120" priority="4" operator="lessThan">
      <formula>0</formula>
    </cfRule>
  </conditionalFormatting>
  <conditionalFormatting sqref="G86">
    <cfRule type="cellIs" dxfId="119" priority="3" operator="lessThan">
      <formula>0</formula>
    </cfRule>
  </conditionalFormatting>
  <conditionalFormatting sqref="G86">
    <cfRule type="cellIs" dxfId="118" priority="2" operator="lessThan">
      <formula>0</formula>
    </cfRule>
  </conditionalFormatting>
  <conditionalFormatting sqref="G86">
    <cfRule type="cellIs" dxfId="117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landscape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T110"/>
  <sheetViews>
    <sheetView showGridLines="0" view="pageBreakPreview" topLeftCell="A89" zoomScale="90" zoomScaleNormal="90" zoomScaleSheetLayoutView="90" workbookViewId="0">
      <selection activeCell="G110" sqref="G110:O110"/>
    </sheetView>
  </sheetViews>
  <sheetFormatPr defaultColWidth="9.33203125" defaultRowHeight="11.25" x14ac:dyDescent="0.2"/>
  <cols>
    <col min="1" max="1" width="8.33203125" style="9" customWidth="1"/>
    <col min="2" max="2" width="1.6640625" style="9" customWidth="1"/>
    <col min="3" max="3" width="4.1640625" style="9" customWidth="1"/>
    <col min="4" max="4" width="4.33203125" style="9" customWidth="1"/>
    <col min="5" max="5" width="17.1640625" style="9" customWidth="1"/>
    <col min="6" max="6" width="100.83203125" style="9" customWidth="1"/>
    <col min="7" max="7" width="8.6640625" style="9" customWidth="1"/>
    <col min="8" max="8" width="11.1640625" style="9" customWidth="1"/>
    <col min="9" max="9" width="14.1640625" style="161" customWidth="1"/>
    <col min="10" max="10" width="23.5" style="9" customWidth="1"/>
    <col min="11" max="11" width="9.33203125" style="9"/>
    <col min="12" max="12" width="18" style="9" customWidth="1"/>
    <col min="13" max="13" width="15.83203125" style="9" bestFit="1" customWidth="1"/>
    <col min="14" max="14" width="9.33203125" style="9"/>
    <col min="15" max="15" width="18.6640625" style="9" bestFit="1" customWidth="1"/>
    <col min="16" max="16" width="18.5" style="9" customWidth="1"/>
    <col min="17" max="18" width="0" style="9" hidden="1" customWidth="1"/>
    <col min="19" max="19" width="21.83203125" style="9" hidden="1" customWidth="1"/>
    <col min="20" max="20" width="18" style="9" customWidth="1"/>
    <col min="21" max="16384" width="9.33203125" style="9"/>
  </cols>
  <sheetData>
    <row r="1" spans="2:20" ht="18.75" customHeight="1" x14ac:dyDescent="0.2">
      <c r="F1" s="12"/>
      <c r="G1" s="83"/>
      <c r="H1" s="82"/>
      <c r="I1" s="9"/>
      <c r="J1" s="10"/>
    </row>
    <row r="2" spans="2:20" s="82" customFormat="1" ht="18" customHeight="1" x14ac:dyDescent="0.2">
      <c r="E2" s="14"/>
      <c r="F2" s="12" t="s">
        <v>471</v>
      </c>
      <c r="G2" s="83" t="s">
        <v>472</v>
      </c>
      <c r="I2" s="85"/>
      <c r="J2" s="135"/>
      <c r="K2" s="89"/>
      <c r="L2" s="90"/>
      <c r="M2" s="90"/>
      <c r="N2" s="91"/>
      <c r="O2" s="136"/>
    </row>
    <row r="3" spans="2:20" s="82" customFormat="1" ht="18" customHeight="1" x14ac:dyDescent="0.2">
      <c r="E3" s="14"/>
      <c r="F3" s="12" t="s">
        <v>473</v>
      </c>
      <c r="G3" s="83" t="s">
        <v>2</v>
      </c>
      <c r="H3" s="14"/>
      <c r="I3" s="85"/>
      <c r="J3" s="135"/>
      <c r="K3" s="89"/>
      <c r="L3" s="90"/>
      <c r="M3" s="90"/>
      <c r="N3" s="91"/>
      <c r="O3" s="136"/>
    </row>
    <row r="4" spans="2:20" s="14" customFormat="1" ht="18" customHeight="1" x14ac:dyDescent="0.2">
      <c r="F4" s="3" t="s">
        <v>474</v>
      </c>
      <c r="G4" s="13" t="s">
        <v>475</v>
      </c>
      <c r="I4" s="85"/>
      <c r="J4" s="137"/>
      <c r="K4" s="96"/>
      <c r="L4" s="97"/>
      <c r="M4" s="97"/>
      <c r="N4" s="98"/>
      <c r="O4" s="138"/>
    </row>
    <row r="5" spans="2:20" s="14" customFormat="1" ht="18" customHeight="1" x14ac:dyDescent="0.2">
      <c r="F5" s="3" t="s">
        <v>476</v>
      </c>
      <c r="G5" s="13" t="s">
        <v>477</v>
      </c>
      <c r="I5" s="85"/>
      <c r="J5" s="137"/>
      <c r="K5" s="96"/>
      <c r="L5" s="97"/>
      <c r="M5" s="97"/>
      <c r="N5" s="98"/>
      <c r="O5" s="138"/>
    </row>
    <row r="6" spans="2:20" s="14" customFormat="1" ht="18" customHeight="1" x14ac:dyDescent="0.2">
      <c r="F6" s="12" t="s">
        <v>478</v>
      </c>
      <c r="G6" s="13" t="s">
        <v>479</v>
      </c>
      <c r="I6" s="85"/>
      <c r="J6" s="137"/>
      <c r="K6" s="96"/>
      <c r="L6" s="97"/>
      <c r="M6" s="97"/>
      <c r="N6" s="98"/>
      <c r="O6" s="138"/>
    </row>
    <row r="7" spans="2:20" s="14" customFormat="1" ht="18" customHeight="1" x14ac:dyDescent="0.2">
      <c r="F7" s="12" t="s">
        <v>480</v>
      </c>
      <c r="G7" s="99" t="s">
        <v>481</v>
      </c>
      <c r="H7" s="139"/>
      <c r="I7" s="85"/>
      <c r="J7" s="137"/>
      <c r="K7" s="96"/>
      <c r="L7" s="97"/>
      <c r="M7" s="97"/>
      <c r="N7" s="98"/>
      <c r="O7" s="138"/>
    </row>
    <row r="8" spans="2:20" s="15" customFormat="1" ht="18" customHeight="1" x14ac:dyDescent="0.2">
      <c r="D8" s="140"/>
      <c r="F8" s="12"/>
      <c r="G8" s="99"/>
      <c r="H8" s="139"/>
      <c r="K8" s="143" t="s">
        <v>498</v>
      </c>
      <c r="L8" s="144" t="str">
        <f>+C12</f>
        <v>R2 - Vodovodní řad R2</v>
      </c>
      <c r="M8" s="144"/>
      <c r="O8" s="145"/>
    </row>
    <row r="9" spans="2:20" s="16" customFormat="1" ht="20.100000000000001" customHeight="1" x14ac:dyDescent="0.2">
      <c r="C9" s="162"/>
      <c r="D9" s="163"/>
      <c r="E9" s="163"/>
      <c r="F9" s="163"/>
      <c r="G9" s="163"/>
      <c r="H9" s="163"/>
      <c r="I9" s="164"/>
      <c r="J9" s="165"/>
      <c r="K9" s="242" t="s">
        <v>587</v>
      </c>
      <c r="L9" s="242"/>
      <c r="M9" s="243"/>
      <c r="N9" s="244" t="s">
        <v>588</v>
      </c>
      <c r="O9" s="244"/>
      <c r="P9" s="245"/>
    </row>
    <row r="10" spans="2:20" s="16" customFormat="1" ht="24" customHeight="1" x14ac:dyDescent="0.2">
      <c r="C10" s="166"/>
      <c r="D10" s="167" t="s">
        <v>516</v>
      </c>
      <c r="E10" s="167" t="s">
        <v>517</v>
      </c>
      <c r="F10" s="167" t="s">
        <v>518</v>
      </c>
      <c r="G10" s="167" t="s">
        <v>24</v>
      </c>
      <c r="H10" s="168" t="s">
        <v>25</v>
      </c>
      <c r="I10" s="169" t="s">
        <v>519</v>
      </c>
      <c r="J10" s="170" t="s">
        <v>520</v>
      </c>
      <c r="K10" s="46" t="s">
        <v>521</v>
      </c>
      <c r="L10" s="47" t="s">
        <v>584</v>
      </c>
      <c r="M10" s="47" t="s">
        <v>585</v>
      </c>
      <c r="N10" s="48" t="s">
        <v>521</v>
      </c>
      <c r="O10" s="49" t="s">
        <v>584</v>
      </c>
      <c r="P10" s="50" t="s">
        <v>586</v>
      </c>
      <c r="S10" s="184" t="s">
        <v>547</v>
      </c>
    </row>
    <row r="11" spans="2:20" s="16" customFormat="1" ht="12.75" x14ac:dyDescent="0.2">
      <c r="D11" s="17"/>
      <c r="E11" s="17"/>
      <c r="F11" s="17"/>
      <c r="G11" s="17"/>
      <c r="H11" s="18"/>
      <c r="I11" s="19"/>
      <c r="J11" s="20"/>
      <c r="K11" s="146"/>
      <c r="L11" s="147"/>
      <c r="M11" s="147"/>
      <c r="N11" s="148"/>
      <c r="O11" s="149"/>
    </row>
    <row r="12" spans="2:20" s="114" customFormat="1" ht="22.9" customHeight="1" x14ac:dyDescent="0.25">
      <c r="B12" s="1"/>
      <c r="C12" s="37" t="s">
        <v>226</v>
      </c>
      <c r="D12" s="1"/>
      <c r="E12" s="1"/>
      <c r="F12" s="1"/>
      <c r="G12" s="1"/>
      <c r="H12" s="1"/>
      <c r="I12" s="38"/>
      <c r="J12" s="39">
        <v>2876528.1</v>
      </c>
      <c r="K12" s="156" t="str">
        <f>IF(ISBLANK(H12),"",SUM(#REF!+#REF!+#REF!+#REF!+#REF!+#REF!+#REF!+#REF!+#REF!+#REF!+#REF!+#REF!+#REF!+#REF!+#REF!,#REF!,#REF!,#REF!+#REF!,#REF!,#REF!,#REF!,#REF!,#REF!))</f>
        <v/>
      </c>
      <c r="L12" s="157" t="str">
        <f>IF(ISBLANK(H12),"",SUM(#REF!+#REF!+#REF!+#REF!+#REF!+#REF!+#REF!+#REF!+#REF!+#REF!+#REF!+#REF!+#REF!+#REF!,#REF!,#REF!,#REF!,#REF!,#REF!,#REF!,#REF!,#REF!,#REF!))</f>
        <v/>
      </c>
      <c r="M12" s="157"/>
      <c r="N12" s="158" t="str">
        <f>IF(ISBLANK(H12),"",H12-K12)</f>
        <v/>
      </c>
      <c r="O12" s="159" t="str">
        <f>IF(ISBLANK(H12),"",J12-L12)</f>
        <v/>
      </c>
      <c r="S12" s="253" t="s">
        <v>548</v>
      </c>
    </row>
    <row r="13" spans="2:20" s="160" customFormat="1" ht="25.9" customHeight="1" x14ac:dyDescent="0.2">
      <c r="B13" s="2"/>
      <c r="C13" s="2"/>
      <c r="D13" s="40" t="s">
        <v>3</v>
      </c>
      <c r="E13" s="41" t="s">
        <v>26</v>
      </c>
      <c r="F13" s="41" t="s">
        <v>27</v>
      </c>
      <c r="G13" s="2"/>
      <c r="H13" s="2"/>
      <c r="I13" s="42"/>
      <c r="J13" s="43">
        <v>2863112.1</v>
      </c>
      <c r="K13" s="156" t="str">
        <f>IF(ISBLANK(H13),"",SUM(#REF!+#REF!+#REF!+#REF!+#REF!+#REF!+#REF!+#REF!+#REF!+#REF!+#REF!+#REF!+#REF!+#REF!+#REF!,#REF!,#REF!,#REF!+#REF!,#REF!,#REF!,#REF!,#REF!,#REF!))</f>
        <v/>
      </c>
      <c r="L13" s="157" t="str">
        <f>IF(ISBLANK(H13),"",SUM(#REF!+#REF!+#REF!+#REF!+#REF!+#REF!+#REF!+#REF!+#REF!+#REF!+#REF!+#REF!+#REF!+#REF!,#REF!,#REF!,#REF!,#REF!,#REF!,#REF!,#REF!,#REF!,#REF!))</f>
        <v/>
      </c>
      <c r="M13" s="157"/>
      <c r="N13" s="158" t="str">
        <f>IF(ISBLANK(H13),"",H13-K13)</f>
        <v/>
      </c>
      <c r="O13" s="159" t="str">
        <f>IF(ISBLANK(H13),"",J13-L13)</f>
        <v/>
      </c>
      <c r="S13" s="253"/>
    </row>
    <row r="14" spans="2:20" s="160" customFormat="1" ht="22.9" customHeight="1" x14ac:dyDescent="0.2">
      <c r="B14" s="2"/>
      <c r="C14" s="213"/>
      <c r="D14" s="214" t="s">
        <v>3</v>
      </c>
      <c r="E14" s="215" t="s">
        <v>6</v>
      </c>
      <c r="F14" s="215" t="s">
        <v>28</v>
      </c>
      <c r="G14" s="213"/>
      <c r="H14" s="213"/>
      <c r="I14" s="216"/>
      <c r="J14" s="217">
        <v>799095.40000000026</v>
      </c>
      <c r="K14" s="218" t="str">
        <f>IF(ISBLANK(H14),"",SUM(#REF!+#REF!+#REF!+#REF!+#REF!+#REF!+#REF!+#REF!+#REF!+#REF!+#REF!+#REF!+#REF!+#REF!+#REF!,#REF!,#REF!,#REF!+#REF!,#REF!,#REF!,#REF!,#REF!,#REF!))</f>
        <v/>
      </c>
      <c r="L14" s="219" t="str">
        <f>IF(ISBLANK(H14),"",SUM(#REF!+#REF!+#REF!+#REF!+#REF!+#REF!+#REF!+#REF!+#REF!+#REF!+#REF!+#REF!+#REF!+#REF!,#REF!,#REF!,#REF!,#REF!,#REF!,#REF!,#REF!,#REF!,#REF!))</f>
        <v/>
      </c>
      <c r="M14" s="219">
        <f>SUM(M15:M36)</f>
        <v>-7865.3461000000007</v>
      </c>
      <c r="N14" s="220" t="str">
        <f>IF(ISBLANK(H14),"",H14-K14)</f>
        <v/>
      </c>
      <c r="O14" s="219" t="str">
        <f>IF(ISBLANK(H14),"",J14-L14)</f>
        <v/>
      </c>
      <c r="P14" s="219">
        <f>SUM(P15:P36)</f>
        <v>791229.7561</v>
      </c>
      <c r="S14" s="253"/>
      <c r="T14" s="231" t="s">
        <v>589</v>
      </c>
    </row>
    <row r="15" spans="2:20" s="114" customFormat="1" ht="16.5" customHeight="1" x14ac:dyDescent="0.2">
      <c r="B15" s="1"/>
      <c r="C15" s="51" t="s">
        <v>7</v>
      </c>
      <c r="D15" s="51" t="s">
        <v>29</v>
      </c>
      <c r="E15" s="52" t="s">
        <v>48</v>
      </c>
      <c r="F15" s="53" t="s">
        <v>49</v>
      </c>
      <c r="G15" s="54" t="s">
        <v>32</v>
      </c>
      <c r="H15" s="55">
        <v>311.67</v>
      </c>
      <c r="I15" s="56">
        <v>40.770000000000003</v>
      </c>
      <c r="J15" s="55">
        <v>12706.8</v>
      </c>
      <c r="K15" s="63">
        <f>ROUND(280.3/283.4*T15-T15,2)</f>
        <v>-3.41</v>
      </c>
      <c r="L15" s="64">
        <f>I15</f>
        <v>40.770000000000003</v>
      </c>
      <c r="M15" s="196">
        <f>K15*L15</f>
        <v>-139.02570000000003</v>
      </c>
      <c r="N15" s="66">
        <f>H15+K15</f>
        <v>308.26</v>
      </c>
      <c r="O15" s="67">
        <f>I15</f>
        <v>40.770000000000003</v>
      </c>
      <c r="P15" s="197">
        <f>N15*O15</f>
        <v>12567.760200000001</v>
      </c>
      <c r="Q15" s="114">
        <f t="shared" ref="Q15:Q46" si="0">0.05*H15</f>
        <v>15.583500000000001</v>
      </c>
      <c r="R15" s="182">
        <f t="shared" ref="R15:R46" si="1">H15-Q15</f>
        <v>296.0865</v>
      </c>
      <c r="T15" s="182">
        <f>ROUND(283.4/283.34*H15,2)</f>
        <v>311.74</v>
      </c>
    </row>
    <row r="16" spans="2:20" s="114" customFormat="1" ht="16.5" customHeight="1" x14ac:dyDescent="0.2">
      <c r="B16" s="1"/>
      <c r="C16" s="51" t="s">
        <v>14</v>
      </c>
      <c r="D16" s="51" t="s">
        <v>29</v>
      </c>
      <c r="E16" s="52" t="s">
        <v>30</v>
      </c>
      <c r="F16" s="53" t="s">
        <v>31</v>
      </c>
      <c r="G16" s="54" t="s">
        <v>32</v>
      </c>
      <c r="H16" s="55">
        <v>595.01</v>
      </c>
      <c r="I16" s="56">
        <v>55.24</v>
      </c>
      <c r="J16" s="55">
        <v>32868.400000000001</v>
      </c>
      <c r="K16" s="63">
        <v>0</v>
      </c>
      <c r="L16" s="64">
        <f t="shared" ref="L16:L79" si="2">I16</f>
        <v>55.24</v>
      </c>
      <c r="M16" s="196">
        <f t="shared" ref="M16:M79" si="3">K16*L16</f>
        <v>0</v>
      </c>
      <c r="N16" s="66">
        <f t="shared" ref="N16:N79" si="4">H16+K16</f>
        <v>595.01</v>
      </c>
      <c r="O16" s="67">
        <f t="shared" ref="O16:O79" si="5">I16</f>
        <v>55.24</v>
      </c>
      <c r="P16" s="197">
        <f t="shared" ref="P16:P79" si="6">N16*O16</f>
        <v>32868.352400000003</v>
      </c>
      <c r="Q16" s="114">
        <f t="shared" si="0"/>
        <v>29.750500000000002</v>
      </c>
      <c r="R16" s="182">
        <f t="shared" si="1"/>
        <v>565.2595</v>
      </c>
      <c r="T16" s="182">
        <f t="shared" ref="T16:T79" si="7">ROUND(283.4/283.34*H16,2)</f>
        <v>595.14</v>
      </c>
    </row>
    <row r="17" spans="2:20" s="114" customFormat="1" ht="16.5" customHeight="1" x14ac:dyDescent="0.2">
      <c r="B17" s="1"/>
      <c r="C17" s="51" t="s">
        <v>33</v>
      </c>
      <c r="D17" s="51" t="s">
        <v>29</v>
      </c>
      <c r="E17" s="52" t="s">
        <v>50</v>
      </c>
      <c r="F17" s="53" t="s">
        <v>51</v>
      </c>
      <c r="G17" s="54" t="s">
        <v>32</v>
      </c>
      <c r="H17" s="55">
        <v>311.67</v>
      </c>
      <c r="I17" s="56">
        <v>151.25</v>
      </c>
      <c r="J17" s="55">
        <v>47140.1</v>
      </c>
      <c r="K17" s="63">
        <v>0</v>
      </c>
      <c r="L17" s="64">
        <f t="shared" si="2"/>
        <v>151.25</v>
      </c>
      <c r="M17" s="196">
        <f t="shared" si="3"/>
        <v>0</v>
      </c>
      <c r="N17" s="66">
        <f t="shared" si="4"/>
        <v>311.67</v>
      </c>
      <c r="O17" s="67">
        <f t="shared" si="5"/>
        <v>151.25</v>
      </c>
      <c r="P17" s="197">
        <f t="shared" si="6"/>
        <v>47140.087500000001</v>
      </c>
      <c r="Q17" s="114">
        <f t="shared" si="0"/>
        <v>15.583500000000001</v>
      </c>
      <c r="R17" s="182">
        <f t="shared" si="1"/>
        <v>296.0865</v>
      </c>
      <c r="T17" s="182">
        <f t="shared" si="7"/>
        <v>311.74</v>
      </c>
    </row>
    <row r="18" spans="2:20" s="114" customFormat="1" ht="16.5" customHeight="1" x14ac:dyDescent="0.2">
      <c r="B18" s="1"/>
      <c r="C18" s="51" t="s">
        <v>34</v>
      </c>
      <c r="D18" s="51" t="s">
        <v>29</v>
      </c>
      <c r="E18" s="52" t="s">
        <v>52</v>
      </c>
      <c r="F18" s="53" t="s">
        <v>53</v>
      </c>
      <c r="G18" s="54" t="s">
        <v>54</v>
      </c>
      <c r="H18" s="55">
        <v>12</v>
      </c>
      <c r="I18" s="56">
        <v>220.96</v>
      </c>
      <c r="J18" s="55">
        <v>2651.5</v>
      </c>
      <c r="K18" s="63">
        <f t="shared" ref="K18:K36" si="8">ROUND(280.3/283.4*T18-T18,2)</f>
        <v>-0.13</v>
      </c>
      <c r="L18" s="64">
        <f t="shared" si="2"/>
        <v>220.96</v>
      </c>
      <c r="M18" s="196">
        <f t="shared" si="3"/>
        <v>-28.724800000000002</v>
      </c>
      <c r="N18" s="66">
        <f t="shared" si="4"/>
        <v>11.87</v>
      </c>
      <c r="O18" s="67">
        <f t="shared" si="5"/>
        <v>220.96</v>
      </c>
      <c r="P18" s="197">
        <f t="shared" si="6"/>
        <v>2622.7952</v>
      </c>
      <c r="Q18" s="114">
        <f t="shared" si="0"/>
        <v>0.60000000000000009</v>
      </c>
      <c r="R18" s="182">
        <f t="shared" si="1"/>
        <v>11.4</v>
      </c>
      <c r="T18" s="182">
        <f t="shared" si="7"/>
        <v>12</v>
      </c>
    </row>
    <row r="19" spans="2:20" s="114" customFormat="1" ht="16.5" customHeight="1" x14ac:dyDescent="0.2">
      <c r="B19" s="1"/>
      <c r="C19" s="51" t="s">
        <v>55</v>
      </c>
      <c r="D19" s="51" t="s">
        <v>29</v>
      </c>
      <c r="E19" s="52" t="s">
        <v>227</v>
      </c>
      <c r="F19" s="53" t="s">
        <v>228</v>
      </c>
      <c r="G19" s="54" t="s">
        <v>54</v>
      </c>
      <c r="H19" s="55">
        <v>9.9</v>
      </c>
      <c r="I19" s="56">
        <v>147.30000000000001</v>
      </c>
      <c r="J19" s="55">
        <v>1458.3</v>
      </c>
      <c r="K19" s="63">
        <f t="shared" si="8"/>
        <v>-0.11</v>
      </c>
      <c r="L19" s="64">
        <f t="shared" si="2"/>
        <v>147.30000000000001</v>
      </c>
      <c r="M19" s="196">
        <f t="shared" si="3"/>
        <v>-16.203000000000003</v>
      </c>
      <c r="N19" s="66">
        <f t="shared" si="4"/>
        <v>9.7900000000000009</v>
      </c>
      <c r="O19" s="67">
        <f t="shared" si="5"/>
        <v>147.30000000000001</v>
      </c>
      <c r="P19" s="197">
        <f t="shared" si="6"/>
        <v>1442.0670000000002</v>
      </c>
      <c r="Q19" s="114">
        <f t="shared" si="0"/>
        <v>0.49500000000000005</v>
      </c>
      <c r="R19" s="182">
        <f t="shared" si="1"/>
        <v>9.4050000000000011</v>
      </c>
      <c r="T19" s="182">
        <f t="shared" si="7"/>
        <v>9.9</v>
      </c>
    </row>
    <row r="20" spans="2:20" s="114" customFormat="1" ht="16.5" customHeight="1" x14ac:dyDescent="0.2">
      <c r="B20" s="1"/>
      <c r="C20" s="51" t="s">
        <v>59</v>
      </c>
      <c r="D20" s="51" t="s">
        <v>29</v>
      </c>
      <c r="E20" s="52" t="s">
        <v>60</v>
      </c>
      <c r="F20" s="53" t="s">
        <v>61</v>
      </c>
      <c r="G20" s="54" t="s">
        <v>58</v>
      </c>
      <c r="H20" s="55">
        <v>8.1199999999999992</v>
      </c>
      <c r="I20" s="56">
        <v>257.77999999999997</v>
      </c>
      <c r="J20" s="55">
        <v>2093.1999999999998</v>
      </c>
      <c r="K20" s="63">
        <f t="shared" si="8"/>
        <v>-0.09</v>
      </c>
      <c r="L20" s="64">
        <f t="shared" si="2"/>
        <v>257.77999999999997</v>
      </c>
      <c r="M20" s="196">
        <f t="shared" si="3"/>
        <v>-23.200199999999995</v>
      </c>
      <c r="N20" s="66">
        <f t="shared" si="4"/>
        <v>8.0299999999999994</v>
      </c>
      <c r="O20" s="67">
        <f t="shared" si="5"/>
        <v>257.77999999999997</v>
      </c>
      <c r="P20" s="197">
        <f t="shared" si="6"/>
        <v>2069.9733999999994</v>
      </c>
      <c r="Q20" s="114">
        <f t="shared" si="0"/>
        <v>0.40599999999999997</v>
      </c>
      <c r="R20" s="182">
        <f t="shared" si="1"/>
        <v>7.7139999999999995</v>
      </c>
      <c r="T20" s="182">
        <f t="shared" si="7"/>
        <v>8.1199999999999992</v>
      </c>
    </row>
    <row r="21" spans="2:20" s="114" customFormat="1" ht="16.5" customHeight="1" x14ac:dyDescent="0.2">
      <c r="B21" s="1"/>
      <c r="C21" s="51" t="s">
        <v>62</v>
      </c>
      <c r="D21" s="51" t="s">
        <v>29</v>
      </c>
      <c r="E21" s="52" t="s">
        <v>63</v>
      </c>
      <c r="F21" s="53" t="s">
        <v>64</v>
      </c>
      <c r="G21" s="54" t="s">
        <v>58</v>
      </c>
      <c r="H21" s="55">
        <v>12.18</v>
      </c>
      <c r="I21" s="56">
        <v>257.77999999999997</v>
      </c>
      <c r="J21" s="55">
        <v>3139.8</v>
      </c>
      <c r="K21" s="63">
        <f t="shared" si="8"/>
        <v>-0.13</v>
      </c>
      <c r="L21" s="64">
        <f t="shared" si="2"/>
        <v>257.77999999999997</v>
      </c>
      <c r="M21" s="196">
        <f t="shared" si="3"/>
        <v>-33.511399999999995</v>
      </c>
      <c r="N21" s="66">
        <f t="shared" si="4"/>
        <v>12.049999999999999</v>
      </c>
      <c r="O21" s="67">
        <f t="shared" si="5"/>
        <v>257.77999999999997</v>
      </c>
      <c r="P21" s="197">
        <f t="shared" si="6"/>
        <v>3106.2489999999993</v>
      </c>
      <c r="Q21" s="114">
        <f t="shared" si="0"/>
        <v>0.60899999999999999</v>
      </c>
      <c r="R21" s="182">
        <f t="shared" si="1"/>
        <v>11.571</v>
      </c>
      <c r="T21" s="182">
        <f t="shared" si="7"/>
        <v>12.18</v>
      </c>
    </row>
    <row r="22" spans="2:20" s="114" customFormat="1" ht="16.5" customHeight="1" x14ac:dyDescent="0.2">
      <c r="B22" s="1"/>
      <c r="C22" s="51" t="s">
        <v>65</v>
      </c>
      <c r="D22" s="51" t="s">
        <v>29</v>
      </c>
      <c r="E22" s="52" t="s">
        <v>66</v>
      </c>
      <c r="F22" s="53" t="s">
        <v>67</v>
      </c>
      <c r="G22" s="54" t="s">
        <v>58</v>
      </c>
      <c r="H22" s="55">
        <v>3.65</v>
      </c>
      <c r="I22" s="56">
        <v>13.15</v>
      </c>
      <c r="J22" s="55">
        <v>48</v>
      </c>
      <c r="K22" s="63">
        <f t="shared" si="8"/>
        <v>-0.04</v>
      </c>
      <c r="L22" s="64">
        <f t="shared" si="2"/>
        <v>13.15</v>
      </c>
      <c r="M22" s="196">
        <f t="shared" si="3"/>
        <v>-0.52600000000000002</v>
      </c>
      <c r="N22" s="66">
        <f t="shared" si="4"/>
        <v>3.61</v>
      </c>
      <c r="O22" s="67">
        <f t="shared" si="5"/>
        <v>13.15</v>
      </c>
      <c r="P22" s="197">
        <f t="shared" si="6"/>
        <v>47.471499999999999</v>
      </c>
      <c r="Q22" s="114">
        <f t="shared" si="0"/>
        <v>0.1825</v>
      </c>
      <c r="R22" s="182">
        <f t="shared" si="1"/>
        <v>3.4674999999999998</v>
      </c>
      <c r="T22" s="182">
        <f t="shared" si="7"/>
        <v>3.65</v>
      </c>
    </row>
    <row r="23" spans="2:20" s="114" customFormat="1" ht="16.5" customHeight="1" x14ac:dyDescent="0.2">
      <c r="B23" s="1"/>
      <c r="C23" s="51" t="s">
        <v>68</v>
      </c>
      <c r="D23" s="51" t="s">
        <v>29</v>
      </c>
      <c r="E23" s="52" t="s">
        <v>69</v>
      </c>
      <c r="F23" s="53" t="s">
        <v>70</v>
      </c>
      <c r="G23" s="54" t="s">
        <v>58</v>
      </c>
      <c r="H23" s="55">
        <v>140.49</v>
      </c>
      <c r="I23" s="56">
        <v>315.64999999999998</v>
      </c>
      <c r="J23" s="55">
        <v>44345.7</v>
      </c>
      <c r="K23" s="63">
        <f t="shared" si="8"/>
        <v>-1.54</v>
      </c>
      <c r="L23" s="64">
        <f t="shared" si="2"/>
        <v>315.64999999999998</v>
      </c>
      <c r="M23" s="196">
        <f t="shared" si="3"/>
        <v>-486.101</v>
      </c>
      <c r="N23" s="66">
        <f t="shared" si="4"/>
        <v>138.95000000000002</v>
      </c>
      <c r="O23" s="67">
        <f t="shared" si="5"/>
        <v>315.64999999999998</v>
      </c>
      <c r="P23" s="197">
        <f t="shared" si="6"/>
        <v>43859.567500000005</v>
      </c>
      <c r="Q23" s="114">
        <f t="shared" si="0"/>
        <v>7.0245000000000006</v>
      </c>
      <c r="R23" s="182">
        <f t="shared" si="1"/>
        <v>133.46550000000002</v>
      </c>
      <c r="T23" s="182">
        <f t="shared" si="7"/>
        <v>140.52000000000001</v>
      </c>
    </row>
    <row r="24" spans="2:20" s="114" customFormat="1" ht="16.5" customHeight="1" x14ac:dyDescent="0.2">
      <c r="B24" s="1"/>
      <c r="C24" s="51" t="s">
        <v>71</v>
      </c>
      <c r="D24" s="51" t="s">
        <v>29</v>
      </c>
      <c r="E24" s="52" t="s">
        <v>72</v>
      </c>
      <c r="F24" s="53" t="s">
        <v>73</v>
      </c>
      <c r="G24" s="54" t="s">
        <v>58</v>
      </c>
      <c r="H24" s="55">
        <v>42.15</v>
      </c>
      <c r="I24" s="56">
        <v>15.78</v>
      </c>
      <c r="J24" s="55">
        <v>665.1</v>
      </c>
      <c r="K24" s="63">
        <f t="shared" si="8"/>
        <v>-0.46</v>
      </c>
      <c r="L24" s="64">
        <f t="shared" si="2"/>
        <v>15.78</v>
      </c>
      <c r="M24" s="196">
        <f t="shared" si="3"/>
        <v>-7.2587999999999999</v>
      </c>
      <c r="N24" s="66">
        <f t="shared" si="4"/>
        <v>41.69</v>
      </c>
      <c r="O24" s="67">
        <f t="shared" si="5"/>
        <v>15.78</v>
      </c>
      <c r="P24" s="197">
        <f t="shared" si="6"/>
        <v>657.86819999999989</v>
      </c>
      <c r="Q24" s="114">
        <f t="shared" si="0"/>
        <v>2.1074999999999999</v>
      </c>
      <c r="R24" s="182">
        <f t="shared" si="1"/>
        <v>40.042499999999997</v>
      </c>
      <c r="T24" s="182">
        <f t="shared" si="7"/>
        <v>42.16</v>
      </c>
    </row>
    <row r="25" spans="2:20" s="114" customFormat="1" ht="16.5" customHeight="1" x14ac:dyDescent="0.2">
      <c r="B25" s="1"/>
      <c r="C25" s="51" t="s">
        <v>74</v>
      </c>
      <c r="D25" s="51" t="s">
        <v>29</v>
      </c>
      <c r="E25" s="52" t="s">
        <v>75</v>
      </c>
      <c r="F25" s="53" t="s">
        <v>76</v>
      </c>
      <c r="G25" s="54" t="s">
        <v>58</v>
      </c>
      <c r="H25" s="55">
        <v>7.76</v>
      </c>
      <c r="I25" s="56">
        <v>837.79</v>
      </c>
      <c r="J25" s="55">
        <v>6501.3</v>
      </c>
      <c r="K25" s="63">
        <f t="shared" si="8"/>
        <v>-0.08</v>
      </c>
      <c r="L25" s="64">
        <f t="shared" si="2"/>
        <v>837.79</v>
      </c>
      <c r="M25" s="196">
        <f t="shared" si="3"/>
        <v>-67.023200000000003</v>
      </c>
      <c r="N25" s="66">
        <f t="shared" si="4"/>
        <v>7.68</v>
      </c>
      <c r="O25" s="67">
        <f t="shared" si="5"/>
        <v>837.79</v>
      </c>
      <c r="P25" s="197">
        <f t="shared" si="6"/>
        <v>6434.2271999999994</v>
      </c>
      <c r="Q25" s="114">
        <f t="shared" si="0"/>
        <v>0.38800000000000001</v>
      </c>
      <c r="R25" s="182">
        <f t="shared" si="1"/>
        <v>7.3719999999999999</v>
      </c>
      <c r="T25" s="182">
        <f t="shared" si="7"/>
        <v>7.76</v>
      </c>
    </row>
    <row r="26" spans="2:20" s="114" customFormat="1" ht="16.5" customHeight="1" x14ac:dyDescent="0.2">
      <c r="B26" s="1"/>
      <c r="C26" s="51" t="s">
        <v>77</v>
      </c>
      <c r="D26" s="51" t="s">
        <v>29</v>
      </c>
      <c r="E26" s="52" t="s">
        <v>78</v>
      </c>
      <c r="F26" s="53" t="s">
        <v>79</v>
      </c>
      <c r="G26" s="54" t="s">
        <v>58</v>
      </c>
      <c r="H26" s="55">
        <v>128.68</v>
      </c>
      <c r="I26" s="56">
        <v>1116.6199999999999</v>
      </c>
      <c r="J26" s="55">
        <v>143686.70000000001</v>
      </c>
      <c r="K26" s="63">
        <f t="shared" si="8"/>
        <v>-1.41</v>
      </c>
      <c r="L26" s="64">
        <f t="shared" si="2"/>
        <v>1116.6199999999999</v>
      </c>
      <c r="M26" s="196">
        <f t="shared" si="3"/>
        <v>-1574.4341999999997</v>
      </c>
      <c r="N26" s="66">
        <f t="shared" si="4"/>
        <v>127.27000000000001</v>
      </c>
      <c r="O26" s="67">
        <f t="shared" si="5"/>
        <v>1116.6199999999999</v>
      </c>
      <c r="P26" s="197">
        <f t="shared" si="6"/>
        <v>142112.2274</v>
      </c>
      <c r="Q26" s="114">
        <f t="shared" si="0"/>
        <v>6.4340000000000011</v>
      </c>
      <c r="R26" s="182">
        <f t="shared" si="1"/>
        <v>122.24600000000001</v>
      </c>
      <c r="T26" s="182">
        <f t="shared" si="7"/>
        <v>128.71</v>
      </c>
    </row>
    <row r="27" spans="2:20" s="114" customFormat="1" ht="16.5" customHeight="1" x14ac:dyDescent="0.2">
      <c r="B27" s="1"/>
      <c r="C27" s="51" t="s">
        <v>80</v>
      </c>
      <c r="D27" s="51" t="s">
        <v>29</v>
      </c>
      <c r="E27" s="52" t="s">
        <v>81</v>
      </c>
      <c r="F27" s="53" t="s">
        <v>82</v>
      </c>
      <c r="G27" s="54" t="s">
        <v>32</v>
      </c>
      <c r="H27" s="55">
        <v>1013.49</v>
      </c>
      <c r="I27" s="56">
        <v>99.96</v>
      </c>
      <c r="J27" s="55">
        <v>101308.5</v>
      </c>
      <c r="K27" s="63">
        <f t="shared" si="8"/>
        <v>-11.09</v>
      </c>
      <c r="L27" s="64">
        <f t="shared" si="2"/>
        <v>99.96</v>
      </c>
      <c r="M27" s="196">
        <f t="shared" si="3"/>
        <v>-1108.5563999999999</v>
      </c>
      <c r="N27" s="66">
        <f t="shared" si="4"/>
        <v>1002.4</v>
      </c>
      <c r="O27" s="67">
        <f t="shared" si="5"/>
        <v>99.96</v>
      </c>
      <c r="P27" s="197">
        <f t="shared" si="6"/>
        <v>100199.90399999999</v>
      </c>
      <c r="Q27" s="114">
        <f t="shared" si="0"/>
        <v>50.674500000000002</v>
      </c>
      <c r="R27" s="182">
        <f t="shared" si="1"/>
        <v>962.81550000000004</v>
      </c>
      <c r="T27" s="182">
        <f t="shared" si="7"/>
        <v>1013.7</v>
      </c>
    </row>
    <row r="28" spans="2:20" s="114" customFormat="1" ht="16.5" customHeight="1" x14ac:dyDescent="0.2">
      <c r="B28" s="1"/>
      <c r="C28" s="51" t="s">
        <v>1</v>
      </c>
      <c r="D28" s="51" t="s">
        <v>29</v>
      </c>
      <c r="E28" s="52" t="s">
        <v>83</v>
      </c>
      <c r="F28" s="53" t="s">
        <v>84</v>
      </c>
      <c r="G28" s="54" t="s">
        <v>32</v>
      </c>
      <c r="H28" s="55">
        <v>1013.49</v>
      </c>
      <c r="I28" s="56">
        <v>149.94</v>
      </c>
      <c r="J28" s="55">
        <v>151962.70000000001</v>
      </c>
      <c r="K28" s="63">
        <f t="shared" si="8"/>
        <v>-11.09</v>
      </c>
      <c r="L28" s="64">
        <f t="shared" si="2"/>
        <v>149.94</v>
      </c>
      <c r="M28" s="196">
        <f t="shared" si="3"/>
        <v>-1662.8345999999999</v>
      </c>
      <c r="N28" s="66">
        <f t="shared" si="4"/>
        <v>1002.4</v>
      </c>
      <c r="O28" s="67">
        <f t="shared" si="5"/>
        <v>149.94</v>
      </c>
      <c r="P28" s="197">
        <f t="shared" si="6"/>
        <v>150299.856</v>
      </c>
      <c r="Q28" s="114">
        <f t="shared" si="0"/>
        <v>50.674500000000002</v>
      </c>
      <c r="R28" s="182">
        <f t="shared" si="1"/>
        <v>962.81550000000004</v>
      </c>
      <c r="T28" s="182">
        <f t="shared" si="7"/>
        <v>1013.7</v>
      </c>
    </row>
    <row r="29" spans="2:20" s="114" customFormat="1" ht="16.5" customHeight="1" x14ac:dyDescent="0.2">
      <c r="B29" s="1"/>
      <c r="C29" s="51" t="s">
        <v>85</v>
      </c>
      <c r="D29" s="51" t="s">
        <v>29</v>
      </c>
      <c r="E29" s="52" t="s">
        <v>86</v>
      </c>
      <c r="F29" s="53" t="s">
        <v>87</v>
      </c>
      <c r="G29" s="54" t="s">
        <v>58</v>
      </c>
      <c r="H29" s="55">
        <v>547.64</v>
      </c>
      <c r="I29" s="56">
        <v>101.34</v>
      </c>
      <c r="J29" s="55">
        <v>55497.8</v>
      </c>
      <c r="K29" s="63">
        <f t="shared" si="8"/>
        <v>-5.99</v>
      </c>
      <c r="L29" s="64">
        <f t="shared" si="2"/>
        <v>101.34</v>
      </c>
      <c r="M29" s="196">
        <f t="shared" si="3"/>
        <v>-607.02660000000003</v>
      </c>
      <c r="N29" s="66">
        <f t="shared" si="4"/>
        <v>541.65</v>
      </c>
      <c r="O29" s="67">
        <f t="shared" si="5"/>
        <v>101.34</v>
      </c>
      <c r="P29" s="197">
        <f t="shared" si="6"/>
        <v>54890.811000000002</v>
      </c>
      <c r="Q29" s="114">
        <f t="shared" si="0"/>
        <v>27.382000000000001</v>
      </c>
      <c r="R29" s="182">
        <f t="shared" si="1"/>
        <v>520.25800000000004</v>
      </c>
      <c r="T29" s="182">
        <f t="shared" si="7"/>
        <v>547.76</v>
      </c>
    </row>
    <row r="30" spans="2:20" s="114" customFormat="1" ht="16.5" customHeight="1" x14ac:dyDescent="0.2">
      <c r="B30" s="1"/>
      <c r="C30" s="51" t="s">
        <v>88</v>
      </c>
      <c r="D30" s="51" t="s">
        <v>29</v>
      </c>
      <c r="E30" s="52" t="s">
        <v>89</v>
      </c>
      <c r="F30" s="53" t="s">
        <v>90</v>
      </c>
      <c r="G30" s="54" t="s">
        <v>58</v>
      </c>
      <c r="H30" s="55">
        <v>147.58000000000001</v>
      </c>
      <c r="I30" s="56">
        <v>247.39</v>
      </c>
      <c r="J30" s="55">
        <v>36509.800000000003</v>
      </c>
      <c r="K30" s="63">
        <f t="shared" si="8"/>
        <v>-1.61</v>
      </c>
      <c r="L30" s="64">
        <f t="shared" si="2"/>
        <v>247.39</v>
      </c>
      <c r="M30" s="196">
        <f t="shared" si="3"/>
        <v>-398.29790000000003</v>
      </c>
      <c r="N30" s="66">
        <f t="shared" si="4"/>
        <v>145.97</v>
      </c>
      <c r="O30" s="67">
        <f t="shared" si="5"/>
        <v>247.39</v>
      </c>
      <c r="P30" s="197">
        <f t="shared" si="6"/>
        <v>36111.518299999996</v>
      </c>
      <c r="Q30" s="114">
        <f t="shared" si="0"/>
        <v>7.3790000000000013</v>
      </c>
      <c r="R30" s="182">
        <f t="shared" si="1"/>
        <v>140.20100000000002</v>
      </c>
      <c r="T30" s="182">
        <f t="shared" si="7"/>
        <v>147.61000000000001</v>
      </c>
    </row>
    <row r="31" spans="2:20" s="114" customFormat="1" ht="16.5" customHeight="1" x14ac:dyDescent="0.2">
      <c r="B31" s="1"/>
      <c r="C31" s="51" t="s">
        <v>91</v>
      </c>
      <c r="D31" s="51" t="s">
        <v>29</v>
      </c>
      <c r="E31" s="52" t="s">
        <v>92</v>
      </c>
      <c r="F31" s="53" t="s">
        <v>93</v>
      </c>
      <c r="G31" s="54" t="s">
        <v>58</v>
      </c>
      <c r="H31" s="55">
        <v>147.58000000000001</v>
      </c>
      <c r="I31" s="56">
        <v>44.72</v>
      </c>
      <c r="J31" s="55">
        <v>6599.8</v>
      </c>
      <c r="K31" s="63">
        <f t="shared" si="8"/>
        <v>-1.61</v>
      </c>
      <c r="L31" s="64">
        <f t="shared" si="2"/>
        <v>44.72</v>
      </c>
      <c r="M31" s="196">
        <f t="shared" si="3"/>
        <v>-71.999200000000002</v>
      </c>
      <c r="N31" s="66">
        <f t="shared" si="4"/>
        <v>145.97</v>
      </c>
      <c r="O31" s="67">
        <f t="shared" si="5"/>
        <v>44.72</v>
      </c>
      <c r="P31" s="197">
        <f t="shared" si="6"/>
        <v>6527.7784000000001</v>
      </c>
      <c r="Q31" s="114">
        <f t="shared" si="0"/>
        <v>7.3790000000000013</v>
      </c>
      <c r="R31" s="182">
        <f t="shared" si="1"/>
        <v>140.20100000000002</v>
      </c>
      <c r="S31" s="254" t="s">
        <v>552</v>
      </c>
      <c r="T31" s="182">
        <f t="shared" si="7"/>
        <v>147.61000000000001</v>
      </c>
    </row>
    <row r="32" spans="2:20" s="114" customFormat="1" ht="16.5" customHeight="1" x14ac:dyDescent="0.2">
      <c r="B32" s="1"/>
      <c r="C32" s="51" t="s">
        <v>94</v>
      </c>
      <c r="D32" s="51" t="s">
        <v>29</v>
      </c>
      <c r="E32" s="52" t="s">
        <v>95</v>
      </c>
      <c r="F32" s="53" t="s">
        <v>96</v>
      </c>
      <c r="G32" s="54" t="s">
        <v>58</v>
      </c>
      <c r="H32" s="55">
        <v>147.58000000000001</v>
      </c>
      <c r="I32" s="56">
        <v>11.84</v>
      </c>
      <c r="J32" s="55">
        <v>1747.3</v>
      </c>
      <c r="K32" s="63">
        <f t="shared" si="8"/>
        <v>-1.61</v>
      </c>
      <c r="L32" s="64">
        <f t="shared" si="2"/>
        <v>11.84</v>
      </c>
      <c r="M32" s="196">
        <f t="shared" si="3"/>
        <v>-19.0624</v>
      </c>
      <c r="N32" s="66">
        <f t="shared" si="4"/>
        <v>145.97</v>
      </c>
      <c r="O32" s="67">
        <f t="shared" si="5"/>
        <v>11.84</v>
      </c>
      <c r="P32" s="197">
        <f t="shared" si="6"/>
        <v>1728.2847999999999</v>
      </c>
      <c r="Q32" s="114">
        <f t="shared" si="0"/>
        <v>7.3790000000000013</v>
      </c>
      <c r="R32" s="182">
        <f t="shared" si="1"/>
        <v>140.20100000000002</v>
      </c>
      <c r="S32" s="254"/>
      <c r="T32" s="182">
        <f t="shared" si="7"/>
        <v>147.61000000000001</v>
      </c>
    </row>
    <row r="33" spans="2:20" s="114" customFormat="1" ht="16.5" customHeight="1" x14ac:dyDescent="0.2">
      <c r="B33" s="1"/>
      <c r="C33" s="51" t="s">
        <v>97</v>
      </c>
      <c r="D33" s="51" t="s">
        <v>29</v>
      </c>
      <c r="E33" s="52" t="s">
        <v>98</v>
      </c>
      <c r="F33" s="53" t="s">
        <v>99</v>
      </c>
      <c r="G33" s="54" t="s">
        <v>44</v>
      </c>
      <c r="H33" s="55">
        <v>295.16000000000003</v>
      </c>
      <c r="I33" s="56">
        <v>116</v>
      </c>
      <c r="J33" s="55">
        <v>34238.6</v>
      </c>
      <c r="K33" s="63">
        <f t="shared" si="8"/>
        <v>-3.23</v>
      </c>
      <c r="L33" s="64">
        <f t="shared" si="2"/>
        <v>116</v>
      </c>
      <c r="M33" s="196">
        <f t="shared" si="3"/>
        <v>-374.68</v>
      </c>
      <c r="N33" s="66">
        <f t="shared" si="4"/>
        <v>291.93</v>
      </c>
      <c r="O33" s="67">
        <f t="shared" si="5"/>
        <v>116</v>
      </c>
      <c r="P33" s="197">
        <f t="shared" si="6"/>
        <v>33863.879999999997</v>
      </c>
      <c r="Q33" s="114">
        <f t="shared" si="0"/>
        <v>14.758000000000003</v>
      </c>
      <c r="R33" s="182">
        <f t="shared" si="1"/>
        <v>280.40200000000004</v>
      </c>
      <c r="S33" s="254"/>
      <c r="T33" s="182">
        <f t="shared" si="7"/>
        <v>295.22000000000003</v>
      </c>
    </row>
    <row r="34" spans="2:20" s="114" customFormat="1" ht="16.5" customHeight="1" x14ac:dyDescent="0.2">
      <c r="B34" s="1"/>
      <c r="C34" s="51" t="s">
        <v>0</v>
      </c>
      <c r="D34" s="51" t="s">
        <v>29</v>
      </c>
      <c r="E34" s="52" t="s">
        <v>100</v>
      </c>
      <c r="F34" s="53" t="s">
        <v>101</v>
      </c>
      <c r="G34" s="54" t="s">
        <v>58</v>
      </c>
      <c r="H34" s="55">
        <v>258.52999999999997</v>
      </c>
      <c r="I34" s="56">
        <v>143.36000000000001</v>
      </c>
      <c r="J34" s="55">
        <v>37062.9</v>
      </c>
      <c r="K34" s="63">
        <f t="shared" si="8"/>
        <v>-2.83</v>
      </c>
      <c r="L34" s="64">
        <f t="shared" si="2"/>
        <v>143.36000000000001</v>
      </c>
      <c r="M34" s="196">
        <f t="shared" si="3"/>
        <v>-405.70880000000005</v>
      </c>
      <c r="N34" s="66">
        <f t="shared" si="4"/>
        <v>255.69999999999996</v>
      </c>
      <c r="O34" s="67">
        <f t="shared" si="5"/>
        <v>143.36000000000001</v>
      </c>
      <c r="P34" s="197">
        <f t="shared" si="6"/>
        <v>36657.151999999995</v>
      </c>
      <c r="Q34" s="114">
        <f t="shared" si="0"/>
        <v>12.926499999999999</v>
      </c>
      <c r="R34" s="182">
        <f t="shared" si="1"/>
        <v>245.60349999999997</v>
      </c>
      <c r="T34" s="182">
        <f t="shared" si="7"/>
        <v>258.58</v>
      </c>
    </row>
    <row r="35" spans="2:20" s="114" customFormat="1" ht="16.5" customHeight="1" x14ac:dyDescent="0.2">
      <c r="B35" s="1"/>
      <c r="C35" s="51" t="s">
        <v>102</v>
      </c>
      <c r="D35" s="51" t="s">
        <v>29</v>
      </c>
      <c r="E35" s="52" t="s">
        <v>103</v>
      </c>
      <c r="F35" s="53" t="s">
        <v>104</v>
      </c>
      <c r="G35" s="54" t="s">
        <v>58</v>
      </c>
      <c r="H35" s="55">
        <v>115.81</v>
      </c>
      <c r="I35" s="56">
        <v>318.27999999999997</v>
      </c>
      <c r="J35" s="55">
        <v>36860</v>
      </c>
      <c r="K35" s="63">
        <f t="shared" si="8"/>
        <v>-1.27</v>
      </c>
      <c r="L35" s="64">
        <f t="shared" si="2"/>
        <v>318.27999999999997</v>
      </c>
      <c r="M35" s="196">
        <f t="shared" si="3"/>
        <v>-404.21559999999999</v>
      </c>
      <c r="N35" s="66">
        <f t="shared" si="4"/>
        <v>114.54</v>
      </c>
      <c r="O35" s="67">
        <f t="shared" si="5"/>
        <v>318.27999999999997</v>
      </c>
      <c r="P35" s="197">
        <f t="shared" si="6"/>
        <v>36455.7912</v>
      </c>
      <c r="Q35" s="114">
        <f t="shared" si="0"/>
        <v>5.7905000000000006</v>
      </c>
      <c r="R35" s="182">
        <f t="shared" si="1"/>
        <v>110.01950000000001</v>
      </c>
      <c r="T35" s="182">
        <f t="shared" si="7"/>
        <v>115.83</v>
      </c>
    </row>
    <row r="36" spans="2:20" s="114" customFormat="1" ht="16.5" customHeight="1" x14ac:dyDescent="0.2">
      <c r="B36" s="1"/>
      <c r="C36" s="73" t="s">
        <v>105</v>
      </c>
      <c r="D36" s="73" t="s">
        <v>106</v>
      </c>
      <c r="E36" s="74" t="s">
        <v>107</v>
      </c>
      <c r="F36" s="75" t="s">
        <v>108</v>
      </c>
      <c r="G36" s="76" t="s">
        <v>44</v>
      </c>
      <c r="H36" s="77">
        <v>231.62</v>
      </c>
      <c r="I36" s="78">
        <v>172.71</v>
      </c>
      <c r="J36" s="77">
        <v>40003.1</v>
      </c>
      <c r="K36" s="63">
        <f t="shared" si="8"/>
        <v>-2.5299999999999998</v>
      </c>
      <c r="L36" s="64">
        <f t="shared" si="2"/>
        <v>172.71</v>
      </c>
      <c r="M36" s="196">
        <f t="shared" si="3"/>
        <v>-436.9563</v>
      </c>
      <c r="N36" s="66">
        <f t="shared" si="4"/>
        <v>229.09</v>
      </c>
      <c r="O36" s="67">
        <f t="shared" si="5"/>
        <v>172.71</v>
      </c>
      <c r="P36" s="197">
        <f t="shared" si="6"/>
        <v>39566.133900000001</v>
      </c>
      <c r="Q36" s="114">
        <f t="shared" si="0"/>
        <v>11.581000000000001</v>
      </c>
      <c r="R36" s="182">
        <f t="shared" si="1"/>
        <v>220.03900000000002</v>
      </c>
      <c r="T36" s="182">
        <f t="shared" si="7"/>
        <v>231.67</v>
      </c>
    </row>
    <row r="37" spans="2:20" s="160" customFormat="1" ht="22.9" customHeight="1" x14ac:dyDescent="0.2">
      <c r="B37" s="2"/>
      <c r="C37" s="223"/>
      <c r="D37" s="221" t="s">
        <v>3</v>
      </c>
      <c r="E37" s="227" t="s">
        <v>14</v>
      </c>
      <c r="F37" s="227" t="s">
        <v>229</v>
      </c>
      <c r="G37" s="223"/>
      <c r="H37" s="223"/>
      <c r="I37" s="224"/>
      <c r="J37" s="228">
        <v>86804.5</v>
      </c>
      <c r="K37" s="226"/>
      <c r="L37" s="211"/>
      <c r="M37" s="209">
        <f>M38</f>
        <v>0</v>
      </c>
      <c r="N37" s="210"/>
      <c r="O37" s="211"/>
      <c r="P37" s="209">
        <f>P38</f>
        <v>86804.479999999996</v>
      </c>
      <c r="Q37" s="114">
        <f t="shared" si="0"/>
        <v>0</v>
      </c>
      <c r="R37" s="182">
        <f t="shared" si="1"/>
        <v>0</v>
      </c>
      <c r="T37" s="182">
        <f t="shared" si="7"/>
        <v>0</v>
      </c>
    </row>
    <row r="38" spans="2:20" s="114" customFormat="1" ht="16.5" customHeight="1" x14ac:dyDescent="0.2">
      <c r="B38" s="1"/>
      <c r="C38" s="51" t="s">
        <v>109</v>
      </c>
      <c r="D38" s="51" t="s">
        <v>29</v>
      </c>
      <c r="E38" s="52" t="s">
        <v>230</v>
      </c>
      <c r="F38" s="53" t="s">
        <v>231</v>
      </c>
      <c r="G38" s="54" t="s">
        <v>144</v>
      </c>
      <c r="H38" s="55">
        <v>1</v>
      </c>
      <c r="I38" s="56">
        <v>86804.479999999996</v>
      </c>
      <c r="J38" s="55">
        <v>86804.5</v>
      </c>
      <c r="K38" s="63">
        <v>0</v>
      </c>
      <c r="L38" s="64">
        <f t="shared" si="2"/>
        <v>86804.479999999996</v>
      </c>
      <c r="M38" s="196">
        <f t="shared" si="3"/>
        <v>0</v>
      </c>
      <c r="N38" s="66">
        <f t="shared" si="4"/>
        <v>1</v>
      </c>
      <c r="O38" s="67">
        <f t="shared" si="5"/>
        <v>86804.479999999996</v>
      </c>
      <c r="P38" s="197">
        <f t="shared" si="6"/>
        <v>86804.479999999996</v>
      </c>
      <c r="Q38" s="114">
        <f t="shared" si="0"/>
        <v>0.05</v>
      </c>
      <c r="R38" s="182">
        <f t="shared" si="1"/>
        <v>0.95</v>
      </c>
      <c r="T38" s="182">
        <f t="shared" si="7"/>
        <v>1</v>
      </c>
    </row>
    <row r="39" spans="2:20" s="160" customFormat="1" ht="22.9" customHeight="1" x14ac:dyDescent="0.2">
      <c r="B39" s="2"/>
      <c r="C39" s="223"/>
      <c r="D39" s="221" t="s">
        <v>3</v>
      </c>
      <c r="E39" s="227" t="s">
        <v>33</v>
      </c>
      <c r="F39" s="227" t="s">
        <v>112</v>
      </c>
      <c r="G39" s="223"/>
      <c r="H39" s="223"/>
      <c r="I39" s="224"/>
      <c r="J39" s="228">
        <v>21789.8</v>
      </c>
      <c r="K39" s="226"/>
      <c r="L39" s="211"/>
      <c r="M39" s="209">
        <f>SUM(M40:M41)</f>
        <v>-239.89480000000003</v>
      </c>
      <c r="N39" s="210"/>
      <c r="O39" s="211"/>
      <c r="P39" s="209">
        <f>SUM(P40:P41)</f>
        <v>21549.8302</v>
      </c>
      <c r="Q39" s="114">
        <f t="shared" si="0"/>
        <v>0</v>
      </c>
      <c r="R39" s="182">
        <f t="shared" si="1"/>
        <v>0</v>
      </c>
      <c r="T39" s="182">
        <f t="shared" si="7"/>
        <v>0</v>
      </c>
    </row>
    <row r="40" spans="2:20" s="114" customFormat="1" ht="16.5" customHeight="1" x14ac:dyDescent="0.2">
      <c r="B40" s="1"/>
      <c r="C40" s="51" t="s">
        <v>113</v>
      </c>
      <c r="D40" s="51" t="s">
        <v>29</v>
      </c>
      <c r="E40" s="52" t="s">
        <v>114</v>
      </c>
      <c r="F40" s="53" t="s">
        <v>115</v>
      </c>
      <c r="G40" s="54" t="s">
        <v>58</v>
      </c>
      <c r="H40" s="55">
        <v>29.63</v>
      </c>
      <c r="I40" s="56">
        <v>644.70000000000005</v>
      </c>
      <c r="J40" s="55">
        <v>19102.5</v>
      </c>
      <c r="K40" s="63">
        <f t="shared" ref="K40:K41" si="9">ROUND(280.3/283.4*T40-T40,2)</f>
        <v>-0.32</v>
      </c>
      <c r="L40" s="64">
        <f t="shared" si="2"/>
        <v>644.70000000000005</v>
      </c>
      <c r="M40" s="196">
        <f t="shared" si="3"/>
        <v>-206.30400000000003</v>
      </c>
      <c r="N40" s="66">
        <f t="shared" si="4"/>
        <v>29.31</v>
      </c>
      <c r="O40" s="67">
        <f t="shared" si="5"/>
        <v>644.70000000000005</v>
      </c>
      <c r="P40" s="197">
        <f t="shared" si="6"/>
        <v>18896.156999999999</v>
      </c>
      <c r="Q40" s="114">
        <f t="shared" si="0"/>
        <v>1.4815</v>
      </c>
      <c r="R40" s="182">
        <f t="shared" si="1"/>
        <v>28.148499999999999</v>
      </c>
      <c r="T40" s="182">
        <f t="shared" si="7"/>
        <v>29.64</v>
      </c>
    </row>
    <row r="41" spans="2:20" s="114" customFormat="1" ht="16.5" customHeight="1" x14ac:dyDescent="0.2">
      <c r="B41" s="1"/>
      <c r="C41" s="51" t="s">
        <v>116</v>
      </c>
      <c r="D41" s="51" t="s">
        <v>29</v>
      </c>
      <c r="E41" s="52" t="s">
        <v>117</v>
      </c>
      <c r="F41" s="53" t="s">
        <v>118</v>
      </c>
      <c r="G41" s="54" t="s">
        <v>58</v>
      </c>
      <c r="H41" s="55">
        <v>0.8</v>
      </c>
      <c r="I41" s="56">
        <v>3359.0800000000004</v>
      </c>
      <c r="J41" s="55">
        <v>2687.3</v>
      </c>
      <c r="K41" s="63">
        <f t="shared" si="9"/>
        <v>-0.01</v>
      </c>
      <c r="L41" s="64">
        <f t="shared" si="2"/>
        <v>3359.0800000000004</v>
      </c>
      <c r="M41" s="196">
        <f t="shared" si="3"/>
        <v>-33.590800000000002</v>
      </c>
      <c r="N41" s="66">
        <f t="shared" si="4"/>
        <v>0.79</v>
      </c>
      <c r="O41" s="67">
        <f t="shared" si="5"/>
        <v>3359.0800000000004</v>
      </c>
      <c r="P41" s="197">
        <f t="shared" si="6"/>
        <v>2653.6732000000006</v>
      </c>
      <c r="Q41" s="114">
        <f t="shared" si="0"/>
        <v>4.0000000000000008E-2</v>
      </c>
      <c r="R41" s="182">
        <f t="shared" si="1"/>
        <v>0.76</v>
      </c>
      <c r="T41" s="182">
        <f t="shared" si="7"/>
        <v>0.8</v>
      </c>
    </row>
    <row r="42" spans="2:20" s="160" customFormat="1" ht="22.9" customHeight="1" x14ac:dyDescent="0.2">
      <c r="B42" s="2"/>
      <c r="C42" s="223"/>
      <c r="D42" s="221" t="s">
        <v>3</v>
      </c>
      <c r="E42" s="227" t="s">
        <v>34</v>
      </c>
      <c r="F42" s="227" t="s">
        <v>35</v>
      </c>
      <c r="G42" s="223"/>
      <c r="H42" s="223"/>
      <c r="I42" s="224"/>
      <c r="J42" s="228">
        <v>521410.1</v>
      </c>
      <c r="K42" s="226"/>
      <c r="L42" s="211"/>
      <c r="M42" s="209">
        <f>SUM(M43:M47)</f>
        <v>0</v>
      </c>
      <c r="N42" s="210"/>
      <c r="O42" s="211"/>
      <c r="P42" s="209">
        <f>SUM(P43:P47)</f>
        <v>521410.1274</v>
      </c>
      <c r="Q42" s="114">
        <f t="shared" si="0"/>
        <v>0</v>
      </c>
      <c r="R42" s="182">
        <f t="shared" si="1"/>
        <v>0</v>
      </c>
      <c r="T42" s="182">
        <f t="shared" si="7"/>
        <v>0</v>
      </c>
    </row>
    <row r="43" spans="2:20" s="114" customFormat="1" ht="16.5" customHeight="1" x14ac:dyDescent="0.2">
      <c r="B43" s="1"/>
      <c r="C43" s="51" t="s">
        <v>119</v>
      </c>
      <c r="D43" s="51" t="s">
        <v>29</v>
      </c>
      <c r="E43" s="52" t="s">
        <v>120</v>
      </c>
      <c r="F43" s="53" t="s">
        <v>121</v>
      </c>
      <c r="G43" s="54" t="s">
        <v>32</v>
      </c>
      <c r="H43" s="55">
        <v>311.67</v>
      </c>
      <c r="I43" s="56">
        <v>302.54000000000002</v>
      </c>
      <c r="J43" s="55">
        <v>94292.6</v>
      </c>
      <c r="K43" s="63">
        <v>0</v>
      </c>
      <c r="L43" s="64">
        <f t="shared" si="2"/>
        <v>302.54000000000002</v>
      </c>
      <c r="M43" s="196">
        <f t="shared" si="3"/>
        <v>0</v>
      </c>
      <c r="N43" s="66">
        <f t="shared" si="4"/>
        <v>311.67</v>
      </c>
      <c r="O43" s="67">
        <f t="shared" si="5"/>
        <v>302.54000000000002</v>
      </c>
      <c r="P43" s="197">
        <f t="shared" si="6"/>
        <v>94292.641800000012</v>
      </c>
      <c r="Q43" s="114">
        <f t="shared" si="0"/>
        <v>15.583500000000001</v>
      </c>
      <c r="R43" s="182">
        <f t="shared" si="1"/>
        <v>296.0865</v>
      </c>
      <c r="T43" s="182">
        <f t="shared" si="7"/>
        <v>311.74</v>
      </c>
    </row>
    <row r="44" spans="2:20" s="114" customFormat="1" ht="16.5" customHeight="1" x14ac:dyDescent="0.2">
      <c r="B44" s="1"/>
      <c r="C44" s="51" t="s">
        <v>122</v>
      </c>
      <c r="D44" s="51" t="s">
        <v>29</v>
      </c>
      <c r="E44" s="52" t="s">
        <v>126</v>
      </c>
      <c r="F44" s="53" t="s">
        <v>127</v>
      </c>
      <c r="G44" s="54" t="s">
        <v>32</v>
      </c>
      <c r="H44" s="55">
        <v>311.67</v>
      </c>
      <c r="I44" s="56">
        <v>14.18</v>
      </c>
      <c r="J44" s="55">
        <v>4419.5</v>
      </c>
      <c r="K44" s="63">
        <v>0</v>
      </c>
      <c r="L44" s="64">
        <f t="shared" si="2"/>
        <v>14.18</v>
      </c>
      <c r="M44" s="196">
        <f t="shared" si="3"/>
        <v>0</v>
      </c>
      <c r="N44" s="66">
        <f t="shared" si="4"/>
        <v>311.67</v>
      </c>
      <c r="O44" s="67">
        <f t="shared" si="5"/>
        <v>14.18</v>
      </c>
      <c r="P44" s="197">
        <f t="shared" si="6"/>
        <v>4419.4805999999999</v>
      </c>
      <c r="Q44" s="114">
        <f t="shared" si="0"/>
        <v>15.583500000000001</v>
      </c>
      <c r="R44" s="182">
        <f t="shared" si="1"/>
        <v>296.0865</v>
      </c>
      <c r="T44" s="182">
        <f t="shared" si="7"/>
        <v>311.74</v>
      </c>
    </row>
    <row r="45" spans="2:20" s="114" customFormat="1" ht="16.5" customHeight="1" x14ac:dyDescent="0.2">
      <c r="B45" s="1"/>
      <c r="C45" s="51" t="s">
        <v>125</v>
      </c>
      <c r="D45" s="51" t="s">
        <v>29</v>
      </c>
      <c r="E45" s="52" t="s">
        <v>36</v>
      </c>
      <c r="F45" s="53" t="s">
        <v>37</v>
      </c>
      <c r="G45" s="54" t="s">
        <v>32</v>
      </c>
      <c r="H45" s="55">
        <v>595.01</v>
      </c>
      <c r="I45" s="56">
        <v>20.62</v>
      </c>
      <c r="J45" s="55">
        <v>12269.1</v>
      </c>
      <c r="K45" s="63">
        <v>0</v>
      </c>
      <c r="L45" s="64">
        <f t="shared" si="2"/>
        <v>20.62</v>
      </c>
      <c r="M45" s="196">
        <f t="shared" si="3"/>
        <v>0</v>
      </c>
      <c r="N45" s="66">
        <f t="shared" si="4"/>
        <v>595.01</v>
      </c>
      <c r="O45" s="67">
        <f t="shared" si="5"/>
        <v>20.62</v>
      </c>
      <c r="P45" s="197">
        <f t="shared" si="6"/>
        <v>12269.1062</v>
      </c>
      <c r="Q45" s="114">
        <f t="shared" si="0"/>
        <v>29.750500000000002</v>
      </c>
      <c r="R45" s="182">
        <f t="shared" si="1"/>
        <v>565.2595</v>
      </c>
      <c r="T45" s="182">
        <f t="shared" si="7"/>
        <v>595.14</v>
      </c>
    </row>
    <row r="46" spans="2:20" s="114" customFormat="1" ht="16.5" customHeight="1" x14ac:dyDescent="0.2">
      <c r="B46" s="1"/>
      <c r="C46" s="51" t="s">
        <v>128</v>
      </c>
      <c r="D46" s="51" t="s">
        <v>29</v>
      </c>
      <c r="E46" s="52" t="s">
        <v>38</v>
      </c>
      <c r="F46" s="53" t="s">
        <v>39</v>
      </c>
      <c r="G46" s="54" t="s">
        <v>32</v>
      </c>
      <c r="H46" s="55">
        <v>595.01</v>
      </c>
      <c r="I46" s="56">
        <v>396.71</v>
      </c>
      <c r="J46" s="55">
        <v>236046.4</v>
      </c>
      <c r="K46" s="63">
        <v>0</v>
      </c>
      <c r="L46" s="64">
        <f t="shared" si="2"/>
        <v>396.71</v>
      </c>
      <c r="M46" s="196">
        <f t="shared" si="3"/>
        <v>0</v>
      </c>
      <c r="N46" s="66">
        <f t="shared" si="4"/>
        <v>595.01</v>
      </c>
      <c r="O46" s="67">
        <f t="shared" si="5"/>
        <v>396.71</v>
      </c>
      <c r="P46" s="197">
        <f t="shared" si="6"/>
        <v>236046.41709999999</v>
      </c>
      <c r="Q46" s="114">
        <f t="shared" si="0"/>
        <v>29.750500000000002</v>
      </c>
      <c r="R46" s="182">
        <f t="shared" si="1"/>
        <v>565.2595</v>
      </c>
      <c r="T46" s="182">
        <f t="shared" si="7"/>
        <v>595.14</v>
      </c>
    </row>
    <row r="47" spans="2:20" s="114" customFormat="1" ht="16.5" customHeight="1" x14ac:dyDescent="0.2">
      <c r="B47" s="1"/>
      <c r="C47" s="51" t="s">
        <v>129</v>
      </c>
      <c r="D47" s="51" t="s">
        <v>29</v>
      </c>
      <c r="E47" s="52" t="s">
        <v>131</v>
      </c>
      <c r="F47" s="53" t="s">
        <v>132</v>
      </c>
      <c r="G47" s="54" t="s">
        <v>32</v>
      </c>
      <c r="H47" s="55">
        <v>311.67</v>
      </c>
      <c r="I47" s="56">
        <v>559.51</v>
      </c>
      <c r="J47" s="55">
        <v>174382.5</v>
      </c>
      <c r="K47" s="63">
        <v>0</v>
      </c>
      <c r="L47" s="64">
        <f t="shared" si="2"/>
        <v>559.51</v>
      </c>
      <c r="M47" s="196">
        <f t="shared" si="3"/>
        <v>0</v>
      </c>
      <c r="N47" s="66">
        <f t="shared" si="4"/>
        <v>311.67</v>
      </c>
      <c r="O47" s="67">
        <f t="shared" si="5"/>
        <v>559.51</v>
      </c>
      <c r="P47" s="197">
        <f t="shared" si="6"/>
        <v>174382.4817</v>
      </c>
      <c r="Q47" s="114">
        <f t="shared" ref="Q47:Q78" si="10">0.05*H47</f>
        <v>15.583500000000001</v>
      </c>
      <c r="R47" s="182">
        <f t="shared" ref="R47:R78" si="11">H47-Q47</f>
        <v>296.0865</v>
      </c>
      <c r="T47" s="182">
        <f t="shared" si="7"/>
        <v>311.74</v>
      </c>
    </row>
    <row r="48" spans="2:20" s="160" customFormat="1" ht="22.9" customHeight="1" x14ac:dyDescent="0.2">
      <c r="B48" s="2"/>
      <c r="C48" s="223"/>
      <c r="D48" s="221" t="s">
        <v>3</v>
      </c>
      <c r="E48" s="227" t="s">
        <v>55</v>
      </c>
      <c r="F48" s="227" t="s">
        <v>133</v>
      </c>
      <c r="G48" s="223"/>
      <c r="H48" s="223"/>
      <c r="I48" s="224"/>
      <c r="J48" s="228">
        <v>2114.3000000000002</v>
      </c>
      <c r="K48" s="226"/>
      <c r="L48" s="211"/>
      <c r="M48" s="209">
        <f>SUM(M49:M50)</f>
        <v>-15.9404</v>
      </c>
      <c r="N48" s="210"/>
      <c r="O48" s="211"/>
      <c r="P48" s="209">
        <f>SUM(P49:P50)</f>
        <v>2098.3326999999999</v>
      </c>
      <c r="Q48" s="114">
        <f t="shared" si="10"/>
        <v>0</v>
      </c>
      <c r="R48" s="182">
        <f t="shared" si="11"/>
        <v>0</v>
      </c>
      <c r="T48" s="182">
        <f t="shared" si="7"/>
        <v>0</v>
      </c>
    </row>
    <row r="49" spans="2:20" s="114" customFormat="1" ht="16.5" customHeight="1" x14ac:dyDescent="0.2">
      <c r="B49" s="1"/>
      <c r="C49" s="51" t="s">
        <v>130</v>
      </c>
      <c r="D49" s="51" t="s">
        <v>29</v>
      </c>
      <c r="E49" s="52" t="s">
        <v>135</v>
      </c>
      <c r="F49" s="53" t="s">
        <v>136</v>
      </c>
      <c r="G49" s="54" t="s">
        <v>32</v>
      </c>
      <c r="H49" s="55">
        <v>1.32</v>
      </c>
      <c r="I49" s="56">
        <v>1256.03</v>
      </c>
      <c r="J49" s="55">
        <v>1658</v>
      </c>
      <c r="K49" s="63">
        <f t="shared" ref="K49:K50" si="12">ROUND(280.3/283.4*T49-T49,2)</f>
        <v>-0.01</v>
      </c>
      <c r="L49" s="64">
        <f t="shared" si="2"/>
        <v>1256.03</v>
      </c>
      <c r="M49" s="196">
        <f t="shared" si="3"/>
        <v>-12.5603</v>
      </c>
      <c r="N49" s="66">
        <f t="shared" si="4"/>
        <v>1.31</v>
      </c>
      <c r="O49" s="67">
        <f t="shared" si="5"/>
        <v>1256.03</v>
      </c>
      <c r="P49" s="197">
        <f t="shared" si="6"/>
        <v>1645.3993</v>
      </c>
      <c r="Q49" s="114">
        <f t="shared" si="10"/>
        <v>6.6000000000000003E-2</v>
      </c>
      <c r="R49" s="182">
        <f t="shared" si="11"/>
        <v>1.254</v>
      </c>
      <c r="T49" s="182">
        <f t="shared" si="7"/>
        <v>1.32</v>
      </c>
    </row>
    <row r="50" spans="2:20" s="114" customFormat="1" ht="16.5" customHeight="1" x14ac:dyDescent="0.2">
      <c r="B50" s="1"/>
      <c r="C50" s="73" t="s">
        <v>134</v>
      </c>
      <c r="D50" s="73" t="s">
        <v>106</v>
      </c>
      <c r="E50" s="74" t="s">
        <v>138</v>
      </c>
      <c r="F50" s="75" t="s">
        <v>139</v>
      </c>
      <c r="G50" s="76" t="s">
        <v>32</v>
      </c>
      <c r="H50" s="77">
        <v>1.35</v>
      </c>
      <c r="I50" s="78">
        <v>338.01</v>
      </c>
      <c r="J50" s="77">
        <v>456.3</v>
      </c>
      <c r="K50" s="63">
        <f t="shared" si="12"/>
        <v>-0.01</v>
      </c>
      <c r="L50" s="64">
        <f t="shared" si="2"/>
        <v>338.01</v>
      </c>
      <c r="M50" s="196">
        <f t="shared" si="3"/>
        <v>-3.3801000000000001</v>
      </c>
      <c r="N50" s="66">
        <f t="shared" si="4"/>
        <v>1.34</v>
      </c>
      <c r="O50" s="67">
        <f t="shared" si="5"/>
        <v>338.01</v>
      </c>
      <c r="P50" s="197">
        <f t="shared" si="6"/>
        <v>452.93340000000001</v>
      </c>
      <c r="Q50" s="114">
        <f t="shared" si="10"/>
        <v>6.7500000000000004E-2</v>
      </c>
      <c r="R50" s="182">
        <f t="shared" si="11"/>
        <v>1.2825000000000002</v>
      </c>
      <c r="T50" s="182">
        <f t="shared" si="7"/>
        <v>1.35</v>
      </c>
    </row>
    <row r="51" spans="2:20" s="160" customFormat="1" ht="22.9" customHeight="1" x14ac:dyDescent="0.2">
      <c r="B51" s="2"/>
      <c r="C51" s="223"/>
      <c r="D51" s="221" t="s">
        <v>3</v>
      </c>
      <c r="E51" s="227" t="s">
        <v>62</v>
      </c>
      <c r="F51" s="227" t="s">
        <v>140</v>
      </c>
      <c r="G51" s="223"/>
      <c r="H51" s="223"/>
      <c r="I51" s="224"/>
      <c r="J51" s="228">
        <v>543059.19999999995</v>
      </c>
      <c r="K51" s="226"/>
      <c r="L51" s="211"/>
      <c r="M51" s="209">
        <f>SUM(M52:M82)</f>
        <v>-4668.4140000000007</v>
      </c>
      <c r="N51" s="210"/>
      <c r="O51" s="211"/>
      <c r="P51" s="209">
        <f>SUM(P52:P82)</f>
        <v>538390.81420000002</v>
      </c>
      <c r="Q51" s="114">
        <f t="shared" si="10"/>
        <v>0</v>
      </c>
      <c r="R51" s="182">
        <f t="shared" si="11"/>
        <v>0</v>
      </c>
      <c r="T51" s="182">
        <f t="shared" si="7"/>
        <v>0</v>
      </c>
    </row>
    <row r="52" spans="2:20" s="114" customFormat="1" ht="16.5" customHeight="1" x14ac:dyDescent="0.2">
      <c r="B52" s="1"/>
      <c r="C52" s="51" t="s">
        <v>137</v>
      </c>
      <c r="D52" s="51" t="s">
        <v>29</v>
      </c>
      <c r="E52" s="52" t="s">
        <v>142</v>
      </c>
      <c r="F52" s="53" t="s">
        <v>143</v>
      </c>
      <c r="G52" s="54" t="s">
        <v>144</v>
      </c>
      <c r="H52" s="55">
        <v>2</v>
      </c>
      <c r="I52" s="56">
        <v>4045.61</v>
      </c>
      <c r="J52" s="55">
        <v>8091.2</v>
      </c>
      <c r="K52" s="63">
        <v>0</v>
      </c>
      <c r="L52" s="64">
        <f t="shared" si="2"/>
        <v>4045.61</v>
      </c>
      <c r="M52" s="196">
        <f t="shared" si="3"/>
        <v>0</v>
      </c>
      <c r="N52" s="66">
        <f t="shared" si="4"/>
        <v>2</v>
      </c>
      <c r="O52" s="67">
        <f t="shared" si="5"/>
        <v>4045.61</v>
      </c>
      <c r="P52" s="197">
        <f t="shared" si="6"/>
        <v>8091.22</v>
      </c>
      <c r="Q52" s="114">
        <f t="shared" si="10"/>
        <v>0.1</v>
      </c>
      <c r="R52" s="182">
        <f t="shared" si="11"/>
        <v>1.9</v>
      </c>
      <c r="T52" s="182">
        <f t="shared" si="7"/>
        <v>2</v>
      </c>
    </row>
    <row r="53" spans="2:20" s="114" customFormat="1" ht="16.5" customHeight="1" x14ac:dyDescent="0.2">
      <c r="B53" s="1"/>
      <c r="C53" s="73" t="s">
        <v>141</v>
      </c>
      <c r="D53" s="73" t="s">
        <v>106</v>
      </c>
      <c r="E53" s="74" t="s">
        <v>232</v>
      </c>
      <c r="F53" s="75" t="s">
        <v>233</v>
      </c>
      <c r="G53" s="76" t="s">
        <v>157</v>
      </c>
      <c r="H53" s="77">
        <v>1</v>
      </c>
      <c r="I53" s="78">
        <v>3965.39</v>
      </c>
      <c r="J53" s="77">
        <v>3965.4</v>
      </c>
      <c r="K53" s="63">
        <v>0</v>
      </c>
      <c r="L53" s="64">
        <f t="shared" si="2"/>
        <v>3965.39</v>
      </c>
      <c r="M53" s="196">
        <f t="shared" si="3"/>
        <v>0</v>
      </c>
      <c r="N53" s="66">
        <f t="shared" si="4"/>
        <v>1</v>
      </c>
      <c r="O53" s="67">
        <f t="shared" si="5"/>
        <v>3965.39</v>
      </c>
      <c r="P53" s="197">
        <f t="shared" si="6"/>
        <v>3965.39</v>
      </c>
      <c r="Q53" s="114">
        <f t="shared" si="10"/>
        <v>0.05</v>
      </c>
      <c r="R53" s="182">
        <f t="shared" si="11"/>
        <v>0.95</v>
      </c>
      <c r="T53" s="182">
        <f t="shared" si="7"/>
        <v>1</v>
      </c>
    </row>
    <row r="54" spans="2:20" s="114" customFormat="1" ht="16.5" customHeight="1" x14ac:dyDescent="0.2">
      <c r="B54" s="1"/>
      <c r="C54" s="51" t="s">
        <v>145</v>
      </c>
      <c r="D54" s="51" t="s">
        <v>29</v>
      </c>
      <c r="E54" s="52" t="s">
        <v>146</v>
      </c>
      <c r="F54" s="53" t="s">
        <v>147</v>
      </c>
      <c r="G54" s="54" t="s">
        <v>54</v>
      </c>
      <c r="H54" s="55">
        <v>283.33999999999997</v>
      </c>
      <c r="I54" s="56">
        <v>220.96</v>
      </c>
      <c r="J54" s="55">
        <v>62606.8</v>
      </c>
      <c r="K54" s="63">
        <f t="shared" ref="K54:K55" si="13">ROUND(280.3/283.4*T54-T54,2)</f>
        <v>-3.1</v>
      </c>
      <c r="L54" s="64">
        <f t="shared" si="2"/>
        <v>220.96</v>
      </c>
      <c r="M54" s="196">
        <f t="shared" si="3"/>
        <v>-684.976</v>
      </c>
      <c r="N54" s="66">
        <f t="shared" si="4"/>
        <v>280.23999999999995</v>
      </c>
      <c r="O54" s="67">
        <f t="shared" si="5"/>
        <v>220.96</v>
      </c>
      <c r="P54" s="197">
        <f t="shared" si="6"/>
        <v>61921.830399999992</v>
      </c>
      <c r="Q54" s="114">
        <f t="shared" si="10"/>
        <v>14.167</v>
      </c>
      <c r="R54" s="182">
        <f t="shared" si="11"/>
        <v>269.173</v>
      </c>
      <c r="T54" s="182">
        <f t="shared" si="7"/>
        <v>283.39999999999998</v>
      </c>
    </row>
    <row r="55" spans="2:20" s="114" customFormat="1" ht="16.5" customHeight="1" x14ac:dyDescent="0.2">
      <c r="B55" s="1"/>
      <c r="C55" s="73" t="s">
        <v>148</v>
      </c>
      <c r="D55" s="73" t="s">
        <v>106</v>
      </c>
      <c r="E55" s="74" t="s">
        <v>149</v>
      </c>
      <c r="F55" s="75" t="s">
        <v>150</v>
      </c>
      <c r="G55" s="76" t="s">
        <v>54</v>
      </c>
      <c r="H55" s="77">
        <v>283.33999999999997</v>
      </c>
      <c r="I55" s="78">
        <v>1208.69</v>
      </c>
      <c r="J55" s="77">
        <v>342470.2</v>
      </c>
      <c r="K55" s="63">
        <f t="shared" si="13"/>
        <v>-3.1</v>
      </c>
      <c r="L55" s="64">
        <f t="shared" si="2"/>
        <v>1208.69</v>
      </c>
      <c r="M55" s="196">
        <f t="shared" si="3"/>
        <v>-3746.9390000000003</v>
      </c>
      <c r="N55" s="66">
        <f t="shared" si="4"/>
        <v>280.23999999999995</v>
      </c>
      <c r="O55" s="67">
        <f t="shared" si="5"/>
        <v>1208.69</v>
      </c>
      <c r="P55" s="197">
        <f t="shared" si="6"/>
        <v>338723.28559999994</v>
      </c>
      <c r="Q55" s="114">
        <f t="shared" si="10"/>
        <v>14.167</v>
      </c>
      <c r="R55" s="182">
        <f t="shared" si="11"/>
        <v>269.173</v>
      </c>
      <c r="T55" s="182">
        <f t="shared" si="7"/>
        <v>283.39999999999998</v>
      </c>
    </row>
    <row r="56" spans="2:20" s="114" customFormat="1" ht="16.5" customHeight="1" x14ac:dyDescent="0.2">
      <c r="B56" s="1"/>
      <c r="C56" s="51" t="s">
        <v>151</v>
      </c>
      <c r="D56" s="51" t="s">
        <v>29</v>
      </c>
      <c r="E56" s="52" t="s">
        <v>152</v>
      </c>
      <c r="F56" s="53" t="s">
        <v>153</v>
      </c>
      <c r="G56" s="54" t="s">
        <v>144</v>
      </c>
      <c r="H56" s="55">
        <v>7</v>
      </c>
      <c r="I56" s="56">
        <v>255.15</v>
      </c>
      <c r="J56" s="55">
        <v>1786.1</v>
      </c>
      <c r="K56" s="63">
        <v>0</v>
      </c>
      <c r="L56" s="64">
        <f t="shared" si="2"/>
        <v>255.15</v>
      </c>
      <c r="M56" s="196">
        <f t="shared" si="3"/>
        <v>0</v>
      </c>
      <c r="N56" s="66">
        <f t="shared" si="4"/>
        <v>7</v>
      </c>
      <c r="O56" s="67">
        <f t="shared" si="5"/>
        <v>255.15</v>
      </c>
      <c r="P56" s="197">
        <f t="shared" si="6"/>
        <v>1786.05</v>
      </c>
      <c r="Q56" s="114">
        <f t="shared" si="10"/>
        <v>0.35000000000000003</v>
      </c>
      <c r="R56" s="182">
        <f t="shared" si="11"/>
        <v>6.65</v>
      </c>
      <c r="T56" s="182">
        <f t="shared" si="7"/>
        <v>7</v>
      </c>
    </row>
    <row r="57" spans="2:20" s="114" customFormat="1" ht="16.5" customHeight="1" x14ac:dyDescent="0.2">
      <c r="B57" s="1"/>
      <c r="C57" s="73" t="s">
        <v>154</v>
      </c>
      <c r="D57" s="73" t="s">
        <v>106</v>
      </c>
      <c r="E57" s="74" t="s">
        <v>155</v>
      </c>
      <c r="F57" s="75" t="s">
        <v>156</v>
      </c>
      <c r="G57" s="76" t="s">
        <v>157</v>
      </c>
      <c r="H57" s="77">
        <v>1</v>
      </c>
      <c r="I57" s="78">
        <v>2596.2399999999998</v>
      </c>
      <c r="J57" s="77">
        <v>2596.1999999999998</v>
      </c>
      <c r="K57" s="63">
        <v>0</v>
      </c>
      <c r="L57" s="64">
        <f t="shared" si="2"/>
        <v>2596.2399999999998</v>
      </c>
      <c r="M57" s="196">
        <f t="shared" si="3"/>
        <v>0</v>
      </c>
      <c r="N57" s="66">
        <f t="shared" si="4"/>
        <v>1</v>
      </c>
      <c r="O57" s="67">
        <f t="shared" si="5"/>
        <v>2596.2399999999998</v>
      </c>
      <c r="P57" s="197">
        <f t="shared" si="6"/>
        <v>2596.2399999999998</v>
      </c>
      <c r="Q57" s="114">
        <f t="shared" si="10"/>
        <v>0.05</v>
      </c>
      <c r="R57" s="182">
        <f t="shared" si="11"/>
        <v>0.95</v>
      </c>
      <c r="T57" s="182">
        <f t="shared" si="7"/>
        <v>1</v>
      </c>
    </row>
    <row r="58" spans="2:20" s="114" customFormat="1" ht="16.5" customHeight="1" x14ac:dyDescent="0.2">
      <c r="B58" s="1"/>
      <c r="C58" s="73" t="s">
        <v>158</v>
      </c>
      <c r="D58" s="73" t="s">
        <v>106</v>
      </c>
      <c r="E58" s="74" t="s">
        <v>159</v>
      </c>
      <c r="F58" s="75" t="s">
        <v>160</v>
      </c>
      <c r="G58" s="76" t="s">
        <v>161</v>
      </c>
      <c r="H58" s="77">
        <v>3</v>
      </c>
      <c r="I58" s="78">
        <v>4573.0200000000004</v>
      </c>
      <c r="J58" s="77">
        <v>13719.1</v>
      </c>
      <c r="K58" s="63">
        <v>0</v>
      </c>
      <c r="L58" s="64">
        <f t="shared" si="2"/>
        <v>4573.0200000000004</v>
      </c>
      <c r="M58" s="196">
        <f t="shared" si="3"/>
        <v>0</v>
      </c>
      <c r="N58" s="66">
        <f t="shared" si="4"/>
        <v>3</v>
      </c>
      <c r="O58" s="67">
        <f t="shared" si="5"/>
        <v>4573.0200000000004</v>
      </c>
      <c r="P58" s="197">
        <f t="shared" si="6"/>
        <v>13719.060000000001</v>
      </c>
      <c r="Q58" s="114">
        <f t="shared" si="10"/>
        <v>0.15000000000000002</v>
      </c>
      <c r="R58" s="182">
        <f t="shared" si="11"/>
        <v>2.85</v>
      </c>
      <c r="T58" s="182">
        <f t="shared" si="7"/>
        <v>3</v>
      </c>
    </row>
    <row r="59" spans="2:20" s="114" customFormat="1" ht="16.5" customHeight="1" x14ac:dyDescent="0.2">
      <c r="B59" s="1"/>
      <c r="C59" s="73" t="s">
        <v>162</v>
      </c>
      <c r="D59" s="73" t="s">
        <v>106</v>
      </c>
      <c r="E59" s="74" t="s">
        <v>234</v>
      </c>
      <c r="F59" s="75" t="s">
        <v>235</v>
      </c>
      <c r="G59" s="76" t="s">
        <v>161</v>
      </c>
      <c r="H59" s="77">
        <v>3</v>
      </c>
      <c r="I59" s="78">
        <v>4755.83</v>
      </c>
      <c r="J59" s="77">
        <v>14267.5</v>
      </c>
      <c r="K59" s="63">
        <v>0</v>
      </c>
      <c r="L59" s="64">
        <f t="shared" si="2"/>
        <v>4755.83</v>
      </c>
      <c r="M59" s="196">
        <f t="shared" si="3"/>
        <v>0</v>
      </c>
      <c r="N59" s="66">
        <f t="shared" si="4"/>
        <v>3</v>
      </c>
      <c r="O59" s="67">
        <f t="shared" si="5"/>
        <v>4755.83</v>
      </c>
      <c r="P59" s="197">
        <f t="shared" si="6"/>
        <v>14267.49</v>
      </c>
      <c r="Q59" s="114">
        <f t="shared" si="10"/>
        <v>0.15000000000000002</v>
      </c>
      <c r="R59" s="182">
        <f t="shared" si="11"/>
        <v>2.85</v>
      </c>
      <c r="T59" s="182">
        <f t="shared" si="7"/>
        <v>3</v>
      </c>
    </row>
    <row r="60" spans="2:20" s="114" customFormat="1" ht="16.5" customHeight="1" x14ac:dyDescent="0.2">
      <c r="B60" s="1"/>
      <c r="C60" s="51" t="s">
        <v>165</v>
      </c>
      <c r="D60" s="51" t="s">
        <v>29</v>
      </c>
      <c r="E60" s="52" t="s">
        <v>163</v>
      </c>
      <c r="F60" s="53" t="s">
        <v>164</v>
      </c>
      <c r="G60" s="54" t="s">
        <v>144</v>
      </c>
      <c r="H60" s="55">
        <v>3</v>
      </c>
      <c r="I60" s="56">
        <v>255.15</v>
      </c>
      <c r="J60" s="55">
        <v>765.5</v>
      </c>
      <c r="K60" s="63">
        <v>0</v>
      </c>
      <c r="L60" s="64">
        <f t="shared" si="2"/>
        <v>255.15</v>
      </c>
      <c r="M60" s="196">
        <f t="shared" si="3"/>
        <v>0</v>
      </c>
      <c r="N60" s="66">
        <f t="shared" si="4"/>
        <v>3</v>
      </c>
      <c r="O60" s="67">
        <f t="shared" si="5"/>
        <v>255.15</v>
      </c>
      <c r="P60" s="197">
        <f t="shared" si="6"/>
        <v>765.45</v>
      </c>
      <c r="Q60" s="114">
        <f t="shared" si="10"/>
        <v>0.15000000000000002</v>
      </c>
      <c r="R60" s="182">
        <f t="shared" si="11"/>
        <v>2.85</v>
      </c>
      <c r="T60" s="182">
        <f t="shared" si="7"/>
        <v>3</v>
      </c>
    </row>
    <row r="61" spans="2:20" s="114" customFormat="1" ht="16.5" customHeight="1" x14ac:dyDescent="0.2">
      <c r="B61" s="1"/>
      <c r="C61" s="73" t="s">
        <v>168</v>
      </c>
      <c r="D61" s="73" t="s">
        <v>106</v>
      </c>
      <c r="E61" s="74" t="s">
        <v>166</v>
      </c>
      <c r="F61" s="75" t="s">
        <v>167</v>
      </c>
      <c r="G61" s="76" t="s">
        <v>161</v>
      </c>
      <c r="H61" s="77">
        <v>1</v>
      </c>
      <c r="I61" s="78">
        <v>1628.24</v>
      </c>
      <c r="J61" s="77">
        <v>1628.2</v>
      </c>
      <c r="K61" s="63">
        <v>0</v>
      </c>
      <c r="L61" s="64">
        <f t="shared" si="2"/>
        <v>1628.24</v>
      </c>
      <c r="M61" s="196">
        <f t="shared" si="3"/>
        <v>0</v>
      </c>
      <c r="N61" s="66">
        <f t="shared" si="4"/>
        <v>1</v>
      </c>
      <c r="O61" s="67">
        <f t="shared" si="5"/>
        <v>1628.24</v>
      </c>
      <c r="P61" s="197">
        <f t="shared" si="6"/>
        <v>1628.24</v>
      </c>
      <c r="Q61" s="114">
        <f t="shared" si="10"/>
        <v>0.05</v>
      </c>
      <c r="R61" s="182">
        <f t="shared" si="11"/>
        <v>0.95</v>
      </c>
      <c r="T61" s="182">
        <f t="shared" si="7"/>
        <v>1</v>
      </c>
    </row>
    <row r="62" spans="2:20" s="114" customFormat="1" ht="16.5" customHeight="1" x14ac:dyDescent="0.2">
      <c r="B62" s="1"/>
      <c r="C62" s="73" t="s">
        <v>171</v>
      </c>
      <c r="D62" s="73" t="s">
        <v>106</v>
      </c>
      <c r="E62" s="74" t="s">
        <v>236</v>
      </c>
      <c r="F62" s="75" t="s">
        <v>237</v>
      </c>
      <c r="G62" s="76" t="s">
        <v>161</v>
      </c>
      <c r="H62" s="77">
        <v>1</v>
      </c>
      <c r="I62" s="78">
        <v>1104.78</v>
      </c>
      <c r="J62" s="77">
        <v>1104.8</v>
      </c>
      <c r="K62" s="63">
        <v>0</v>
      </c>
      <c r="L62" s="64">
        <f t="shared" si="2"/>
        <v>1104.78</v>
      </c>
      <c r="M62" s="196">
        <f t="shared" si="3"/>
        <v>0</v>
      </c>
      <c r="N62" s="66">
        <f t="shared" si="4"/>
        <v>1</v>
      </c>
      <c r="O62" s="67">
        <f t="shared" si="5"/>
        <v>1104.78</v>
      </c>
      <c r="P62" s="197">
        <f t="shared" si="6"/>
        <v>1104.78</v>
      </c>
      <c r="Q62" s="114">
        <f t="shared" si="10"/>
        <v>0.05</v>
      </c>
      <c r="R62" s="182">
        <f t="shared" si="11"/>
        <v>0.95</v>
      </c>
      <c r="T62" s="182">
        <f t="shared" si="7"/>
        <v>1</v>
      </c>
    </row>
    <row r="63" spans="2:20" s="114" customFormat="1" ht="16.5" customHeight="1" x14ac:dyDescent="0.2">
      <c r="B63" s="1"/>
      <c r="C63" s="73" t="s">
        <v>174</v>
      </c>
      <c r="D63" s="73" t="s">
        <v>106</v>
      </c>
      <c r="E63" s="74" t="s">
        <v>238</v>
      </c>
      <c r="F63" s="75" t="s">
        <v>239</v>
      </c>
      <c r="G63" s="76" t="s">
        <v>157</v>
      </c>
      <c r="H63" s="77">
        <v>1</v>
      </c>
      <c r="I63" s="78">
        <v>3026.32</v>
      </c>
      <c r="J63" s="77">
        <v>3026.3</v>
      </c>
      <c r="K63" s="63">
        <v>0</v>
      </c>
      <c r="L63" s="64">
        <f t="shared" si="2"/>
        <v>3026.32</v>
      </c>
      <c r="M63" s="196">
        <f t="shared" si="3"/>
        <v>0</v>
      </c>
      <c r="N63" s="66">
        <f t="shared" si="4"/>
        <v>1</v>
      </c>
      <c r="O63" s="67">
        <f t="shared" si="5"/>
        <v>3026.32</v>
      </c>
      <c r="P63" s="197">
        <f t="shared" si="6"/>
        <v>3026.32</v>
      </c>
      <c r="Q63" s="114">
        <f t="shared" si="10"/>
        <v>0.05</v>
      </c>
      <c r="R63" s="182">
        <f t="shared" si="11"/>
        <v>0.95</v>
      </c>
      <c r="T63" s="182">
        <f t="shared" si="7"/>
        <v>1</v>
      </c>
    </row>
    <row r="64" spans="2:20" s="114" customFormat="1" ht="16.5" customHeight="1" x14ac:dyDescent="0.2">
      <c r="B64" s="1"/>
      <c r="C64" s="51" t="s">
        <v>177</v>
      </c>
      <c r="D64" s="51" t="s">
        <v>29</v>
      </c>
      <c r="E64" s="52" t="s">
        <v>240</v>
      </c>
      <c r="F64" s="53" t="s">
        <v>241</v>
      </c>
      <c r="G64" s="54" t="s">
        <v>144</v>
      </c>
      <c r="H64" s="55">
        <v>1</v>
      </c>
      <c r="I64" s="56">
        <v>524.77</v>
      </c>
      <c r="J64" s="55">
        <v>524.79999999999995</v>
      </c>
      <c r="K64" s="63">
        <v>0</v>
      </c>
      <c r="L64" s="64">
        <f t="shared" si="2"/>
        <v>524.77</v>
      </c>
      <c r="M64" s="196">
        <f t="shared" si="3"/>
        <v>0</v>
      </c>
      <c r="N64" s="66">
        <f t="shared" si="4"/>
        <v>1</v>
      </c>
      <c r="O64" s="67">
        <f t="shared" si="5"/>
        <v>524.77</v>
      </c>
      <c r="P64" s="197">
        <f t="shared" si="6"/>
        <v>524.77</v>
      </c>
      <c r="Q64" s="114">
        <f t="shared" si="10"/>
        <v>0.05</v>
      </c>
      <c r="R64" s="182">
        <f t="shared" si="11"/>
        <v>0.95</v>
      </c>
      <c r="T64" s="182">
        <f t="shared" si="7"/>
        <v>1</v>
      </c>
    </row>
    <row r="65" spans="2:20" s="114" customFormat="1" ht="16.5" customHeight="1" x14ac:dyDescent="0.2">
      <c r="B65" s="1"/>
      <c r="C65" s="73" t="s">
        <v>180</v>
      </c>
      <c r="D65" s="73" t="s">
        <v>106</v>
      </c>
      <c r="E65" s="74" t="s">
        <v>242</v>
      </c>
      <c r="F65" s="75" t="s">
        <v>243</v>
      </c>
      <c r="G65" s="76" t="s">
        <v>157</v>
      </c>
      <c r="H65" s="77">
        <v>1</v>
      </c>
      <c r="I65" s="78">
        <v>3356.44</v>
      </c>
      <c r="J65" s="77">
        <v>3356.4</v>
      </c>
      <c r="K65" s="63">
        <v>0</v>
      </c>
      <c r="L65" s="64">
        <f t="shared" si="2"/>
        <v>3356.44</v>
      </c>
      <c r="M65" s="196">
        <f t="shared" si="3"/>
        <v>0</v>
      </c>
      <c r="N65" s="66">
        <f t="shared" si="4"/>
        <v>1</v>
      </c>
      <c r="O65" s="67">
        <f t="shared" si="5"/>
        <v>3356.44</v>
      </c>
      <c r="P65" s="197">
        <f t="shared" si="6"/>
        <v>3356.44</v>
      </c>
      <c r="Q65" s="114">
        <f t="shared" si="10"/>
        <v>0.05</v>
      </c>
      <c r="R65" s="182">
        <f t="shared" si="11"/>
        <v>0.95</v>
      </c>
      <c r="T65" s="182">
        <f t="shared" si="7"/>
        <v>1</v>
      </c>
    </row>
    <row r="66" spans="2:20" s="114" customFormat="1" ht="16.5" customHeight="1" x14ac:dyDescent="0.2">
      <c r="B66" s="1"/>
      <c r="C66" s="51" t="s">
        <v>183</v>
      </c>
      <c r="D66" s="51" t="s">
        <v>29</v>
      </c>
      <c r="E66" s="52" t="s">
        <v>169</v>
      </c>
      <c r="F66" s="53" t="s">
        <v>170</v>
      </c>
      <c r="G66" s="54" t="s">
        <v>144</v>
      </c>
      <c r="H66" s="55">
        <v>1</v>
      </c>
      <c r="I66" s="56">
        <v>323.54000000000002</v>
      </c>
      <c r="J66" s="55">
        <v>323.5</v>
      </c>
      <c r="K66" s="63">
        <v>0</v>
      </c>
      <c r="L66" s="64">
        <f t="shared" si="2"/>
        <v>323.54000000000002</v>
      </c>
      <c r="M66" s="196">
        <f t="shared" si="3"/>
        <v>0</v>
      </c>
      <c r="N66" s="66">
        <f t="shared" si="4"/>
        <v>1</v>
      </c>
      <c r="O66" s="67">
        <f t="shared" si="5"/>
        <v>323.54000000000002</v>
      </c>
      <c r="P66" s="197">
        <f t="shared" si="6"/>
        <v>323.54000000000002</v>
      </c>
      <c r="Q66" s="114">
        <f t="shared" si="10"/>
        <v>0.05</v>
      </c>
      <c r="R66" s="182">
        <f t="shared" si="11"/>
        <v>0.95</v>
      </c>
      <c r="T66" s="182">
        <f t="shared" si="7"/>
        <v>1</v>
      </c>
    </row>
    <row r="67" spans="2:20" s="114" customFormat="1" ht="16.5" customHeight="1" x14ac:dyDescent="0.2">
      <c r="B67" s="1"/>
      <c r="C67" s="73" t="s">
        <v>187</v>
      </c>
      <c r="D67" s="73" t="s">
        <v>106</v>
      </c>
      <c r="E67" s="74" t="s">
        <v>244</v>
      </c>
      <c r="F67" s="75" t="s">
        <v>245</v>
      </c>
      <c r="G67" s="76" t="s">
        <v>157</v>
      </c>
      <c r="H67" s="77">
        <v>1</v>
      </c>
      <c r="I67" s="78">
        <v>6989.08</v>
      </c>
      <c r="J67" s="77">
        <v>6989.1</v>
      </c>
      <c r="K67" s="63">
        <v>0</v>
      </c>
      <c r="L67" s="64">
        <f t="shared" si="2"/>
        <v>6989.08</v>
      </c>
      <c r="M67" s="196">
        <f t="shared" si="3"/>
        <v>0</v>
      </c>
      <c r="N67" s="66">
        <f t="shared" si="4"/>
        <v>1</v>
      </c>
      <c r="O67" s="67">
        <f t="shared" si="5"/>
        <v>6989.08</v>
      </c>
      <c r="P67" s="197">
        <f t="shared" si="6"/>
        <v>6989.08</v>
      </c>
      <c r="Q67" s="114">
        <f t="shared" si="10"/>
        <v>0.05</v>
      </c>
      <c r="R67" s="182">
        <f t="shared" si="11"/>
        <v>0.95</v>
      </c>
      <c r="T67" s="182">
        <f t="shared" si="7"/>
        <v>1</v>
      </c>
    </row>
    <row r="68" spans="2:20" s="114" customFormat="1" ht="16.5" customHeight="1" x14ac:dyDescent="0.2">
      <c r="B68" s="1"/>
      <c r="C68" s="73" t="s">
        <v>190</v>
      </c>
      <c r="D68" s="73" t="s">
        <v>106</v>
      </c>
      <c r="E68" s="74" t="s">
        <v>246</v>
      </c>
      <c r="F68" s="75" t="s">
        <v>247</v>
      </c>
      <c r="G68" s="76" t="s">
        <v>157</v>
      </c>
      <c r="H68" s="77">
        <v>1</v>
      </c>
      <c r="I68" s="78">
        <v>1871.56</v>
      </c>
      <c r="J68" s="77">
        <v>1871.6</v>
      </c>
      <c r="K68" s="63">
        <v>0</v>
      </c>
      <c r="L68" s="64">
        <f t="shared" si="2"/>
        <v>1871.56</v>
      </c>
      <c r="M68" s="196">
        <f t="shared" si="3"/>
        <v>0</v>
      </c>
      <c r="N68" s="66">
        <f t="shared" si="4"/>
        <v>1</v>
      </c>
      <c r="O68" s="67">
        <f t="shared" si="5"/>
        <v>1871.56</v>
      </c>
      <c r="P68" s="197">
        <f t="shared" si="6"/>
        <v>1871.56</v>
      </c>
      <c r="Q68" s="114">
        <f t="shared" si="10"/>
        <v>0.05</v>
      </c>
      <c r="R68" s="182">
        <f t="shared" si="11"/>
        <v>0.95</v>
      </c>
      <c r="T68" s="182">
        <f t="shared" si="7"/>
        <v>1</v>
      </c>
    </row>
    <row r="69" spans="2:20" s="114" customFormat="1" ht="16.5" customHeight="1" x14ac:dyDescent="0.2">
      <c r="B69" s="1"/>
      <c r="C69" s="51" t="s">
        <v>193</v>
      </c>
      <c r="D69" s="51" t="s">
        <v>29</v>
      </c>
      <c r="E69" s="52" t="s">
        <v>248</v>
      </c>
      <c r="F69" s="53" t="s">
        <v>249</v>
      </c>
      <c r="G69" s="54" t="s">
        <v>144</v>
      </c>
      <c r="H69" s="55">
        <v>1</v>
      </c>
      <c r="I69" s="56">
        <v>540.55999999999995</v>
      </c>
      <c r="J69" s="55">
        <v>540.6</v>
      </c>
      <c r="K69" s="63">
        <v>0</v>
      </c>
      <c r="L69" s="64">
        <f t="shared" si="2"/>
        <v>540.55999999999995</v>
      </c>
      <c r="M69" s="196">
        <f t="shared" si="3"/>
        <v>0</v>
      </c>
      <c r="N69" s="66">
        <f t="shared" si="4"/>
        <v>1</v>
      </c>
      <c r="O69" s="67">
        <f t="shared" si="5"/>
        <v>540.55999999999995</v>
      </c>
      <c r="P69" s="197">
        <f t="shared" si="6"/>
        <v>540.55999999999995</v>
      </c>
      <c r="Q69" s="114">
        <f t="shared" si="10"/>
        <v>0.05</v>
      </c>
      <c r="R69" s="182">
        <f t="shared" si="11"/>
        <v>0.95</v>
      </c>
      <c r="T69" s="182">
        <f t="shared" si="7"/>
        <v>1</v>
      </c>
    </row>
    <row r="70" spans="2:20" s="114" customFormat="1" ht="16.5" customHeight="1" x14ac:dyDescent="0.2">
      <c r="B70" s="1"/>
      <c r="C70" s="73" t="s">
        <v>196</v>
      </c>
      <c r="D70" s="73" t="s">
        <v>106</v>
      </c>
      <c r="E70" s="74" t="s">
        <v>250</v>
      </c>
      <c r="F70" s="75" t="s">
        <v>251</v>
      </c>
      <c r="G70" s="76" t="s">
        <v>157</v>
      </c>
      <c r="H70" s="77">
        <v>1</v>
      </c>
      <c r="I70" s="78">
        <v>30734.05</v>
      </c>
      <c r="J70" s="77">
        <v>30734.1</v>
      </c>
      <c r="K70" s="63">
        <v>0</v>
      </c>
      <c r="L70" s="64">
        <f t="shared" si="2"/>
        <v>30734.05</v>
      </c>
      <c r="M70" s="196">
        <f t="shared" si="3"/>
        <v>0</v>
      </c>
      <c r="N70" s="66">
        <f t="shared" si="4"/>
        <v>1</v>
      </c>
      <c r="O70" s="67">
        <f t="shared" si="5"/>
        <v>30734.05</v>
      </c>
      <c r="P70" s="197">
        <f t="shared" si="6"/>
        <v>30734.05</v>
      </c>
      <c r="Q70" s="114">
        <f t="shared" si="10"/>
        <v>0.05</v>
      </c>
      <c r="R70" s="182">
        <f t="shared" si="11"/>
        <v>0.95</v>
      </c>
      <c r="T70" s="182">
        <f t="shared" si="7"/>
        <v>1</v>
      </c>
    </row>
    <row r="71" spans="2:20" s="114" customFormat="1" ht="16.5" customHeight="1" x14ac:dyDescent="0.2">
      <c r="B71" s="1"/>
      <c r="C71" s="51" t="s">
        <v>200</v>
      </c>
      <c r="D71" s="51" t="s">
        <v>29</v>
      </c>
      <c r="E71" s="52" t="s">
        <v>175</v>
      </c>
      <c r="F71" s="53" t="s">
        <v>176</v>
      </c>
      <c r="G71" s="54" t="s">
        <v>54</v>
      </c>
      <c r="H71" s="55">
        <v>283.33999999999997</v>
      </c>
      <c r="I71" s="56">
        <v>34.200000000000003</v>
      </c>
      <c r="J71" s="55">
        <v>9690.2000000000007</v>
      </c>
      <c r="K71" s="63">
        <f t="shared" ref="K71:K73" si="14">ROUND(280.3/283.4*T71-T71,2)</f>
        <v>-3.1</v>
      </c>
      <c r="L71" s="64">
        <f t="shared" si="2"/>
        <v>34.200000000000003</v>
      </c>
      <c r="M71" s="196">
        <f t="shared" si="3"/>
        <v>-106.02000000000001</v>
      </c>
      <c r="N71" s="66">
        <f t="shared" si="4"/>
        <v>280.23999999999995</v>
      </c>
      <c r="O71" s="67">
        <f t="shared" si="5"/>
        <v>34.200000000000003</v>
      </c>
      <c r="P71" s="197">
        <f t="shared" si="6"/>
        <v>9584.2079999999987</v>
      </c>
      <c r="Q71" s="114">
        <f t="shared" si="10"/>
        <v>14.167</v>
      </c>
      <c r="R71" s="182">
        <f t="shared" si="11"/>
        <v>269.173</v>
      </c>
      <c r="S71" s="114" t="s">
        <v>551</v>
      </c>
      <c r="T71" s="182">
        <f t="shared" si="7"/>
        <v>283.39999999999998</v>
      </c>
    </row>
    <row r="72" spans="2:20" s="114" customFormat="1" ht="16.5" customHeight="1" x14ac:dyDescent="0.2">
      <c r="B72" s="1"/>
      <c r="C72" s="51" t="s">
        <v>203</v>
      </c>
      <c r="D72" s="51" t="s">
        <v>29</v>
      </c>
      <c r="E72" s="52" t="s">
        <v>178</v>
      </c>
      <c r="F72" s="53" t="s">
        <v>179</v>
      </c>
      <c r="G72" s="54" t="s">
        <v>54</v>
      </c>
      <c r="H72" s="55">
        <v>283.33999999999997</v>
      </c>
      <c r="I72" s="56">
        <v>19.73</v>
      </c>
      <c r="J72" s="55">
        <v>5590.3</v>
      </c>
      <c r="K72" s="63">
        <f t="shared" si="14"/>
        <v>-3.1</v>
      </c>
      <c r="L72" s="64">
        <f t="shared" si="2"/>
        <v>19.73</v>
      </c>
      <c r="M72" s="196">
        <f t="shared" si="3"/>
        <v>-61.163000000000004</v>
      </c>
      <c r="N72" s="66">
        <f t="shared" si="4"/>
        <v>280.23999999999995</v>
      </c>
      <c r="O72" s="67">
        <f t="shared" si="5"/>
        <v>19.73</v>
      </c>
      <c r="P72" s="197">
        <f t="shared" si="6"/>
        <v>5529.1351999999988</v>
      </c>
      <c r="Q72" s="114">
        <f t="shared" si="10"/>
        <v>14.167</v>
      </c>
      <c r="R72" s="182">
        <f t="shared" si="11"/>
        <v>269.173</v>
      </c>
      <c r="S72" s="114" t="s">
        <v>551</v>
      </c>
      <c r="T72" s="182">
        <f t="shared" si="7"/>
        <v>283.39999999999998</v>
      </c>
    </row>
    <row r="73" spans="2:20" s="114" customFormat="1" ht="16.5" customHeight="1" x14ac:dyDescent="0.2">
      <c r="B73" s="1"/>
      <c r="C73" s="51" t="s">
        <v>206</v>
      </c>
      <c r="D73" s="51" t="s">
        <v>29</v>
      </c>
      <c r="E73" s="52" t="s">
        <v>181</v>
      </c>
      <c r="F73" s="53" t="s">
        <v>182</v>
      </c>
      <c r="G73" s="54" t="s">
        <v>54</v>
      </c>
      <c r="H73" s="55">
        <v>283.33999999999997</v>
      </c>
      <c r="I73" s="56">
        <v>13.15</v>
      </c>
      <c r="J73" s="55">
        <v>3725.9</v>
      </c>
      <c r="K73" s="63">
        <f t="shared" si="14"/>
        <v>-3.1</v>
      </c>
      <c r="L73" s="64">
        <f t="shared" si="2"/>
        <v>13.15</v>
      </c>
      <c r="M73" s="196">
        <f t="shared" si="3"/>
        <v>-40.765000000000001</v>
      </c>
      <c r="N73" s="66">
        <f t="shared" si="4"/>
        <v>280.23999999999995</v>
      </c>
      <c r="O73" s="67">
        <f t="shared" si="5"/>
        <v>13.15</v>
      </c>
      <c r="P73" s="197">
        <f t="shared" si="6"/>
        <v>3685.1559999999995</v>
      </c>
      <c r="Q73" s="114">
        <f t="shared" si="10"/>
        <v>14.167</v>
      </c>
      <c r="R73" s="182">
        <f t="shared" si="11"/>
        <v>269.173</v>
      </c>
      <c r="T73" s="182">
        <f t="shared" si="7"/>
        <v>283.39999999999998</v>
      </c>
    </row>
    <row r="74" spans="2:20" s="114" customFormat="1" ht="16.5" customHeight="1" x14ac:dyDescent="0.2">
      <c r="B74" s="1"/>
      <c r="C74" s="51" t="s">
        <v>207</v>
      </c>
      <c r="D74" s="51" t="s">
        <v>29</v>
      </c>
      <c r="E74" s="52" t="s">
        <v>184</v>
      </c>
      <c r="F74" s="53" t="s">
        <v>185</v>
      </c>
      <c r="G74" s="54" t="s">
        <v>186</v>
      </c>
      <c r="H74" s="55">
        <v>1</v>
      </c>
      <c r="I74" s="56">
        <v>8548.93</v>
      </c>
      <c r="J74" s="55">
        <v>8548.9</v>
      </c>
      <c r="K74" s="63">
        <v>0</v>
      </c>
      <c r="L74" s="64">
        <f t="shared" si="2"/>
        <v>8548.93</v>
      </c>
      <c r="M74" s="196">
        <f t="shared" si="3"/>
        <v>0</v>
      </c>
      <c r="N74" s="66">
        <f t="shared" si="4"/>
        <v>1</v>
      </c>
      <c r="O74" s="67">
        <f t="shared" si="5"/>
        <v>8548.93</v>
      </c>
      <c r="P74" s="197">
        <f t="shared" si="6"/>
        <v>8548.93</v>
      </c>
      <c r="Q74" s="114">
        <f t="shared" si="10"/>
        <v>0.05</v>
      </c>
      <c r="R74" s="182">
        <f t="shared" si="11"/>
        <v>0.95</v>
      </c>
      <c r="T74" s="182">
        <f t="shared" si="7"/>
        <v>1</v>
      </c>
    </row>
    <row r="75" spans="2:20" s="114" customFormat="1" ht="16.5" customHeight="1" x14ac:dyDescent="0.2">
      <c r="B75" s="1"/>
      <c r="C75" s="51" t="s">
        <v>208</v>
      </c>
      <c r="D75" s="51" t="s">
        <v>29</v>
      </c>
      <c r="E75" s="52" t="s">
        <v>188</v>
      </c>
      <c r="F75" s="53" t="s">
        <v>189</v>
      </c>
      <c r="G75" s="54" t="s">
        <v>144</v>
      </c>
      <c r="H75" s="55">
        <v>1</v>
      </c>
      <c r="I75" s="56">
        <v>1262.6099999999999</v>
      </c>
      <c r="J75" s="55">
        <v>1262.5999999999999</v>
      </c>
      <c r="K75" s="63">
        <v>0</v>
      </c>
      <c r="L75" s="64">
        <f t="shared" si="2"/>
        <v>1262.6099999999999</v>
      </c>
      <c r="M75" s="196">
        <f t="shared" si="3"/>
        <v>0</v>
      </c>
      <c r="N75" s="66">
        <f t="shared" si="4"/>
        <v>1</v>
      </c>
      <c r="O75" s="67">
        <f t="shared" si="5"/>
        <v>1262.6099999999999</v>
      </c>
      <c r="P75" s="197">
        <f t="shared" si="6"/>
        <v>1262.6099999999999</v>
      </c>
      <c r="Q75" s="114">
        <f t="shared" si="10"/>
        <v>0.05</v>
      </c>
      <c r="R75" s="182">
        <f t="shared" si="11"/>
        <v>0.95</v>
      </c>
      <c r="T75" s="182">
        <f t="shared" si="7"/>
        <v>1</v>
      </c>
    </row>
    <row r="76" spans="2:20" s="114" customFormat="1" ht="16.5" customHeight="1" x14ac:dyDescent="0.2">
      <c r="B76" s="1"/>
      <c r="C76" s="51" t="s">
        <v>213</v>
      </c>
      <c r="D76" s="51" t="s">
        <v>29</v>
      </c>
      <c r="E76" s="52" t="s">
        <v>191</v>
      </c>
      <c r="F76" s="53" t="s">
        <v>192</v>
      </c>
      <c r="G76" s="54" t="s">
        <v>144</v>
      </c>
      <c r="H76" s="55">
        <v>1</v>
      </c>
      <c r="I76" s="56">
        <v>399.83</v>
      </c>
      <c r="J76" s="55">
        <v>399.8</v>
      </c>
      <c r="K76" s="63">
        <v>0</v>
      </c>
      <c r="L76" s="64">
        <f t="shared" si="2"/>
        <v>399.83</v>
      </c>
      <c r="M76" s="196">
        <f t="shared" si="3"/>
        <v>0</v>
      </c>
      <c r="N76" s="66">
        <f t="shared" si="4"/>
        <v>1</v>
      </c>
      <c r="O76" s="67">
        <f t="shared" si="5"/>
        <v>399.83</v>
      </c>
      <c r="P76" s="197">
        <f t="shared" si="6"/>
        <v>399.83</v>
      </c>
      <c r="Q76" s="114">
        <f t="shared" si="10"/>
        <v>0.05</v>
      </c>
      <c r="R76" s="182">
        <f t="shared" si="11"/>
        <v>0.95</v>
      </c>
      <c r="T76" s="182">
        <f t="shared" si="7"/>
        <v>1</v>
      </c>
    </row>
    <row r="77" spans="2:20" s="114" customFormat="1" ht="16.5" customHeight="1" x14ac:dyDescent="0.2">
      <c r="B77" s="1"/>
      <c r="C77" s="73" t="s">
        <v>219</v>
      </c>
      <c r="D77" s="73" t="s">
        <v>106</v>
      </c>
      <c r="E77" s="74" t="s">
        <v>252</v>
      </c>
      <c r="F77" s="75" t="s">
        <v>253</v>
      </c>
      <c r="G77" s="76" t="s">
        <v>157</v>
      </c>
      <c r="H77" s="77">
        <v>1</v>
      </c>
      <c r="I77" s="78">
        <v>1498.03</v>
      </c>
      <c r="J77" s="77">
        <v>1498</v>
      </c>
      <c r="K77" s="63">
        <v>0</v>
      </c>
      <c r="L77" s="64">
        <f t="shared" si="2"/>
        <v>1498.03</v>
      </c>
      <c r="M77" s="196">
        <f t="shared" si="3"/>
        <v>0</v>
      </c>
      <c r="N77" s="66">
        <f t="shared" si="4"/>
        <v>1</v>
      </c>
      <c r="O77" s="67">
        <f t="shared" si="5"/>
        <v>1498.03</v>
      </c>
      <c r="P77" s="197">
        <f t="shared" si="6"/>
        <v>1498.03</v>
      </c>
      <c r="Q77" s="114">
        <f t="shared" si="10"/>
        <v>0.05</v>
      </c>
      <c r="R77" s="182">
        <f t="shared" si="11"/>
        <v>0.95</v>
      </c>
      <c r="T77" s="182">
        <f t="shared" si="7"/>
        <v>1</v>
      </c>
    </row>
    <row r="78" spans="2:20" s="114" customFormat="1" ht="16.5" customHeight="1" x14ac:dyDescent="0.2">
      <c r="B78" s="1"/>
      <c r="C78" s="73" t="s">
        <v>223</v>
      </c>
      <c r="D78" s="73" t="s">
        <v>106</v>
      </c>
      <c r="E78" s="74" t="s">
        <v>254</v>
      </c>
      <c r="F78" s="75" t="s">
        <v>255</v>
      </c>
      <c r="G78" s="76" t="s">
        <v>157</v>
      </c>
      <c r="H78" s="77">
        <v>1</v>
      </c>
      <c r="I78" s="78">
        <v>174.92</v>
      </c>
      <c r="J78" s="77">
        <v>174.9</v>
      </c>
      <c r="K78" s="63">
        <v>0</v>
      </c>
      <c r="L78" s="64">
        <f t="shared" si="2"/>
        <v>174.92</v>
      </c>
      <c r="M78" s="196">
        <f t="shared" si="3"/>
        <v>0</v>
      </c>
      <c r="N78" s="66">
        <f t="shared" si="4"/>
        <v>1</v>
      </c>
      <c r="O78" s="67">
        <f t="shared" si="5"/>
        <v>174.92</v>
      </c>
      <c r="P78" s="197">
        <f t="shared" si="6"/>
        <v>174.92</v>
      </c>
      <c r="Q78" s="114">
        <f t="shared" si="10"/>
        <v>0.05</v>
      </c>
      <c r="R78" s="182">
        <f t="shared" si="11"/>
        <v>0.95</v>
      </c>
      <c r="T78" s="182">
        <f t="shared" si="7"/>
        <v>1</v>
      </c>
    </row>
    <row r="79" spans="2:20" s="114" customFormat="1" ht="16.5" customHeight="1" x14ac:dyDescent="0.2">
      <c r="B79" s="1"/>
      <c r="C79" s="51" t="s">
        <v>256</v>
      </c>
      <c r="D79" s="51" t="s">
        <v>29</v>
      </c>
      <c r="E79" s="52" t="s">
        <v>194</v>
      </c>
      <c r="F79" s="53" t="s">
        <v>195</v>
      </c>
      <c r="G79" s="54" t="s">
        <v>144</v>
      </c>
      <c r="H79" s="55">
        <v>1</v>
      </c>
      <c r="I79" s="56">
        <v>860.15</v>
      </c>
      <c r="J79" s="55">
        <v>860.2</v>
      </c>
      <c r="K79" s="63">
        <v>0</v>
      </c>
      <c r="L79" s="64">
        <f t="shared" si="2"/>
        <v>860.15</v>
      </c>
      <c r="M79" s="196">
        <f t="shared" si="3"/>
        <v>0</v>
      </c>
      <c r="N79" s="66">
        <f t="shared" si="4"/>
        <v>1</v>
      </c>
      <c r="O79" s="67">
        <f t="shared" si="5"/>
        <v>860.15</v>
      </c>
      <c r="P79" s="197">
        <f t="shared" si="6"/>
        <v>860.15</v>
      </c>
      <c r="Q79" s="114">
        <f t="shared" ref="Q79:Q106" si="15">0.05*H79</f>
        <v>0.05</v>
      </c>
      <c r="R79" s="182">
        <f t="shared" ref="R79:R106" si="16">H79-Q79</f>
        <v>0.95</v>
      </c>
      <c r="T79" s="182">
        <f t="shared" si="7"/>
        <v>1</v>
      </c>
    </row>
    <row r="80" spans="2:20" s="114" customFormat="1" ht="16.5" customHeight="1" x14ac:dyDescent="0.2">
      <c r="B80" s="1"/>
      <c r="C80" s="73" t="s">
        <v>257</v>
      </c>
      <c r="D80" s="73" t="s">
        <v>106</v>
      </c>
      <c r="E80" s="74" t="s">
        <v>258</v>
      </c>
      <c r="F80" s="75" t="s">
        <v>259</v>
      </c>
      <c r="G80" s="76" t="s">
        <v>157</v>
      </c>
      <c r="H80" s="77">
        <v>1</v>
      </c>
      <c r="I80" s="78">
        <v>7492.81</v>
      </c>
      <c r="J80" s="77">
        <v>7492.8</v>
      </c>
      <c r="K80" s="63">
        <v>0</v>
      </c>
      <c r="L80" s="64">
        <f t="shared" ref="L80:L106" si="17">I80</f>
        <v>7492.81</v>
      </c>
      <c r="M80" s="196">
        <f t="shared" ref="M80:M106" si="18">K80*L80</f>
        <v>0</v>
      </c>
      <c r="N80" s="66">
        <f t="shared" ref="N80:N106" si="19">H80+K80</f>
        <v>1</v>
      </c>
      <c r="O80" s="67">
        <f t="shared" ref="O80:O106" si="20">I80</f>
        <v>7492.81</v>
      </c>
      <c r="P80" s="197">
        <f t="shared" ref="P80:P106" si="21">N80*O80</f>
        <v>7492.81</v>
      </c>
      <c r="Q80" s="114">
        <f t="shared" si="15"/>
        <v>0.05</v>
      </c>
      <c r="R80" s="182">
        <f t="shared" si="16"/>
        <v>0.95</v>
      </c>
      <c r="T80" s="182">
        <f t="shared" ref="T80:T106" si="22">ROUND(283.4/283.34*H80,2)</f>
        <v>1</v>
      </c>
    </row>
    <row r="81" spans="2:20" s="114" customFormat="1" ht="16.5" customHeight="1" x14ac:dyDescent="0.2">
      <c r="B81" s="1"/>
      <c r="C81" s="73" t="s">
        <v>260</v>
      </c>
      <c r="D81" s="73" t="s">
        <v>106</v>
      </c>
      <c r="E81" s="74" t="s">
        <v>261</v>
      </c>
      <c r="F81" s="75" t="s">
        <v>262</v>
      </c>
      <c r="G81" s="76" t="s">
        <v>157</v>
      </c>
      <c r="H81" s="77">
        <v>1</v>
      </c>
      <c r="I81" s="78">
        <v>685.23</v>
      </c>
      <c r="J81" s="77">
        <v>685.2</v>
      </c>
      <c r="K81" s="63">
        <v>0</v>
      </c>
      <c r="L81" s="64">
        <f t="shared" si="17"/>
        <v>685.23</v>
      </c>
      <c r="M81" s="196">
        <f t="shared" si="18"/>
        <v>0</v>
      </c>
      <c r="N81" s="66">
        <f t="shared" si="19"/>
        <v>1</v>
      </c>
      <c r="O81" s="67">
        <f t="shared" si="20"/>
        <v>685.23</v>
      </c>
      <c r="P81" s="197">
        <f t="shared" si="21"/>
        <v>685.23</v>
      </c>
      <c r="Q81" s="114">
        <f t="shared" si="15"/>
        <v>0.05</v>
      </c>
      <c r="R81" s="182">
        <f t="shared" si="16"/>
        <v>0.95</v>
      </c>
      <c r="T81" s="182">
        <f t="shared" si="22"/>
        <v>1</v>
      </c>
    </row>
    <row r="82" spans="2:20" s="114" customFormat="1" ht="16.5" customHeight="1" x14ac:dyDescent="0.2">
      <c r="B82" s="1"/>
      <c r="C82" s="51" t="s">
        <v>222</v>
      </c>
      <c r="D82" s="51" t="s">
        <v>29</v>
      </c>
      <c r="E82" s="52" t="s">
        <v>197</v>
      </c>
      <c r="F82" s="53" t="s">
        <v>198</v>
      </c>
      <c r="G82" s="54" t="s">
        <v>54</v>
      </c>
      <c r="H82" s="55">
        <v>300</v>
      </c>
      <c r="I82" s="56">
        <v>9.2100000000000009</v>
      </c>
      <c r="J82" s="55">
        <v>2763</v>
      </c>
      <c r="K82" s="63">
        <v>-3.1</v>
      </c>
      <c r="L82" s="64">
        <f t="shared" si="17"/>
        <v>9.2100000000000009</v>
      </c>
      <c r="M82" s="196">
        <f t="shared" si="18"/>
        <v>-28.551000000000002</v>
      </c>
      <c r="N82" s="66">
        <f t="shared" si="19"/>
        <v>296.89999999999998</v>
      </c>
      <c r="O82" s="67">
        <f t="shared" si="20"/>
        <v>9.2100000000000009</v>
      </c>
      <c r="P82" s="197">
        <f t="shared" si="21"/>
        <v>2734.4490000000001</v>
      </c>
      <c r="Q82" s="114">
        <f t="shared" si="15"/>
        <v>15</v>
      </c>
      <c r="R82" s="182">
        <f t="shared" si="16"/>
        <v>285</v>
      </c>
      <c r="T82" s="182">
        <f t="shared" si="22"/>
        <v>300.06</v>
      </c>
    </row>
    <row r="83" spans="2:20" s="160" customFormat="1" ht="22.9" customHeight="1" x14ac:dyDescent="0.2">
      <c r="B83" s="2"/>
      <c r="C83" s="223"/>
      <c r="D83" s="221" t="s">
        <v>3</v>
      </c>
      <c r="E83" s="227" t="s">
        <v>65</v>
      </c>
      <c r="F83" s="227" t="s">
        <v>263</v>
      </c>
      <c r="G83" s="223"/>
      <c r="H83" s="223"/>
      <c r="I83" s="224"/>
      <c r="J83" s="228">
        <v>102888.1</v>
      </c>
      <c r="K83" s="226"/>
      <c r="L83" s="211"/>
      <c r="M83" s="209">
        <f>SUM(M84:M86)</f>
        <v>0</v>
      </c>
      <c r="N83" s="210"/>
      <c r="O83" s="211"/>
      <c r="P83" s="209">
        <f>SUM(P84:P86)</f>
        <v>102888.0932</v>
      </c>
      <c r="Q83" s="114">
        <f t="shared" si="15"/>
        <v>0</v>
      </c>
      <c r="R83" s="182">
        <f t="shared" si="16"/>
        <v>0</v>
      </c>
      <c r="T83" s="182">
        <f t="shared" si="22"/>
        <v>0</v>
      </c>
    </row>
    <row r="84" spans="2:20" s="114" customFormat="1" ht="16.5" customHeight="1" x14ac:dyDescent="0.2">
      <c r="B84" s="1"/>
      <c r="C84" s="51" t="s">
        <v>264</v>
      </c>
      <c r="D84" s="51" t="s">
        <v>29</v>
      </c>
      <c r="E84" s="52" t="s">
        <v>201</v>
      </c>
      <c r="F84" s="53" t="s">
        <v>202</v>
      </c>
      <c r="G84" s="54" t="s">
        <v>54</v>
      </c>
      <c r="H84" s="55">
        <v>566.67999999999995</v>
      </c>
      <c r="I84" s="56">
        <v>87.65</v>
      </c>
      <c r="J84" s="55">
        <v>49669.5</v>
      </c>
      <c r="K84" s="63">
        <v>0</v>
      </c>
      <c r="L84" s="64">
        <f t="shared" si="17"/>
        <v>87.65</v>
      </c>
      <c r="M84" s="196">
        <f t="shared" si="18"/>
        <v>0</v>
      </c>
      <c r="N84" s="66">
        <f t="shared" si="19"/>
        <v>566.67999999999995</v>
      </c>
      <c r="O84" s="67">
        <f t="shared" si="20"/>
        <v>87.65</v>
      </c>
      <c r="P84" s="197">
        <f t="shared" si="21"/>
        <v>49669.502</v>
      </c>
      <c r="Q84" s="114">
        <f t="shared" si="15"/>
        <v>28.334</v>
      </c>
      <c r="R84" s="182">
        <f t="shared" si="16"/>
        <v>538.346</v>
      </c>
      <c r="T84" s="182">
        <f t="shared" si="22"/>
        <v>566.79999999999995</v>
      </c>
    </row>
    <row r="85" spans="2:20" s="114" customFormat="1" ht="16.5" customHeight="1" x14ac:dyDescent="0.2">
      <c r="B85" s="1"/>
      <c r="C85" s="51" t="s">
        <v>265</v>
      </c>
      <c r="D85" s="51" t="s">
        <v>29</v>
      </c>
      <c r="E85" s="52" t="s">
        <v>204</v>
      </c>
      <c r="F85" s="53" t="s">
        <v>205</v>
      </c>
      <c r="G85" s="54" t="s">
        <v>54</v>
      </c>
      <c r="H85" s="55">
        <v>566.67999999999995</v>
      </c>
      <c r="I85" s="56">
        <v>72.34</v>
      </c>
      <c r="J85" s="55">
        <v>40993.599999999999</v>
      </c>
      <c r="K85" s="63">
        <v>0</v>
      </c>
      <c r="L85" s="64">
        <f t="shared" si="17"/>
        <v>72.34</v>
      </c>
      <c r="M85" s="196">
        <f t="shared" si="18"/>
        <v>0</v>
      </c>
      <c r="N85" s="66">
        <f t="shared" si="19"/>
        <v>566.67999999999995</v>
      </c>
      <c r="O85" s="67">
        <f t="shared" si="20"/>
        <v>72.34</v>
      </c>
      <c r="P85" s="197">
        <f t="shared" si="21"/>
        <v>40993.631199999996</v>
      </c>
      <c r="Q85" s="114">
        <f t="shared" si="15"/>
        <v>28.334</v>
      </c>
      <c r="R85" s="182">
        <f t="shared" si="16"/>
        <v>538.346</v>
      </c>
      <c r="T85" s="182">
        <f t="shared" si="22"/>
        <v>566.79999999999995</v>
      </c>
    </row>
    <row r="86" spans="2:20" s="114" customFormat="1" ht="16.5" customHeight="1" x14ac:dyDescent="0.2">
      <c r="B86" s="1"/>
      <c r="C86" s="51" t="s">
        <v>266</v>
      </c>
      <c r="D86" s="51" t="s">
        <v>29</v>
      </c>
      <c r="E86" s="52" t="s">
        <v>267</v>
      </c>
      <c r="F86" s="53" t="s">
        <v>268</v>
      </c>
      <c r="G86" s="54" t="s">
        <v>144</v>
      </c>
      <c r="H86" s="55">
        <v>1</v>
      </c>
      <c r="I86" s="56">
        <v>12224.96</v>
      </c>
      <c r="J86" s="55">
        <v>12225</v>
      </c>
      <c r="K86" s="63">
        <v>0</v>
      </c>
      <c r="L86" s="64">
        <f t="shared" si="17"/>
        <v>12224.96</v>
      </c>
      <c r="M86" s="196">
        <f t="shared" si="18"/>
        <v>0</v>
      </c>
      <c r="N86" s="66">
        <f t="shared" si="19"/>
        <v>1</v>
      </c>
      <c r="O86" s="67">
        <f t="shared" si="20"/>
        <v>12224.96</v>
      </c>
      <c r="P86" s="197">
        <f t="shared" si="21"/>
        <v>12224.96</v>
      </c>
      <c r="Q86" s="114">
        <f t="shared" si="15"/>
        <v>0.05</v>
      </c>
      <c r="R86" s="182">
        <f t="shared" si="16"/>
        <v>0.95</v>
      </c>
      <c r="T86" s="182">
        <f t="shared" si="22"/>
        <v>1</v>
      </c>
    </row>
    <row r="87" spans="2:20" s="160" customFormat="1" ht="22.9" customHeight="1" x14ac:dyDescent="0.2">
      <c r="B87" s="2"/>
      <c r="C87" s="223"/>
      <c r="D87" s="221" t="s">
        <v>3</v>
      </c>
      <c r="E87" s="227" t="s">
        <v>269</v>
      </c>
      <c r="F87" s="227" t="s">
        <v>270</v>
      </c>
      <c r="G87" s="223"/>
      <c r="H87" s="223"/>
      <c r="I87" s="224"/>
      <c r="J87" s="228">
        <v>601195.70000000007</v>
      </c>
      <c r="K87" s="226"/>
      <c r="L87" s="211"/>
      <c r="M87" s="209">
        <f>SUM(M88:M96)</f>
        <v>0</v>
      </c>
      <c r="N87" s="210"/>
      <c r="O87" s="211"/>
      <c r="P87" s="209">
        <f>SUM(P88:P96)</f>
        <v>601195.79960000003</v>
      </c>
      <c r="Q87" s="114">
        <f t="shared" si="15"/>
        <v>0</v>
      </c>
      <c r="R87" s="182">
        <f t="shared" si="16"/>
        <v>0</v>
      </c>
      <c r="T87" s="182">
        <f t="shared" si="22"/>
        <v>0</v>
      </c>
    </row>
    <row r="88" spans="2:20" s="114" customFormat="1" ht="28.15" customHeight="1" x14ac:dyDescent="0.2">
      <c r="B88" s="1"/>
      <c r="C88" s="51" t="s">
        <v>271</v>
      </c>
      <c r="D88" s="51" t="s">
        <v>29</v>
      </c>
      <c r="E88" s="52" t="s">
        <v>272</v>
      </c>
      <c r="F88" s="53" t="s">
        <v>273</v>
      </c>
      <c r="G88" s="54" t="s">
        <v>54</v>
      </c>
      <c r="H88" s="55">
        <v>204</v>
      </c>
      <c r="I88" s="56">
        <v>282.51</v>
      </c>
      <c r="J88" s="55">
        <v>57632</v>
      </c>
      <c r="K88" s="63">
        <v>0</v>
      </c>
      <c r="L88" s="64">
        <f t="shared" si="17"/>
        <v>282.51</v>
      </c>
      <c r="M88" s="196">
        <f t="shared" si="18"/>
        <v>0</v>
      </c>
      <c r="N88" s="66">
        <f t="shared" si="19"/>
        <v>204</v>
      </c>
      <c r="O88" s="67">
        <f t="shared" si="20"/>
        <v>282.51</v>
      </c>
      <c r="P88" s="197">
        <f t="shared" si="21"/>
        <v>57632.04</v>
      </c>
      <c r="Q88" s="114">
        <f t="shared" si="15"/>
        <v>10.200000000000001</v>
      </c>
      <c r="R88" s="182">
        <f t="shared" si="16"/>
        <v>193.8</v>
      </c>
      <c r="S88" s="114" t="s">
        <v>550</v>
      </c>
      <c r="T88" s="182">
        <f t="shared" si="22"/>
        <v>204.04</v>
      </c>
    </row>
    <row r="89" spans="2:20" s="114" customFormat="1" ht="16.5" customHeight="1" x14ac:dyDescent="0.2">
      <c r="B89" s="1"/>
      <c r="C89" s="51" t="s">
        <v>274</v>
      </c>
      <c r="D89" s="51" t="s">
        <v>29</v>
      </c>
      <c r="E89" s="52" t="s">
        <v>275</v>
      </c>
      <c r="F89" s="53" t="s">
        <v>276</v>
      </c>
      <c r="G89" s="54" t="s">
        <v>54</v>
      </c>
      <c r="H89" s="55">
        <v>120</v>
      </c>
      <c r="I89" s="56">
        <v>235.42</v>
      </c>
      <c r="J89" s="55">
        <v>28250.400000000001</v>
      </c>
      <c r="K89" s="63">
        <v>0</v>
      </c>
      <c r="L89" s="64">
        <f t="shared" si="17"/>
        <v>235.42</v>
      </c>
      <c r="M89" s="196">
        <f t="shared" si="18"/>
        <v>0</v>
      </c>
      <c r="N89" s="66">
        <f t="shared" si="19"/>
        <v>120</v>
      </c>
      <c r="O89" s="67">
        <f t="shared" si="20"/>
        <v>235.42</v>
      </c>
      <c r="P89" s="197">
        <f t="shared" si="21"/>
        <v>28250.399999999998</v>
      </c>
      <c r="Q89" s="114">
        <f t="shared" si="15"/>
        <v>6</v>
      </c>
      <c r="R89" s="182">
        <f t="shared" si="16"/>
        <v>114</v>
      </c>
      <c r="S89" s="114" t="s">
        <v>550</v>
      </c>
      <c r="T89" s="182">
        <f t="shared" si="22"/>
        <v>120.03</v>
      </c>
    </row>
    <row r="90" spans="2:20" s="114" customFormat="1" ht="22.5" customHeight="1" x14ac:dyDescent="0.2">
      <c r="B90" s="1"/>
      <c r="C90" s="51" t="s">
        <v>277</v>
      </c>
      <c r="D90" s="51" t="s">
        <v>29</v>
      </c>
      <c r="E90" s="52" t="s">
        <v>278</v>
      </c>
      <c r="F90" s="53" t="s">
        <v>279</v>
      </c>
      <c r="G90" s="54" t="s">
        <v>186</v>
      </c>
      <c r="H90" s="55">
        <v>12</v>
      </c>
      <c r="I90" s="56">
        <v>3440.61</v>
      </c>
      <c r="J90" s="55">
        <v>41287.300000000003</v>
      </c>
      <c r="K90" s="63">
        <v>0</v>
      </c>
      <c r="L90" s="64">
        <f t="shared" si="17"/>
        <v>3440.61</v>
      </c>
      <c r="M90" s="196">
        <f t="shared" si="18"/>
        <v>0</v>
      </c>
      <c r="N90" s="66">
        <f t="shared" si="19"/>
        <v>12</v>
      </c>
      <c r="O90" s="67">
        <f t="shared" si="20"/>
        <v>3440.61</v>
      </c>
      <c r="P90" s="197">
        <f t="shared" si="21"/>
        <v>41287.32</v>
      </c>
      <c r="Q90" s="114">
        <f t="shared" si="15"/>
        <v>0.60000000000000009</v>
      </c>
      <c r="R90" s="182">
        <f t="shared" si="16"/>
        <v>11.4</v>
      </c>
      <c r="S90" s="114" t="s">
        <v>550</v>
      </c>
      <c r="T90" s="182">
        <f t="shared" si="22"/>
        <v>12</v>
      </c>
    </row>
    <row r="91" spans="2:20" s="114" customFormat="1" ht="22.5" customHeight="1" x14ac:dyDescent="0.2">
      <c r="B91" s="1"/>
      <c r="C91" s="51" t="s">
        <v>280</v>
      </c>
      <c r="D91" s="51" t="s">
        <v>29</v>
      </c>
      <c r="E91" s="52" t="s">
        <v>281</v>
      </c>
      <c r="F91" s="53" t="s">
        <v>282</v>
      </c>
      <c r="G91" s="54" t="s">
        <v>54</v>
      </c>
      <c r="H91" s="55">
        <v>456</v>
      </c>
      <c r="I91" s="56">
        <v>908.54</v>
      </c>
      <c r="J91" s="55">
        <v>414294.2</v>
      </c>
      <c r="K91" s="63">
        <v>0</v>
      </c>
      <c r="L91" s="64">
        <f t="shared" si="17"/>
        <v>908.54</v>
      </c>
      <c r="M91" s="196">
        <f t="shared" si="18"/>
        <v>0</v>
      </c>
      <c r="N91" s="66">
        <f t="shared" si="19"/>
        <v>456</v>
      </c>
      <c r="O91" s="67">
        <f t="shared" si="20"/>
        <v>908.54</v>
      </c>
      <c r="P91" s="197">
        <f t="shared" si="21"/>
        <v>414294.24</v>
      </c>
      <c r="Q91" s="114">
        <f t="shared" si="15"/>
        <v>22.8</v>
      </c>
      <c r="R91" s="182">
        <f t="shared" si="16"/>
        <v>433.2</v>
      </c>
      <c r="S91" s="114" t="s">
        <v>550</v>
      </c>
      <c r="T91" s="182">
        <f t="shared" si="22"/>
        <v>456.1</v>
      </c>
    </row>
    <row r="92" spans="2:20" s="114" customFormat="1" ht="16.5" customHeight="1" x14ac:dyDescent="0.2">
      <c r="B92" s="1"/>
      <c r="C92" s="51" t="s">
        <v>283</v>
      </c>
      <c r="D92" s="51" t="s">
        <v>29</v>
      </c>
      <c r="E92" s="52" t="s">
        <v>284</v>
      </c>
      <c r="F92" s="53" t="s">
        <v>285</v>
      </c>
      <c r="G92" s="54" t="s">
        <v>58</v>
      </c>
      <c r="H92" s="55">
        <v>16.64</v>
      </c>
      <c r="I92" s="56">
        <v>854.89</v>
      </c>
      <c r="J92" s="55">
        <v>14225.4</v>
      </c>
      <c r="K92" s="63">
        <v>0</v>
      </c>
      <c r="L92" s="64">
        <f t="shared" si="17"/>
        <v>854.89</v>
      </c>
      <c r="M92" s="196">
        <f t="shared" si="18"/>
        <v>0</v>
      </c>
      <c r="N92" s="66">
        <f t="shared" si="19"/>
        <v>16.64</v>
      </c>
      <c r="O92" s="67">
        <f t="shared" si="20"/>
        <v>854.89</v>
      </c>
      <c r="P92" s="197">
        <f t="shared" si="21"/>
        <v>14225.3696</v>
      </c>
      <c r="Q92" s="114">
        <f t="shared" si="15"/>
        <v>0.83200000000000007</v>
      </c>
      <c r="R92" s="182">
        <f t="shared" si="16"/>
        <v>15.808</v>
      </c>
      <c r="S92" s="114" t="s">
        <v>550</v>
      </c>
      <c r="T92" s="182">
        <f t="shared" si="22"/>
        <v>16.64</v>
      </c>
    </row>
    <row r="93" spans="2:20" s="114" customFormat="1" ht="16.5" customHeight="1" x14ac:dyDescent="0.2">
      <c r="B93" s="1"/>
      <c r="C93" s="51" t="s">
        <v>286</v>
      </c>
      <c r="D93" s="51" t="s">
        <v>29</v>
      </c>
      <c r="E93" s="52" t="s">
        <v>287</v>
      </c>
      <c r="F93" s="53" t="s">
        <v>288</v>
      </c>
      <c r="G93" s="54" t="s">
        <v>54</v>
      </c>
      <c r="H93" s="55">
        <v>324</v>
      </c>
      <c r="I93" s="56">
        <v>19.73</v>
      </c>
      <c r="J93" s="55">
        <v>6392.5</v>
      </c>
      <c r="K93" s="63">
        <v>0</v>
      </c>
      <c r="L93" s="64">
        <f t="shared" si="17"/>
        <v>19.73</v>
      </c>
      <c r="M93" s="196">
        <f t="shared" si="18"/>
        <v>0</v>
      </c>
      <c r="N93" s="66">
        <f t="shared" si="19"/>
        <v>324</v>
      </c>
      <c r="O93" s="67">
        <f t="shared" si="20"/>
        <v>19.73</v>
      </c>
      <c r="P93" s="197">
        <f t="shared" si="21"/>
        <v>6392.52</v>
      </c>
      <c r="Q93" s="114">
        <f t="shared" si="15"/>
        <v>16.2</v>
      </c>
      <c r="R93" s="182">
        <f t="shared" si="16"/>
        <v>307.8</v>
      </c>
      <c r="S93" s="114" t="s">
        <v>551</v>
      </c>
      <c r="T93" s="182">
        <f t="shared" si="22"/>
        <v>324.07</v>
      </c>
    </row>
    <row r="94" spans="2:20" s="114" customFormat="1" ht="16.5" customHeight="1" x14ac:dyDescent="0.2">
      <c r="B94" s="1"/>
      <c r="C94" s="51" t="s">
        <v>289</v>
      </c>
      <c r="D94" s="51" t="s">
        <v>29</v>
      </c>
      <c r="E94" s="52" t="s">
        <v>290</v>
      </c>
      <c r="F94" s="53" t="s">
        <v>291</v>
      </c>
      <c r="G94" s="54" t="s">
        <v>54</v>
      </c>
      <c r="H94" s="55">
        <v>324</v>
      </c>
      <c r="I94" s="56">
        <v>13.15</v>
      </c>
      <c r="J94" s="55">
        <v>4260.6000000000004</v>
      </c>
      <c r="K94" s="63">
        <v>0</v>
      </c>
      <c r="L94" s="64">
        <f t="shared" si="17"/>
        <v>13.15</v>
      </c>
      <c r="M94" s="196">
        <f t="shared" si="18"/>
        <v>0</v>
      </c>
      <c r="N94" s="66">
        <f t="shared" si="19"/>
        <v>324</v>
      </c>
      <c r="O94" s="67">
        <f t="shared" si="20"/>
        <v>13.15</v>
      </c>
      <c r="P94" s="197">
        <f t="shared" si="21"/>
        <v>4260.6000000000004</v>
      </c>
      <c r="Q94" s="114">
        <f t="shared" si="15"/>
        <v>16.2</v>
      </c>
      <c r="R94" s="182">
        <f t="shared" si="16"/>
        <v>307.8</v>
      </c>
      <c r="T94" s="182">
        <f t="shared" si="22"/>
        <v>324.07</v>
      </c>
    </row>
    <row r="95" spans="2:20" s="114" customFormat="1" ht="16.5" customHeight="1" x14ac:dyDescent="0.2">
      <c r="B95" s="1"/>
      <c r="C95" s="51" t="s">
        <v>292</v>
      </c>
      <c r="D95" s="51" t="s">
        <v>29</v>
      </c>
      <c r="E95" s="52" t="s">
        <v>293</v>
      </c>
      <c r="F95" s="53" t="s">
        <v>294</v>
      </c>
      <c r="G95" s="54" t="s">
        <v>186</v>
      </c>
      <c r="H95" s="55">
        <v>1</v>
      </c>
      <c r="I95" s="56">
        <v>8548.93</v>
      </c>
      <c r="J95" s="55">
        <v>8548.9</v>
      </c>
      <c r="K95" s="63">
        <v>0</v>
      </c>
      <c r="L95" s="64">
        <f t="shared" si="17"/>
        <v>8548.93</v>
      </c>
      <c r="M95" s="196">
        <f t="shared" si="18"/>
        <v>0</v>
      </c>
      <c r="N95" s="66">
        <f t="shared" si="19"/>
        <v>1</v>
      </c>
      <c r="O95" s="67">
        <f t="shared" si="20"/>
        <v>8548.93</v>
      </c>
      <c r="P95" s="197">
        <f t="shared" si="21"/>
        <v>8548.93</v>
      </c>
      <c r="Q95" s="114">
        <f t="shared" si="15"/>
        <v>0.05</v>
      </c>
      <c r="R95" s="182">
        <f t="shared" si="16"/>
        <v>0.95</v>
      </c>
      <c r="T95" s="182">
        <f t="shared" si="22"/>
        <v>1</v>
      </c>
    </row>
    <row r="96" spans="2:20" s="114" customFormat="1" ht="22.5" customHeight="1" x14ac:dyDescent="0.2">
      <c r="B96" s="1"/>
      <c r="C96" s="51" t="s">
        <v>295</v>
      </c>
      <c r="D96" s="51" t="s">
        <v>29</v>
      </c>
      <c r="E96" s="52" t="s">
        <v>296</v>
      </c>
      <c r="F96" s="53" t="s">
        <v>297</v>
      </c>
      <c r="G96" s="54" t="s">
        <v>186</v>
      </c>
      <c r="H96" s="55">
        <v>2</v>
      </c>
      <c r="I96" s="56">
        <v>13152.19</v>
      </c>
      <c r="J96" s="55">
        <v>26304.400000000001</v>
      </c>
      <c r="K96" s="63">
        <v>0</v>
      </c>
      <c r="L96" s="64">
        <f t="shared" si="17"/>
        <v>13152.19</v>
      </c>
      <c r="M96" s="196">
        <f t="shared" si="18"/>
        <v>0</v>
      </c>
      <c r="N96" s="66">
        <f t="shared" si="19"/>
        <v>2</v>
      </c>
      <c r="O96" s="67">
        <f t="shared" si="20"/>
        <v>13152.19</v>
      </c>
      <c r="P96" s="197">
        <f t="shared" si="21"/>
        <v>26304.38</v>
      </c>
      <c r="Q96" s="114">
        <f t="shared" si="15"/>
        <v>0.1</v>
      </c>
      <c r="R96" s="182">
        <f t="shared" si="16"/>
        <v>1.9</v>
      </c>
      <c r="S96" s="114" t="s">
        <v>550</v>
      </c>
      <c r="T96" s="182">
        <f t="shared" si="22"/>
        <v>2</v>
      </c>
    </row>
    <row r="97" spans="2:20" s="160" customFormat="1" ht="22.9" customHeight="1" x14ac:dyDescent="0.2">
      <c r="B97" s="2"/>
      <c r="C97" s="223"/>
      <c r="D97" s="221" t="s">
        <v>3</v>
      </c>
      <c r="E97" s="227" t="s">
        <v>40</v>
      </c>
      <c r="F97" s="227" t="s">
        <v>41</v>
      </c>
      <c r="G97" s="223"/>
      <c r="H97" s="223"/>
      <c r="I97" s="224"/>
      <c r="J97" s="228">
        <v>115280.29999999999</v>
      </c>
      <c r="K97" s="226"/>
      <c r="L97" s="211"/>
      <c r="M97" s="209">
        <f>SUM(M98:M100)</f>
        <v>-822.00300000000004</v>
      </c>
      <c r="N97" s="210"/>
      <c r="O97" s="211"/>
      <c r="P97" s="209">
        <f>SUM(P98:P100)</f>
        <v>114458.3358</v>
      </c>
      <c r="Q97" s="114">
        <f t="shared" si="15"/>
        <v>0</v>
      </c>
      <c r="R97" s="182">
        <f t="shared" si="16"/>
        <v>0</v>
      </c>
      <c r="T97" s="182">
        <f t="shared" si="22"/>
        <v>0</v>
      </c>
    </row>
    <row r="98" spans="2:20" s="114" customFormat="1" ht="16.5" customHeight="1" x14ac:dyDescent="0.2">
      <c r="B98" s="1"/>
      <c r="C98" s="51" t="s">
        <v>298</v>
      </c>
      <c r="D98" s="51" t="s">
        <v>29</v>
      </c>
      <c r="E98" s="52" t="s">
        <v>42</v>
      </c>
      <c r="F98" s="53" t="s">
        <v>43</v>
      </c>
      <c r="G98" s="54" t="s">
        <v>44</v>
      </c>
      <c r="H98" s="55">
        <v>293.08</v>
      </c>
      <c r="I98" s="56">
        <v>183.8</v>
      </c>
      <c r="J98" s="55">
        <v>53868.1</v>
      </c>
      <c r="K98" s="63">
        <f t="shared" ref="K98" si="23">ROUND(280.3/283.4*T98-T98,2)</f>
        <v>-3.21</v>
      </c>
      <c r="L98" s="64">
        <f t="shared" si="17"/>
        <v>183.8</v>
      </c>
      <c r="M98" s="196">
        <f t="shared" si="18"/>
        <v>-589.99800000000005</v>
      </c>
      <c r="N98" s="66">
        <f t="shared" si="19"/>
        <v>289.87</v>
      </c>
      <c r="O98" s="67">
        <f t="shared" si="20"/>
        <v>183.8</v>
      </c>
      <c r="P98" s="197">
        <f t="shared" si="21"/>
        <v>53278.106000000007</v>
      </c>
      <c r="Q98" s="114">
        <f t="shared" si="15"/>
        <v>14.654</v>
      </c>
      <c r="R98" s="182">
        <f t="shared" si="16"/>
        <v>278.42599999999999</v>
      </c>
      <c r="S98" s="254" t="s">
        <v>549</v>
      </c>
      <c r="T98" s="182">
        <f t="shared" si="22"/>
        <v>293.14</v>
      </c>
    </row>
    <row r="99" spans="2:20" s="114" customFormat="1" ht="16.5" customHeight="1" x14ac:dyDescent="0.2">
      <c r="B99" s="1"/>
      <c r="C99" s="51" t="s">
        <v>299</v>
      </c>
      <c r="D99" s="51" t="s">
        <v>29</v>
      </c>
      <c r="E99" s="52" t="s">
        <v>45</v>
      </c>
      <c r="F99" s="53" t="s">
        <v>46</v>
      </c>
      <c r="G99" s="54" t="s">
        <v>44</v>
      </c>
      <c r="H99" s="55">
        <v>155.94999999999999</v>
      </c>
      <c r="I99" s="56">
        <v>257.77999999999997</v>
      </c>
      <c r="J99" s="55">
        <v>40200.800000000003</v>
      </c>
      <c r="K99" s="63">
        <v>0</v>
      </c>
      <c r="L99" s="64">
        <f t="shared" si="17"/>
        <v>257.77999999999997</v>
      </c>
      <c r="M99" s="196">
        <f t="shared" si="18"/>
        <v>0</v>
      </c>
      <c r="N99" s="66">
        <f t="shared" si="19"/>
        <v>155.94999999999999</v>
      </c>
      <c r="O99" s="67">
        <f t="shared" si="20"/>
        <v>257.77999999999997</v>
      </c>
      <c r="P99" s="197">
        <f t="shared" si="21"/>
        <v>40200.79099999999</v>
      </c>
      <c r="Q99" s="114">
        <f t="shared" si="15"/>
        <v>7.7974999999999994</v>
      </c>
      <c r="R99" s="182">
        <f t="shared" si="16"/>
        <v>148.15249999999997</v>
      </c>
      <c r="S99" s="254"/>
      <c r="T99" s="182">
        <f t="shared" si="22"/>
        <v>155.97999999999999</v>
      </c>
    </row>
    <row r="100" spans="2:20" s="114" customFormat="1" ht="16.5" customHeight="1" x14ac:dyDescent="0.2">
      <c r="B100" s="1"/>
      <c r="C100" s="51" t="s">
        <v>300</v>
      </c>
      <c r="D100" s="51" t="s">
        <v>29</v>
      </c>
      <c r="E100" s="52" t="s">
        <v>209</v>
      </c>
      <c r="F100" s="53" t="s">
        <v>210</v>
      </c>
      <c r="G100" s="54" t="s">
        <v>44</v>
      </c>
      <c r="H100" s="55">
        <v>137.13999999999999</v>
      </c>
      <c r="I100" s="56">
        <v>154.66999999999999</v>
      </c>
      <c r="J100" s="55">
        <v>21211.4</v>
      </c>
      <c r="K100" s="63">
        <f t="shared" ref="K100" si="24">ROUND(280.3/283.4*T100-T100,2)</f>
        <v>-1.5</v>
      </c>
      <c r="L100" s="64">
        <f t="shared" si="17"/>
        <v>154.66999999999999</v>
      </c>
      <c r="M100" s="196">
        <f t="shared" si="18"/>
        <v>-232.005</v>
      </c>
      <c r="N100" s="66">
        <f t="shared" si="19"/>
        <v>135.63999999999999</v>
      </c>
      <c r="O100" s="67">
        <f t="shared" si="20"/>
        <v>154.66999999999999</v>
      </c>
      <c r="P100" s="197">
        <f t="shared" si="21"/>
        <v>20979.438799999996</v>
      </c>
      <c r="Q100" s="114">
        <f t="shared" si="15"/>
        <v>6.8569999999999993</v>
      </c>
      <c r="R100" s="182">
        <f t="shared" si="16"/>
        <v>130.28299999999999</v>
      </c>
      <c r="S100" s="254"/>
      <c r="T100" s="182">
        <f t="shared" si="22"/>
        <v>137.16999999999999</v>
      </c>
    </row>
    <row r="101" spans="2:20" s="160" customFormat="1" ht="22.9" customHeight="1" x14ac:dyDescent="0.2">
      <c r="B101" s="2"/>
      <c r="C101" s="223"/>
      <c r="D101" s="221" t="s">
        <v>3</v>
      </c>
      <c r="E101" s="227" t="s">
        <v>211</v>
      </c>
      <c r="F101" s="227" t="s">
        <v>212</v>
      </c>
      <c r="G101" s="223"/>
      <c r="H101" s="223"/>
      <c r="I101" s="224"/>
      <c r="J101" s="228">
        <v>69474.7</v>
      </c>
      <c r="K101" s="226"/>
      <c r="L101" s="211"/>
      <c r="M101" s="209">
        <f>M102</f>
        <v>-759.74879999999996</v>
      </c>
      <c r="N101" s="210"/>
      <c r="O101" s="211"/>
      <c r="P101" s="209">
        <f>P102</f>
        <v>68714.931000000011</v>
      </c>
      <c r="Q101" s="114">
        <f t="shared" si="15"/>
        <v>0</v>
      </c>
      <c r="R101" s="182">
        <f t="shared" si="16"/>
        <v>0</v>
      </c>
      <c r="T101" s="182">
        <f t="shared" si="22"/>
        <v>0</v>
      </c>
    </row>
    <row r="102" spans="2:20" s="114" customFormat="1" ht="16.5" customHeight="1" x14ac:dyDescent="0.2">
      <c r="B102" s="1"/>
      <c r="C102" s="51" t="s">
        <v>301</v>
      </c>
      <c r="D102" s="51" t="s">
        <v>29</v>
      </c>
      <c r="E102" s="52" t="s">
        <v>214</v>
      </c>
      <c r="F102" s="53" t="s">
        <v>215</v>
      </c>
      <c r="G102" s="54" t="s">
        <v>44</v>
      </c>
      <c r="H102" s="55">
        <v>607.19000000000005</v>
      </c>
      <c r="I102" s="56">
        <v>114.42</v>
      </c>
      <c r="J102" s="55">
        <v>69474.7</v>
      </c>
      <c r="K102" s="63">
        <f t="shared" ref="K102" si="25">ROUND(280.3/283.4*T102-T102,2)</f>
        <v>-6.64</v>
      </c>
      <c r="L102" s="64">
        <f t="shared" si="17"/>
        <v>114.42</v>
      </c>
      <c r="M102" s="196">
        <f t="shared" si="18"/>
        <v>-759.74879999999996</v>
      </c>
      <c r="N102" s="66">
        <f t="shared" si="19"/>
        <v>600.55000000000007</v>
      </c>
      <c r="O102" s="67">
        <f t="shared" si="20"/>
        <v>114.42</v>
      </c>
      <c r="P102" s="197">
        <f t="shared" si="21"/>
        <v>68714.931000000011</v>
      </c>
      <c r="Q102" s="114">
        <f t="shared" si="15"/>
        <v>30.359500000000004</v>
      </c>
      <c r="R102" s="182">
        <f t="shared" si="16"/>
        <v>576.83050000000003</v>
      </c>
      <c r="T102" s="182">
        <f t="shared" si="22"/>
        <v>607.32000000000005</v>
      </c>
    </row>
    <row r="103" spans="2:20" s="160" customFormat="1" ht="25.9" customHeight="1" x14ac:dyDescent="0.2">
      <c r="B103" s="2"/>
      <c r="C103" s="68"/>
      <c r="D103" s="221" t="s">
        <v>3</v>
      </c>
      <c r="E103" s="222" t="s">
        <v>106</v>
      </c>
      <c r="F103" s="222" t="s">
        <v>216</v>
      </c>
      <c r="G103" s="223"/>
      <c r="H103" s="223"/>
      <c r="I103" s="224"/>
      <c r="J103" s="225">
        <v>13416</v>
      </c>
      <c r="K103" s="226"/>
      <c r="L103" s="211"/>
      <c r="M103" s="209">
        <f>M104</f>
        <v>-146.6816</v>
      </c>
      <c r="N103" s="210"/>
      <c r="O103" s="211"/>
      <c r="P103" s="209">
        <f>P104</f>
        <v>13269.318400000004</v>
      </c>
      <c r="Q103" s="114">
        <f t="shared" si="15"/>
        <v>0</v>
      </c>
      <c r="R103" s="182">
        <f t="shared" si="16"/>
        <v>0</v>
      </c>
      <c r="T103" s="182">
        <f t="shared" si="22"/>
        <v>0</v>
      </c>
    </row>
    <row r="104" spans="2:20" s="160" customFormat="1" ht="22.9" customHeight="1" x14ac:dyDescent="0.2">
      <c r="B104" s="2"/>
      <c r="C104" s="68"/>
      <c r="D104" s="221" t="s">
        <v>3</v>
      </c>
      <c r="E104" s="227" t="s">
        <v>217</v>
      </c>
      <c r="F104" s="227" t="s">
        <v>218</v>
      </c>
      <c r="G104" s="223"/>
      <c r="H104" s="223"/>
      <c r="I104" s="224"/>
      <c r="J104" s="228">
        <v>13416</v>
      </c>
      <c r="K104" s="226"/>
      <c r="L104" s="211"/>
      <c r="M104" s="209">
        <f>SUM(M105:M106)</f>
        <v>-146.6816</v>
      </c>
      <c r="N104" s="210"/>
      <c r="O104" s="211"/>
      <c r="P104" s="209">
        <f>SUM(P105:P106)</f>
        <v>13269.318400000004</v>
      </c>
      <c r="Q104" s="114">
        <f t="shared" si="15"/>
        <v>0</v>
      </c>
      <c r="R104" s="182">
        <f t="shared" si="16"/>
        <v>0</v>
      </c>
      <c r="T104" s="182">
        <f t="shared" si="22"/>
        <v>0</v>
      </c>
    </row>
    <row r="105" spans="2:20" s="114" customFormat="1" ht="16.5" customHeight="1" x14ac:dyDescent="0.2">
      <c r="B105" s="1"/>
      <c r="C105" s="51" t="s">
        <v>302</v>
      </c>
      <c r="D105" s="51" t="s">
        <v>29</v>
      </c>
      <c r="E105" s="52" t="s">
        <v>220</v>
      </c>
      <c r="F105" s="53" t="s">
        <v>221</v>
      </c>
      <c r="G105" s="54" t="s">
        <v>54</v>
      </c>
      <c r="H105" s="55">
        <v>300</v>
      </c>
      <c r="I105" s="56">
        <v>17.100000000000001</v>
      </c>
      <c r="J105" s="55">
        <v>5130</v>
      </c>
      <c r="K105" s="63">
        <f t="shared" ref="K105:K106" si="26">ROUND(280.3/283.4*T105-T105,2)</f>
        <v>-3.28</v>
      </c>
      <c r="L105" s="64">
        <f t="shared" si="17"/>
        <v>17.100000000000001</v>
      </c>
      <c r="M105" s="196">
        <f t="shared" si="18"/>
        <v>-56.088000000000001</v>
      </c>
      <c r="N105" s="66">
        <f t="shared" si="19"/>
        <v>296.72000000000003</v>
      </c>
      <c r="O105" s="67">
        <f t="shared" si="20"/>
        <v>17.100000000000001</v>
      </c>
      <c r="P105" s="197">
        <f t="shared" si="21"/>
        <v>5073.9120000000012</v>
      </c>
      <c r="Q105" s="114">
        <f t="shared" si="15"/>
        <v>15</v>
      </c>
      <c r="R105" s="182">
        <f t="shared" si="16"/>
        <v>285</v>
      </c>
      <c r="T105" s="182">
        <f t="shared" si="22"/>
        <v>300.06</v>
      </c>
    </row>
    <row r="106" spans="2:20" s="114" customFormat="1" ht="16.5" customHeight="1" x14ac:dyDescent="0.2">
      <c r="B106" s="1"/>
      <c r="C106" s="73" t="s">
        <v>303</v>
      </c>
      <c r="D106" s="73" t="s">
        <v>106</v>
      </c>
      <c r="E106" s="74" t="s">
        <v>224</v>
      </c>
      <c r="F106" s="75" t="s">
        <v>225</v>
      </c>
      <c r="G106" s="76" t="s">
        <v>54</v>
      </c>
      <c r="H106" s="77">
        <v>300</v>
      </c>
      <c r="I106" s="78">
        <v>27.62</v>
      </c>
      <c r="J106" s="77">
        <v>8286</v>
      </c>
      <c r="K106" s="63">
        <f t="shared" si="26"/>
        <v>-3.28</v>
      </c>
      <c r="L106" s="64">
        <f t="shared" si="17"/>
        <v>27.62</v>
      </c>
      <c r="M106" s="196">
        <f t="shared" si="18"/>
        <v>-90.593599999999995</v>
      </c>
      <c r="N106" s="66">
        <f t="shared" si="19"/>
        <v>296.72000000000003</v>
      </c>
      <c r="O106" s="67">
        <f t="shared" si="20"/>
        <v>27.62</v>
      </c>
      <c r="P106" s="197">
        <f t="shared" si="21"/>
        <v>8195.4064000000017</v>
      </c>
      <c r="Q106" s="114">
        <f t="shared" si="15"/>
        <v>15</v>
      </c>
      <c r="R106" s="182">
        <f t="shared" si="16"/>
        <v>285</v>
      </c>
      <c r="T106" s="182">
        <f t="shared" si="22"/>
        <v>300.06</v>
      </c>
    </row>
    <row r="107" spans="2:20" s="114" customFormat="1" ht="6.95" customHeight="1" x14ac:dyDescent="0.2">
      <c r="B107" s="1"/>
      <c r="C107" s="1"/>
      <c r="D107" s="1"/>
      <c r="E107" s="1"/>
      <c r="F107" s="1"/>
      <c r="G107" s="1"/>
      <c r="H107" s="1"/>
      <c r="I107" s="38"/>
      <c r="J107" s="1"/>
      <c r="T107" s="182"/>
    </row>
    <row r="108" spans="2:20" ht="18" customHeight="1" x14ac:dyDescent="0.2">
      <c r="D108" s="24"/>
      <c r="E108" s="25" t="s">
        <v>525</v>
      </c>
      <c r="F108" s="26"/>
      <c r="G108" s="26"/>
      <c r="H108" s="27"/>
      <c r="I108" s="26"/>
      <c r="J108" s="28">
        <f>J103+J101+J97+J87+J83+J51+J48+J42+J39+J37+J14</f>
        <v>2876528.1</v>
      </c>
      <c r="K108" s="31"/>
      <c r="L108" s="181"/>
      <c r="M108" s="181">
        <f>M103+M101+M97+M87+M83+M51+M48+M42+M39+M37+M14</f>
        <v>-14518.028700000003</v>
      </c>
      <c r="N108" s="31"/>
      <c r="O108" s="181"/>
      <c r="P108" s="181">
        <f>P103+P101+P97+P87+P83+P51+P48+P42+P39+P37+P14</f>
        <v>2862009.8185999999</v>
      </c>
    </row>
    <row r="109" spans="2:20" ht="12.75" x14ac:dyDescent="0.2">
      <c r="H109" s="32"/>
      <c r="I109" s="9"/>
      <c r="J109" s="10"/>
    </row>
    <row r="110" spans="2:20" ht="14.25" x14ac:dyDescent="0.2">
      <c r="E110" s="8" t="str">
        <f>+'Rekapitulace stavby'!$B$25</f>
        <v>Zhotovitel: Jiří Prokop</v>
      </c>
      <c r="F110" s="8"/>
      <c r="G110" s="233" t="s">
        <v>592</v>
      </c>
      <c r="H110" s="32"/>
      <c r="I110" s="9"/>
      <c r="J110" s="8"/>
      <c r="M110" s="8" t="s">
        <v>496</v>
      </c>
    </row>
  </sheetData>
  <sheetProtection formatColumns="0" formatRows="0" autoFilter="0"/>
  <protectedRanges>
    <protectedRange password="CCAA" sqref="K8" name="Oblast1_1_1"/>
    <protectedRange password="CCAA" sqref="D9:H11" name="Oblast1_2"/>
  </protectedRanges>
  <autoFilter ref="B10:P106" xr:uid="{00000000-0001-0000-0300-000000000000}"/>
  <mergeCells count="5">
    <mergeCell ref="S12:S14"/>
    <mergeCell ref="S98:S100"/>
    <mergeCell ref="S31:S33"/>
    <mergeCell ref="K9:M9"/>
    <mergeCell ref="N9:P9"/>
  </mergeCells>
  <conditionalFormatting sqref="G110">
    <cfRule type="cellIs" dxfId="116" priority="4" operator="lessThan">
      <formula>0</formula>
    </cfRule>
  </conditionalFormatting>
  <conditionalFormatting sqref="G110">
    <cfRule type="cellIs" dxfId="115" priority="3" operator="lessThan">
      <formula>0</formula>
    </cfRule>
  </conditionalFormatting>
  <conditionalFormatting sqref="G110">
    <cfRule type="cellIs" dxfId="114" priority="2" operator="lessThan">
      <formula>0</formula>
    </cfRule>
  </conditionalFormatting>
  <conditionalFormatting sqref="G110">
    <cfRule type="cellIs" dxfId="11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4" fitToHeight="0" orientation="landscape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F0"/>
    <pageSetUpPr fitToPage="1"/>
  </sheetPr>
  <dimension ref="B1:AB140"/>
  <sheetViews>
    <sheetView showGridLines="0" view="pageBreakPreview" topLeftCell="A107" zoomScale="90" zoomScaleNormal="90" zoomScaleSheetLayoutView="90" workbookViewId="0">
      <selection activeCell="K131" sqref="K131"/>
    </sheetView>
  </sheetViews>
  <sheetFormatPr defaultColWidth="9.33203125" defaultRowHeight="11.25" x14ac:dyDescent="0.2"/>
  <cols>
    <col min="1" max="1" width="8.33203125" style="9" customWidth="1"/>
    <col min="2" max="2" width="1.6640625" style="9" customWidth="1"/>
    <col min="3" max="3" width="4.1640625" style="9" customWidth="1"/>
    <col min="4" max="4" width="4.33203125" style="9" customWidth="1"/>
    <col min="5" max="5" width="17.1640625" style="9" customWidth="1"/>
    <col min="6" max="6" width="100.83203125" style="9" customWidth="1"/>
    <col min="7" max="7" width="8.6640625" style="9" customWidth="1"/>
    <col min="8" max="8" width="11.1640625" style="9" customWidth="1"/>
    <col min="9" max="9" width="14.1640625" style="161" customWidth="1"/>
    <col min="10" max="10" width="23.5" style="9" customWidth="1"/>
    <col min="11" max="11" width="15" style="9" customWidth="1"/>
    <col min="12" max="12" width="18.83203125" style="9" customWidth="1"/>
    <col min="13" max="13" width="17" style="9" bestFit="1" customWidth="1"/>
    <col min="14" max="14" width="12.6640625" style="9" customWidth="1"/>
    <col min="15" max="15" width="18.6640625" style="9" bestFit="1" customWidth="1"/>
    <col min="16" max="16" width="22" style="9" bestFit="1" customWidth="1"/>
    <col min="17" max="17" width="23.1640625" style="9" hidden="1" customWidth="1"/>
    <col min="18" max="18" width="0" style="9" hidden="1" customWidth="1"/>
    <col min="19" max="19" width="22.6640625" style="9" hidden="1" customWidth="1"/>
    <col min="20" max="21" width="0" style="9" hidden="1" customWidth="1"/>
    <col min="22" max="22" width="25.1640625" style="9" hidden="1" customWidth="1"/>
    <col min="23" max="23" width="27.33203125" style="9" hidden="1" customWidth="1"/>
    <col min="24" max="24" width="0" style="9" hidden="1" customWidth="1"/>
    <col min="25" max="26" width="9.33203125" style="9" hidden="1" customWidth="1"/>
    <col min="27" max="27" width="22.33203125" style="9" customWidth="1"/>
    <col min="28" max="16384" width="9.33203125" style="9"/>
  </cols>
  <sheetData>
    <row r="1" spans="2:27" ht="18.75" customHeight="1" x14ac:dyDescent="0.2">
      <c r="F1" s="12"/>
      <c r="G1" s="83"/>
      <c r="H1" s="82"/>
      <c r="I1" s="9"/>
      <c r="J1" s="10"/>
    </row>
    <row r="2" spans="2:27" s="82" customFormat="1" ht="18" customHeight="1" x14ac:dyDescent="0.2">
      <c r="E2" s="14"/>
      <c r="F2" s="12" t="s">
        <v>471</v>
      </c>
      <c r="G2" s="83" t="s">
        <v>542</v>
      </c>
      <c r="I2" s="85"/>
      <c r="J2" s="135"/>
      <c r="K2" s="89"/>
      <c r="L2" s="90"/>
      <c r="M2" s="90"/>
      <c r="N2" s="91"/>
      <c r="O2" s="136"/>
    </row>
    <row r="3" spans="2:27" s="82" customFormat="1" ht="18" customHeight="1" x14ac:dyDescent="0.2">
      <c r="E3" s="14"/>
      <c r="F3" s="12" t="s">
        <v>473</v>
      </c>
      <c r="G3" s="83" t="s">
        <v>2</v>
      </c>
      <c r="H3" s="14"/>
      <c r="I3" s="85"/>
      <c r="J3" s="135"/>
      <c r="K3" s="89"/>
      <c r="L3" s="90"/>
      <c r="M3" s="90"/>
      <c r="N3" s="91"/>
      <c r="O3" s="136"/>
    </row>
    <row r="4" spans="2:27" s="14" customFormat="1" ht="18" customHeight="1" x14ac:dyDescent="0.2">
      <c r="F4" s="3" t="s">
        <v>474</v>
      </c>
      <c r="G4" s="13" t="s">
        <v>475</v>
      </c>
      <c r="I4" s="85"/>
      <c r="J4" s="137"/>
      <c r="K4" s="96"/>
      <c r="L4" s="97"/>
      <c r="M4" s="97"/>
      <c r="N4" s="98"/>
      <c r="O4" s="138"/>
    </row>
    <row r="5" spans="2:27" s="14" customFormat="1" ht="18" customHeight="1" x14ac:dyDescent="0.2">
      <c r="F5" s="3" t="s">
        <v>476</v>
      </c>
      <c r="G5" s="13" t="s">
        <v>477</v>
      </c>
      <c r="I5" s="85"/>
      <c r="J5" s="137"/>
      <c r="K5" s="96"/>
      <c r="L5" s="97"/>
      <c r="M5" s="97"/>
      <c r="N5" s="98"/>
      <c r="O5" s="138"/>
    </row>
    <row r="6" spans="2:27" s="14" customFormat="1" ht="18" customHeight="1" x14ac:dyDescent="0.2">
      <c r="F6" s="12" t="s">
        <v>478</v>
      </c>
      <c r="G6" s="13" t="s">
        <v>479</v>
      </c>
      <c r="I6" s="85"/>
      <c r="J6" s="137"/>
      <c r="K6" s="96"/>
      <c r="L6" s="97"/>
      <c r="M6" s="97"/>
      <c r="N6" s="98"/>
      <c r="O6" s="138"/>
    </row>
    <row r="7" spans="2:27" s="14" customFormat="1" ht="18" customHeight="1" x14ac:dyDescent="0.2">
      <c r="F7" s="12" t="s">
        <v>480</v>
      </c>
      <c r="G7" s="99" t="s">
        <v>481</v>
      </c>
      <c r="H7" s="139"/>
      <c r="I7" s="85"/>
      <c r="J7" s="137"/>
      <c r="K7" s="96"/>
      <c r="L7" s="97"/>
      <c r="M7" s="97"/>
      <c r="N7" s="98"/>
      <c r="O7" s="138"/>
    </row>
    <row r="8" spans="2:27" s="15" customFormat="1" ht="18" customHeight="1" x14ac:dyDescent="0.2">
      <c r="D8" s="140"/>
      <c r="F8" s="12"/>
      <c r="G8" s="99"/>
      <c r="H8" s="139"/>
      <c r="K8" s="143" t="s">
        <v>498</v>
      </c>
      <c r="L8" s="144" t="str">
        <f>+C12</f>
        <v>R3 - Vodovodní řad R3</v>
      </c>
      <c r="M8" s="144"/>
      <c r="O8" s="145"/>
    </row>
    <row r="9" spans="2:27" s="16" customFormat="1" ht="20.100000000000001" customHeight="1" x14ac:dyDescent="0.2">
      <c r="C9" s="162"/>
      <c r="D9" s="163"/>
      <c r="E9" s="163"/>
      <c r="F9" s="163"/>
      <c r="G9" s="163"/>
      <c r="H9" s="163"/>
      <c r="I9" s="164"/>
      <c r="J9" s="165"/>
      <c r="K9" s="242" t="s">
        <v>587</v>
      </c>
      <c r="L9" s="242"/>
      <c r="M9" s="243"/>
      <c r="N9" s="244" t="s">
        <v>588</v>
      </c>
      <c r="O9" s="244"/>
      <c r="P9" s="245"/>
    </row>
    <row r="10" spans="2:27" s="16" customFormat="1" ht="24" customHeight="1" x14ac:dyDescent="0.2">
      <c r="C10" s="166"/>
      <c r="D10" s="167" t="s">
        <v>516</v>
      </c>
      <c r="E10" s="167" t="s">
        <v>517</v>
      </c>
      <c r="F10" s="167" t="s">
        <v>518</v>
      </c>
      <c r="G10" s="167" t="s">
        <v>24</v>
      </c>
      <c r="H10" s="168" t="s">
        <v>25</v>
      </c>
      <c r="I10" s="169" t="s">
        <v>519</v>
      </c>
      <c r="J10" s="170" t="s">
        <v>520</v>
      </c>
      <c r="K10" s="46" t="s">
        <v>521</v>
      </c>
      <c r="L10" s="47" t="s">
        <v>584</v>
      </c>
      <c r="M10" s="47" t="s">
        <v>585</v>
      </c>
      <c r="N10" s="48" t="s">
        <v>521</v>
      </c>
      <c r="O10" s="49" t="s">
        <v>584</v>
      </c>
      <c r="P10" s="50" t="s">
        <v>586</v>
      </c>
      <c r="Q10" s="184" t="s">
        <v>538</v>
      </c>
      <c r="V10" s="184" t="s">
        <v>547</v>
      </c>
      <c r="W10" s="184" t="s">
        <v>561</v>
      </c>
    </row>
    <row r="11" spans="2:27" s="16" customFormat="1" ht="12.75" x14ac:dyDescent="0.2">
      <c r="D11" s="17"/>
      <c r="E11" s="17"/>
      <c r="F11" s="17"/>
      <c r="G11" s="17"/>
      <c r="H11" s="18"/>
      <c r="I11" s="19"/>
      <c r="J11" s="20"/>
      <c r="K11" s="146"/>
      <c r="L11" s="147"/>
      <c r="M11" s="147"/>
      <c r="N11" s="148"/>
      <c r="O11" s="149"/>
    </row>
    <row r="12" spans="2:27" s="114" customFormat="1" ht="22.9" customHeight="1" x14ac:dyDescent="0.25">
      <c r="B12" s="1"/>
      <c r="C12" s="37" t="s">
        <v>304</v>
      </c>
      <c r="D12" s="1"/>
      <c r="E12" s="1"/>
      <c r="F12" s="1"/>
      <c r="G12" s="1"/>
      <c r="H12" s="1"/>
      <c r="I12" s="38"/>
      <c r="J12" s="39">
        <v>7109051.8000000007</v>
      </c>
      <c r="K12" s="156" t="str">
        <f>IF(ISBLANK(H12),"",SUM(#REF!+#REF!+#REF!+#REF!+#REF!+#REF!+#REF!+#REF!+#REF!+#REF!+#REF!+#REF!+#REF!+#REF!+#REF!,#REF!,#REF!,#REF!+#REF!,#REF!,#REF!,#REF!,#REF!,#REF!))</f>
        <v/>
      </c>
      <c r="L12" s="157" t="str">
        <f>IF(ISBLANK(H12),"",SUM(#REF!+#REF!+#REF!+#REF!+#REF!+#REF!+#REF!+#REF!+#REF!+#REF!+#REF!+#REF!+#REF!+#REF!,#REF!,#REF!,#REF!,#REF!,#REF!,#REF!,#REF!,#REF!,#REF!))</f>
        <v/>
      </c>
      <c r="M12" s="157"/>
      <c r="N12" s="158" t="str">
        <f>IF(ISBLANK(H12),"",H12-K12)</f>
        <v/>
      </c>
      <c r="O12" s="159" t="str">
        <f>IF(ISBLANK(H12),"",J12-L12)</f>
        <v/>
      </c>
    </row>
    <row r="13" spans="2:27" s="160" customFormat="1" ht="25.9" customHeight="1" x14ac:dyDescent="0.2">
      <c r="B13" s="2"/>
      <c r="C13" s="2"/>
      <c r="D13" s="40" t="s">
        <v>3</v>
      </c>
      <c r="E13" s="41" t="s">
        <v>26</v>
      </c>
      <c r="F13" s="41" t="s">
        <v>27</v>
      </c>
      <c r="G13" s="2"/>
      <c r="H13" s="2"/>
      <c r="I13" s="42"/>
      <c r="J13" s="43">
        <v>7074393.8000000007</v>
      </c>
      <c r="K13" s="156" t="str">
        <f>IF(ISBLANK(H13),"",SUM(#REF!+#REF!+#REF!+#REF!+#REF!+#REF!+#REF!+#REF!+#REF!+#REF!+#REF!+#REF!+#REF!+#REF!+#REF!,#REF!,#REF!,#REF!+#REF!,#REF!,#REF!,#REF!,#REF!,#REF!))</f>
        <v/>
      </c>
      <c r="L13" s="157" t="str">
        <f>IF(ISBLANK(H13),"",SUM(#REF!+#REF!+#REF!+#REF!+#REF!+#REF!+#REF!+#REF!+#REF!+#REF!+#REF!+#REF!+#REF!+#REF!,#REF!,#REF!,#REF!,#REF!,#REF!,#REF!,#REF!,#REF!,#REF!))</f>
        <v/>
      </c>
      <c r="M13" s="157"/>
      <c r="N13" s="158" t="str">
        <f>IF(ISBLANK(H13),"",H13-K13)</f>
        <v/>
      </c>
      <c r="O13" s="159" t="str">
        <f>IF(ISBLANK(H13),"",J13-L13)</f>
        <v/>
      </c>
    </row>
    <row r="14" spans="2:27" s="160" customFormat="1" ht="22.9" customHeight="1" x14ac:dyDescent="0.2">
      <c r="B14" s="2"/>
      <c r="C14" s="213"/>
      <c r="D14" s="214" t="s">
        <v>3</v>
      </c>
      <c r="E14" s="215" t="s">
        <v>6</v>
      </c>
      <c r="F14" s="215" t="s">
        <v>28</v>
      </c>
      <c r="G14" s="213"/>
      <c r="H14" s="213"/>
      <c r="I14" s="216"/>
      <c r="J14" s="217">
        <v>1970636.3</v>
      </c>
      <c r="K14" s="218" t="str">
        <f>IF(ISBLANK(H14),"",SUM(#REF!+#REF!+#REF!+#REF!+#REF!+#REF!+#REF!+#REF!+#REF!+#REF!+#REF!+#REF!+#REF!+#REF!+#REF!,#REF!,#REF!,#REF!+#REF!,#REF!,#REF!,#REF!,#REF!,#REF!))</f>
        <v/>
      </c>
      <c r="L14" s="219" t="str">
        <f>IF(ISBLANK(H14),"",SUM(#REF!+#REF!+#REF!+#REF!+#REF!+#REF!+#REF!+#REF!+#REF!+#REF!+#REF!+#REF!+#REF!+#REF!,#REF!,#REF!,#REF!,#REF!,#REF!,#REF!,#REF!,#REF!,#REF!))</f>
        <v/>
      </c>
      <c r="M14" s="219">
        <f>SUM(M15:M37)</f>
        <v>-75004.60030000002</v>
      </c>
      <c r="N14" s="220" t="str">
        <f>IF(ISBLANK(H14),"",H14-K14)</f>
        <v/>
      </c>
      <c r="O14" s="219" t="str">
        <f>IF(ISBLANK(H14),"",J14-L14)</f>
        <v/>
      </c>
      <c r="P14" s="219">
        <f>SUM(P15:P37)</f>
        <v>1895631.6809</v>
      </c>
      <c r="Q14" s="191" t="s">
        <v>539</v>
      </c>
      <c r="AA14" s="231" t="s">
        <v>589</v>
      </c>
    </row>
    <row r="15" spans="2:27" s="114" customFormat="1" ht="16.5" customHeight="1" x14ac:dyDescent="0.2">
      <c r="B15" s="1"/>
      <c r="C15" s="51" t="s">
        <v>7</v>
      </c>
      <c r="D15" s="51" t="s">
        <v>29</v>
      </c>
      <c r="E15" s="52" t="s">
        <v>48</v>
      </c>
      <c r="F15" s="53" t="s">
        <v>49</v>
      </c>
      <c r="G15" s="54" t="s">
        <v>32</v>
      </c>
      <c r="H15" s="55">
        <v>814.45</v>
      </c>
      <c r="I15" s="56">
        <v>40.770000000000003</v>
      </c>
      <c r="J15" s="55">
        <v>33205.1</v>
      </c>
      <c r="K15" s="63">
        <f>ROUND(720.8/751.5*AA15-AA15,2)</f>
        <v>-33.270000000000003</v>
      </c>
      <c r="L15" s="64">
        <f>I15</f>
        <v>40.770000000000003</v>
      </c>
      <c r="M15" s="196">
        <f>K15*L15</f>
        <v>-1356.4179000000001</v>
      </c>
      <c r="N15" s="66">
        <f>H15+K15</f>
        <v>781.18000000000006</v>
      </c>
      <c r="O15" s="67">
        <f>I15</f>
        <v>40.770000000000003</v>
      </c>
      <c r="P15" s="197">
        <f>N15*O15</f>
        <v>31848.708600000005</v>
      </c>
      <c r="W15" s="182"/>
      <c r="AA15" s="114">
        <f>ROUND(751.5/751.5*H15,2)</f>
        <v>814.45</v>
      </c>
    </row>
    <row r="16" spans="2:27" s="114" customFormat="1" ht="16.5" customHeight="1" x14ac:dyDescent="0.2">
      <c r="B16" s="1"/>
      <c r="C16" s="51" t="s">
        <v>14</v>
      </c>
      <c r="D16" s="51" t="s">
        <v>29</v>
      </c>
      <c r="E16" s="52" t="s">
        <v>305</v>
      </c>
      <c r="F16" s="53" t="s">
        <v>306</v>
      </c>
      <c r="G16" s="54" t="s">
        <v>32</v>
      </c>
      <c r="H16" s="55">
        <v>290.95</v>
      </c>
      <c r="I16" s="56">
        <v>53.92</v>
      </c>
      <c r="J16" s="55">
        <v>15688</v>
      </c>
      <c r="K16" s="63">
        <f t="shared" ref="K16:K37" si="0">ROUND(720.8/751.5*AA16-AA16,2)</f>
        <v>-11.89</v>
      </c>
      <c r="L16" s="64">
        <f t="shared" ref="L16:L79" si="1">I16</f>
        <v>53.92</v>
      </c>
      <c r="M16" s="196">
        <f t="shared" ref="M16:M79" si="2">K16*L16</f>
        <v>-641.10880000000009</v>
      </c>
      <c r="N16" s="66">
        <f t="shared" ref="N16:N79" si="3">H16+K16</f>
        <v>279.06</v>
      </c>
      <c r="O16" s="67">
        <f t="shared" ref="O16:O79" si="4">I16</f>
        <v>53.92</v>
      </c>
      <c r="P16" s="197">
        <f t="shared" ref="P16:P79" si="5">N16*O16</f>
        <v>15046.915200000001</v>
      </c>
      <c r="W16" s="182"/>
      <c r="AA16" s="114">
        <f t="shared" ref="AA16:AA79" si="6">ROUND(751.5/751.5*H16,2)</f>
        <v>290.95</v>
      </c>
    </row>
    <row r="17" spans="2:27" s="114" customFormat="1" ht="16.5" customHeight="1" x14ac:dyDescent="0.2">
      <c r="B17" s="1"/>
      <c r="C17" s="51" t="s">
        <v>33</v>
      </c>
      <c r="D17" s="51" t="s">
        <v>29</v>
      </c>
      <c r="E17" s="52" t="s">
        <v>30</v>
      </c>
      <c r="F17" s="53" t="s">
        <v>31</v>
      </c>
      <c r="G17" s="54" t="s">
        <v>32</v>
      </c>
      <c r="H17" s="55">
        <v>999.41</v>
      </c>
      <c r="I17" s="56">
        <v>55.24</v>
      </c>
      <c r="J17" s="55">
        <v>55207.4</v>
      </c>
      <c r="K17" s="63">
        <v>0</v>
      </c>
      <c r="L17" s="64">
        <f t="shared" si="1"/>
        <v>55.24</v>
      </c>
      <c r="M17" s="196">
        <f t="shared" si="2"/>
        <v>0</v>
      </c>
      <c r="N17" s="66">
        <f t="shared" si="3"/>
        <v>999.41</v>
      </c>
      <c r="O17" s="67">
        <f t="shared" si="4"/>
        <v>55.24</v>
      </c>
      <c r="P17" s="197">
        <f t="shared" si="5"/>
        <v>55207.4084</v>
      </c>
      <c r="W17" s="182"/>
      <c r="AA17" s="114">
        <f t="shared" si="6"/>
        <v>999.41</v>
      </c>
    </row>
    <row r="18" spans="2:27" s="114" customFormat="1" ht="16.5" customHeight="1" x14ac:dyDescent="0.2">
      <c r="B18" s="1"/>
      <c r="C18" s="51" t="s">
        <v>34</v>
      </c>
      <c r="D18" s="51" t="s">
        <v>29</v>
      </c>
      <c r="E18" s="52" t="s">
        <v>50</v>
      </c>
      <c r="F18" s="53" t="s">
        <v>51</v>
      </c>
      <c r="G18" s="54" t="s">
        <v>32</v>
      </c>
      <c r="H18" s="55">
        <v>523.5</v>
      </c>
      <c r="I18" s="56">
        <v>151.25</v>
      </c>
      <c r="J18" s="55">
        <v>79179.399999999994</v>
      </c>
      <c r="K18" s="63">
        <v>0</v>
      </c>
      <c r="L18" s="64">
        <f t="shared" si="1"/>
        <v>151.25</v>
      </c>
      <c r="M18" s="196">
        <f t="shared" si="2"/>
        <v>0</v>
      </c>
      <c r="N18" s="66">
        <f t="shared" si="3"/>
        <v>523.5</v>
      </c>
      <c r="O18" s="67">
        <f t="shared" si="4"/>
        <v>151.25</v>
      </c>
      <c r="P18" s="197">
        <f t="shared" si="5"/>
        <v>79179.375</v>
      </c>
      <c r="W18" s="182"/>
      <c r="AA18" s="114">
        <f t="shared" si="6"/>
        <v>523.5</v>
      </c>
    </row>
    <row r="19" spans="2:27" s="114" customFormat="1" ht="16.5" customHeight="1" x14ac:dyDescent="0.2">
      <c r="B19" s="1"/>
      <c r="C19" s="51" t="s">
        <v>55</v>
      </c>
      <c r="D19" s="51" t="s">
        <v>29</v>
      </c>
      <c r="E19" s="52" t="s">
        <v>52</v>
      </c>
      <c r="F19" s="53" t="s">
        <v>53</v>
      </c>
      <c r="G19" s="54" t="s">
        <v>54</v>
      </c>
      <c r="H19" s="55">
        <v>25</v>
      </c>
      <c r="I19" s="56">
        <v>220.96</v>
      </c>
      <c r="J19" s="55">
        <v>5524</v>
      </c>
      <c r="K19" s="63">
        <f t="shared" si="0"/>
        <v>-1.02</v>
      </c>
      <c r="L19" s="64">
        <f t="shared" si="1"/>
        <v>220.96</v>
      </c>
      <c r="M19" s="196">
        <f t="shared" si="2"/>
        <v>-225.37920000000003</v>
      </c>
      <c r="N19" s="66">
        <f t="shared" si="3"/>
        <v>23.98</v>
      </c>
      <c r="O19" s="67">
        <f t="shared" si="4"/>
        <v>220.96</v>
      </c>
      <c r="P19" s="197">
        <f t="shared" si="5"/>
        <v>5298.6208000000006</v>
      </c>
      <c r="W19" s="182"/>
      <c r="AA19" s="114">
        <f t="shared" si="6"/>
        <v>25</v>
      </c>
    </row>
    <row r="20" spans="2:27" s="114" customFormat="1" ht="16.5" customHeight="1" x14ac:dyDescent="0.2">
      <c r="B20" s="1"/>
      <c r="C20" s="51" t="s">
        <v>59</v>
      </c>
      <c r="D20" s="51" t="s">
        <v>29</v>
      </c>
      <c r="E20" s="52" t="s">
        <v>227</v>
      </c>
      <c r="F20" s="53" t="s">
        <v>228</v>
      </c>
      <c r="G20" s="54" t="s">
        <v>54</v>
      </c>
      <c r="H20" s="55">
        <v>20.9</v>
      </c>
      <c r="I20" s="56">
        <v>147.30000000000001</v>
      </c>
      <c r="J20" s="55">
        <v>3078.6</v>
      </c>
      <c r="K20" s="63">
        <f t="shared" si="0"/>
        <v>-0.85</v>
      </c>
      <c r="L20" s="64">
        <f t="shared" si="1"/>
        <v>147.30000000000001</v>
      </c>
      <c r="M20" s="196">
        <f t="shared" si="2"/>
        <v>-125.20500000000001</v>
      </c>
      <c r="N20" s="66">
        <f t="shared" si="3"/>
        <v>20.049999999999997</v>
      </c>
      <c r="O20" s="67">
        <f t="shared" si="4"/>
        <v>147.30000000000001</v>
      </c>
      <c r="P20" s="197">
        <f t="shared" si="5"/>
        <v>2953.3649999999998</v>
      </c>
      <c r="W20" s="182"/>
      <c r="AA20" s="114">
        <f t="shared" si="6"/>
        <v>20.9</v>
      </c>
    </row>
    <row r="21" spans="2:27" s="114" customFormat="1" ht="16.5" customHeight="1" x14ac:dyDescent="0.2">
      <c r="B21" s="1"/>
      <c r="C21" s="51" t="s">
        <v>62</v>
      </c>
      <c r="D21" s="51" t="s">
        <v>29</v>
      </c>
      <c r="E21" s="52" t="s">
        <v>60</v>
      </c>
      <c r="F21" s="53" t="s">
        <v>61</v>
      </c>
      <c r="G21" s="54" t="s">
        <v>58</v>
      </c>
      <c r="H21" s="55">
        <v>20.6</v>
      </c>
      <c r="I21" s="56">
        <v>257.77999999999997</v>
      </c>
      <c r="J21" s="55">
        <v>5310.3</v>
      </c>
      <c r="K21" s="63">
        <f t="shared" si="0"/>
        <v>-0.84</v>
      </c>
      <c r="L21" s="64">
        <f t="shared" si="1"/>
        <v>257.77999999999997</v>
      </c>
      <c r="M21" s="196">
        <f t="shared" si="2"/>
        <v>-216.53519999999997</v>
      </c>
      <c r="N21" s="66">
        <f t="shared" si="3"/>
        <v>19.760000000000002</v>
      </c>
      <c r="O21" s="67">
        <f t="shared" si="4"/>
        <v>257.77999999999997</v>
      </c>
      <c r="P21" s="197">
        <f t="shared" si="5"/>
        <v>5093.7327999999998</v>
      </c>
      <c r="W21" s="182"/>
      <c r="AA21" s="114">
        <f t="shared" si="6"/>
        <v>20.6</v>
      </c>
    </row>
    <row r="22" spans="2:27" s="114" customFormat="1" ht="16.5" customHeight="1" x14ac:dyDescent="0.2">
      <c r="B22" s="1"/>
      <c r="C22" s="51" t="s">
        <v>65</v>
      </c>
      <c r="D22" s="51" t="s">
        <v>29</v>
      </c>
      <c r="E22" s="52" t="s">
        <v>63</v>
      </c>
      <c r="F22" s="53" t="s">
        <v>64</v>
      </c>
      <c r="G22" s="54" t="s">
        <v>58</v>
      </c>
      <c r="H22" s="55">
        <v>402.51</v>
      </c>
      <c r="I22" s="56">
        <v>257.77999999999997</v>
      </c>
      <c r="J22" s="55">
        <v>103759</v>
      </c>
      <c r="K22" s="63">
        <f t="shared" si="0"/>
        <v>-16.440000000000001</v>
      </c>
      <c r="L22" s="64">
        <f t="shared" si="1"/>
        <v>257.77999999999997</v>
      </c>
      <c r="M22" s="196">
        <f t="shared" si="2"/>
        <v>-4237.9031999999997</v>
      </c>
      <c r="N22" s="66">
        <f t="shared" si="3"/>
        <v>386.07</v>
      </c>
      <c r="O22" s="67">
        <f t="shared" si="4"/>
        <v>257.77999999999997</v>
      </c>
      <c r="P22" s="197">
        <f t="shared" si="5"/>
        <v>99521.124599999981</v>
      </c>
      <c r="W22" s="182"/>
      <c r="AA22" s="114">
        <f t="shared" si="6"/>
        <v>402.51</v>
      </c>
    </row>
    <row r="23" spans="2:27" s="114" customFormat="1" ht="16.5" customHeight="1" x14ac:dyDescent="0.2">
      <c r="B23" s="1"/>
      <c r="C23" s="51" t="s">
        <v>68</v>
      </c>
      <c r="D23" s="51" t="s">
        <v>29</v>
      </c>
      <c r="E23" s="52" t="s">
        <v>66</v>
      </c>
      <c r="F23" s="53" t="s">
        <v>67</v>
      </c>
      <c r="G23" s="54" t="s">
        <v>58</v>
      </c>
      <c r="H23" s="55">
        <v>120.75</v>
      </c>
      <c r="I23" s="56">
        <v>13.15</v>
      </c>
      <c r="J23" s="55">
        <v>1587.9</v>
      </c>
      <c r="K23" s="63">
        <f t="shared" si="0"/>
        <v>-4.93</v>
      </c>
      <c r="L23" s="64">
        <f t="shared" si="1"/>
        <v>13.15</v>
      </c>
      <c r="M23" s="196">
        <f t="shared" si="2"/>
        <v>-64.829499999999996</v>
      </c>
      <c r="N23" s="66">
        <f t="shared" si="3"/>
        <v>115.82</v>
      </c>
      <c r="O23" s="67">
        <f t="shared" si="4"/>
        <v>13.15</v>
      </c>
      <c r="P23" s="197">
        <f t="shared" si="5"/>
        <v>1523.0329999999999</v>
      </c>
      <c r="W23" s="182"/>
      <c r="AA23" s="114">
        <f t="shared" si="6"/>
        <v>120.75</v>
      </c>
    </row>
    <row r="24" spans="2:27" s="114" customFormat="1" ht="16.5" customHeight="1" x14ac:dyDescent="0.2">
      <c r="B24" s="1"/>
      <c r="C24" s="51" t="s">
        <v>71</v>
      </c>
      <c r="D24" s="51" t="s">
        <v>29</v>
      </c>
      <c r="E24" s="52" t="s">
        <v>69</v>
      </c>
      <c r="F24" s="53" t="s">
        <v>70</v>
      </c>
      <c r="G24" s="54" t="s">
        <v>58</v>
      </c>
      <c r="H24" s="55">
        <v>383.29</v>
      </c>
      <c r="I24" s="56">
        <v>315.64999999999998</v>
      </c>
      <c r="J24" s="55">
        <v>120985.5</v>
      </c>
      <c r="K24" s="63">
        <f t="shared" si="0"/>
        <v>-15.66</v>
      </c>
      <c r="L24" s="64">
        <f t="shared" si="1"/>
        <v>315.64999999999998</v>
      </c>
      <c r="M24" s="196">
        <f t="shared" si="2"/>
        <v>-4943.0789999999997</v>
      </c>
      <c r="N24" s="66">
        <f t="shared" si="3"/>
        <v>367.63</v>
      </c>
      <c r="O24" s="67">
        <f t="shared" si="4"/>
        <v>315.64999999999998</v>
      </c>
      <c r="P24" s="197">
        <f t="shared" si="5"/>
        <v>116042.40949999999</v>
      </c>
      <c r="W24" s="182"/>
      <c r="AA24" s="114">
        <f t="shared" si="6"/>
        <v>383.29</v>
      </c>
    </row>
    <row r="25" spans="2:27" s="114" customFormat="1" ht="16.5" customHeight="1" x14ac:dyDescent="0.2">
      <c r="B25" s="1"/>
      <c r="C25" s="51" t="s">
        <v>74</v>
      </c>
      <c r="D25" s="51" t="s">
        <v>29</v>
      </c>
      <c r="E25" s="52" t="s">
        <v>72</v>
      </c>
      <c r="F25" s="53" t="s">
        <v>73</v>
      </c>
      <c r="G25" s="54" t="s">
        <v>58</v>
      </c>
      <c r="H25" s="55">
        <v>114.99</v>
      </c>
      <c r="I25" s="56">
        <v>15.78</v>
      </c>
      <c r="J25" s="55">
        <v>1814.5</v>
      </c>
      <c r="K25" s="63">
        <f t="shared" si="0"/>
        <v>-4.7</v>
      </c>
      <c r="L25" s="64">
        <f t="shared" si="1"/>
        <v>15.78</v>
      </c>
      <c r="M25" s="196">
        <f t="shared" si="2"/>
        <v>-74.165999999999997</v>
      </c>
      <c r="N25" s="66">
        <f t="shared" si="3"/>
        <v>110.28999999999999</v>
      </c>
      <c r="O25" s="67">
        <f t="shared" si="4"/>
        <v>15.78</v>
      </c>
      <c r="P25" s="197">
        <f t="shared" si="5"/>
        <v>1740.3761999999997</v>
      </c>
      <c r="W25" s="182"/>
      <c r="AA25" s="114">
        <f t="shared" si="6"/>
        <v>114.99</v>
      </c>
    </row>
    <row r="26" spans="2:27" s="114" customFormat="1" ht="16.5" customHeight="1" x14ac:dyDescent="0.2">
      <c r="B26" s="1"/>
      <c r="C26" s="51" t="s">
        <v>77</v>
      </c>
      <c r="D26" s="51" t="s">
        <v>29</v>
      </c>
      <c r="E26" s="52" t="s">
        <v>75</v>
      </c>
      <c r="F26" s="53" t="s">
        <v>76</v>
      </c>
      <c r="G26" s="54" t="s">
        <v>58</v>
      </c>
      <c r="H26" s="55">
        <v>98.73</v>
      </c>
      <c r="I26" s="56">
        <v>837.79</v>
      </c>
      <c r="J26" s="55">
        <v>82715</v>
      </c>
      <c r="K26" s="63">
        <f t="shared" si="0"/>
        <v>-4.03</v>
      </c>
      <c r="L26" s="64">
        <f t="shared" si="1"/>
        <v>837.79</v>
      </c>
      <c r="M26" s="196">
        <f t="shared" si="2"/>
        <v>-3376.2937000000002</v>
      </c>
      <c r="N26" s="66">
        <f t="shared" si="3"/>
        <v>94.7</v>
      </c>
      <c r="O26" s="67">
        <f t="shared" si="4"/>
        <v>837.79</v>
      </c>
      <c r="P26" s="197">
        <f t="shared" si="5"/>
        <v>79338.713000000003</v>
      </c>
      <c r="W26" s="182"/>
      <c r="AA26" s="114">
        <f t="shared" si="6"/>
        <v>98.73</v>
      </c>
    </row>
    <row r="27" spans="2:27" s="114" customFormat="1" ht="16.5" customHeight="1" x14ac:dyDescent="0.2">
      <c r="B27" s="1"/>
      <c r="C27" s="51" t="s">
        <v>80</v>
      </c>
      <c r="D27" s="51" t="s">
        <v>29</v>
      </c>
      <c r="E27" s="52" t="s">
        <v>78</v>
      </c>
      <c r="F27" s="53" t="s">
        <v>79</v>
      </c>
      <c r="G27" s="54" t="s">
        <v>58</v>
      </c>
      <c r="H27" s="55">
        <v>145.28</v>
      </c>
      <c r="I27" s="56">
        <v>1116.6199999999999</v>
      </c>
      <c r="J27" s="55">
        <v>162222.6</v>
      </c>
      <c r="K27" s="63">
        <f t="shared" si="0"/>
        <v>-5.93</v>
      </c>
      <c r="L27" s="64">
        <f t="shared" si="1"/>
        <v>1116.6199999999999</v>
      </c>
      <c r="M27" s="196">
        <f t="shared" si="2"/>
        <v>-6621.556599999999</v>
      </c>
      <c r="N27" s="66">
        <f t="shared" si="3"/>
        <v>139.35</v>
      </c>
      <c r="O27" s="67">
        <f t="shared" si="4"/>
        <v>1116.6199999999999</v>
      </c>
      <c r="P27" s="197">
        <f t="shared" si="5"/>
        <v>155600.99699999997</v>
      </c>
      <c r="W27" s="182"/>
      <c r="AA27" s="114">
        <f t="shared" si="6"/>
        <v>145.28</v>
      </c>
    </row>
    <row r="28" spans="2:27" s="114" customFormat="1" ht="16.5" customHeight="1" x14ac:dyDescent="0.2">
      <c r="B28" s="1"/>
      <c r="C28" s="51" t="s">
        <v>1</v>
      </c>
      <c r="D28" s="51" t="s">
        <v>29</v>
      </c>
      <c r="E28" s="52" t="s">
        <v>81</v>
      </c>
      <c r="F28" s="53" t="s">
        <v>82</v>
      </c>
      <c r="G28" s="54" t="s">
        <v>32</v>
      </c>
      <c r="H28" s="55">
        <v>2587.89</v>
      </c>
      <c r="I28" s="56">
        <v>99.96</v>
      </c>
      <c r="J28" s="55">
        <v>258685.5</v>
      </c>
      <c r="K28" s="63">
        <f t="shared" si="0"/>
        <v>-105.72</v>
      </c>
      <c r="L28" s="64">
        <f t="shared" si="1"/>
        <v>99.96</v>
      </c>
      <c r="M28" s="196">
        <f t="shared" si="2"/>
        <v>-10567.771199999999</v>
      </c>
      <c r="N28" s="66">
        <f t="shared" si="3"/>
        <v>2482.17</v>
      </c>
      <c r="O28" s="67">
        <f t="shared" si="4"/>
        <v>99.96</v>
      </c>
      <c r="P28" s="197">
        <f t="shared" si="5"/>
        <v>248117.7132</v>
      </c>
      <c r="W28" s="182"/>
      <c r="AA28" s="114">
        <f t="shared" si="6"/>
        <v>2587.89</v>
      </c>
    </row>
    <row r="29" spans="2:27" s="114" customFormat="1" ht="16.5" customHeight="1" x14ac:dyDescent="0.2">
      <c r="B29" s="1"/>
      <c r="C29" s="51" t="s">
        <v>85</v>
      </c>
      <c r="D29" s="51" t="s">
        <v>29</v>
      </c>
      <c r="E29" s="52" t="s">
        <v>83</v>
      </c>
      <c r="F29" s="53" t="s">
        <v>84</v>
      </c>
      <c r="G29" s="54" t="s">
        <v>32</v>
      </c>
      <c r="H29" s="55">
        <v>2587.89</v>
      </c>
      <c r="I29" s="56">
        <v>149.94</v>
      </c>
      <c r="J29" s="55">
        <v>388028.2</v>
      </c>
      <c r="K29" s="63">
        <f t="shared" si="0"/>
        <v>-105.72</v>
      </c>
      <c r="L29" s="64">
        <f t="shared" si="1"/>
        <v>149.94</v>
      </c>
      <c r="M29" s="196">
        <f t="shared" si="2"/>
        <v>-15851.656799999999</v>
      </c>
      <c r="N29" s="66">
        <f t="shared" si="3"/>
        <v>2482.17</v>
      </c>
      <c r="O29" s="67">
        <f t="shared" si="4"/>
        <v>149.94</v>
      </c>
      <c r="P29" s="197">
        <f t="shared" si="5"/>
        <v>372176.5698</v>
      </c>
      <c r="W29" s="182"/>
      <c r="AA29" s="114">
        <f t="shared" si="6"/>
        <v>2587.89</v>
      </c>
    </row>
    <row r="30" spans="2:27" s="114" customFormat="1" ht="16.5" customHeight="1" x14ac:dyDescent="0.2">
      <c r="B30" s="1"/>
      <c r="C30" s="51" t="s">
        <v>88</v>
      </c>
      <c r="D30" s="51" t="s">
        <v>29</v>
      </c>
      <c r="E30" s="52" t="s">
        <v>86</v>
      </c>
      <c r="F30" s="53" t="s">
        <v>87</v>
      </c>
      <c r="G30" s="54" t="s">
        <v>58</v>
      </c>
      <c r="H30" s="55">
        <v>1685.69</v>
      </c>
      <c r="I30" s="56">
        <v>97.63</v>
      </c>
      <c r="J30" s="55">
        <v>164573.9</v>
      </c>
      <c r="K30" s="63">
        <f t="shared" si="0"/>
        <v>-68.86</v>
      </c>
      <c r="L30" s="64">
        <f t="shared" si="1"/>
        <v>97.63</v>
      </c>
      <c r="M30" s="196">
        <f t="shared" si="2"/>
        <v>-6722.8017999999993</v>
      </c>
      <c r="N30" s="66">
        <f t="shared" si="3"/>
        <v>1616.8300000000002</v>
      </c>
      <c r="O30" s="67">
        <f t="shared" si="4"/>
        <v>97.63</v>
      </c>
      <c r="P30" s="197">
        <f t="shared" si="5"/>
        <v>157851.11290000001</v>
      </c>
      <c r="W30" s="182"/>
      <c r="AA30" s="114">
        <f t="shared" si="6"/>
        <v>1685.69</v>
      </c>
    </row>
    <row r="31" spans="2:27" s="114" customFormat="1" ht="16.5" customHeight="1" x14ac:dyDescent="0.2">
      <c r="B31" s="1"/>
      <c r="C31" s="51" t="s">
        <v>91</v>
      </c>
      <c r="D31" s="51" t="s">
        <v>29</v>
      </c>
      <c r="E31" s="52" t="s">
        <v>89</v>
      </c>
      <c r="F31" s="53" t="s">
        <v>90</v>
      </c>
      <c r="G31" s="54" t="s">
        <v>58</v>
      </c>
      <c r="H31" s="55">
        <v>373.93</v>
      </c>
      <c r="I31" s="56">
        <v>247.39</v>
      </c>
      <c r="J31" s="55">
        <v>92506.5</v>
      </c>
      <c r="K31" s="63">
        <f t="shared" si="0"/>
        <v>-15.28</v>
      </c>
      <c r="L31" s="64">
        <f t="shared" si="1"/>
        <v>247.39</v>
      </c>
      <c r="M31" s="196">
        <f t="shared" si="2"/>
        <v>-3780.1191999999996</v>
      </c>
      <c r="N31" s="66">
        <f t="shared" si="3"/>
        <v>358.65000000000003</v>
      </c>
      <c r="O31" s="67">
        <f t="shared" si="4"/>
        <v>247.39</v>
      </c>
      <c r="P31" s="197">
        <f t="shared" si="5"/>
        <v>88726.423500000004</v>
      </c>
      <c r="W31" s="182"/>
      <c r="AA31" s="114">
        <f t="shared" si="6"/>
        <v>373.93</v>
      </c>
    </row>
    <row r="32" spans="2:27" s="114" customFormat="1" ht="16.5" customHeight="1" x14ac:dyDescent="0.2">
      <c r="B32" s="1"/>
      <c r="C32" s="51" t="s">
        <v>94</v>
      </c>
      <c r="D32" s="51" t="s">
        <v>29</v>
      </c>
      <c r="E32" s="52" t="s">
        <v>92</v>
      </c>
      <c r="F32" s="53" t="s">
        <v>93</v>
      </c>
      <c r="G32" s="54" t="s">
        <v>58</v>
      </c>
      <c r="H32" s="55">
        <v>373.93</v>
      </c>
      <c r="I32" s="56">
        <v>44.72</v>
      </c>
      <c r="J32" s="55">
        <v>16722.099999999999</v>
      </c>
      <c r="K32" s="63">
        <f t="shared" si="0"/>
        <v>-15.28</v>
      </c>
      <c r="L32" s="64">
        <f t="shared" si="1"/>
        <v>44.72</v>
      </c>
      <c r="M32" s="196">
        <f t="shared" si="2"/>
        <v>-683.32159999999999</v>
      </c>
      <c r="N32" s="66">
        <f t="shared" si="3"/>
        <v>358.65000000000003</v>
      </c>
      <c r="O32" s="67">
        <f t="shared" si="4"/>
        <v>44.72</v>
      </c>
      <c r="P32" s="197">
        <f t="shared" si="5"/>
        <v>16038.828000000001</v>
      </c>
      <c r="W32" s="182"/>
      <c r="AA32" s="114">
        <f t="shared" si="6"/>
        <v>373.93</v>
      </c>
    </row>
    <row r="33" spans="2:27" s="114" customFormat="1" ht="16.5" customHeight="1" x14ac:dyDescent="0.2">
      <c r="B33" s="1"/>
      <c r="C33" s="51" t="s">
        <v>97</v>
      </c>
      <c r="D33" s="51" t="s">
        <v>29</v>
      </c>
      <c r="E33" s="52" t="s">
        <v>95</v>
      </c>
      <c r="F33" s="53" t="s">
        <v>96</v>
      </c>
      <c r="G33" s="54" t="s">
        <v>58</v>
      </c>
      <c r="H33" s="55">
        <v>373.93</v>
      </c>
      <c r="I33" s="56">
        <v>11.84</v>
      </c>
      <c r="J33" s="55">
        <v>4427.3</v>
      </c>
      <c r="K33" s="63">
        <f t="shared" si="0"/>
        <v>-15.28</v>
      </c>
      <c r="L33" s="64">
        <f t="shared" si="1"/>
        <v>11.84</v>
      </c>
      <c r="M33" s="196">
        <f t="shared" si="2"/>
        <v>-180.9152</v>
      </c>
      <c r="N33" s="66">
        <f t="shared" si="3"/>
        <v>358.65000000000003</v>
      </c>
      <c r="O33" s="67">
        <f t="shared" si="4"/>
        <v>11.84</v>
      </c>
      <c r="P33" s="197">
        <f t="shared" si="5"/>
        <v>4246.4160000000002</v>
      </c>
      <c r="W33" s="182"/>
      <c r="AA33" s="114">
        <f t="shared" si="6"/>
        <v>373.93</v>
      </c>
    </row>
    <row r="34" spans="2:27" s="114" customFormat="1" ht="16.5" customHeight="1" x14ac:dyDescent="0.2">
      <c r="B34" s="1"/>
      <c r="C34" s="51" t="s">
        <v>0</v>
      </c>
      <c r="D34" s="51" t="s">
        <v>29</v>
      </c>
      <c r="E34" s="52" t="s">
        <v>98</v>
      </c>
      <c r="F34" s="53" t="s">
        <v>99</v>
      </c>
      <c r="G34" s="54" t="s">
        <v>44</v>
      </c>
      <c r="H34" s="55">
        <v>747.86</v>
      </c>
      <c r="I34" s="56">
        <v>116</v>
      </c>
      <c r="J34" s="55">
        <v>86751.8</v>
      </c>
      <c r="K34" s="63">
        <f t="shared" si="0"/>
        <v>-30.55</v>
      </c>
      <c r="L34" s="64">
        <f t="shared" si="1"/>
        <v>116</v>
      </c>
      <c r="M34" s="196">
        <f t="shared" si="2"/>
        <v>-3543.8</v>
      </c>
      <c r="N34" s="66">
        <f t="shared" si="3"/>
        <v>717.31000000000006</v>
      </c>
      <c r="O34" s="67">
        <f t="shared" si="4"/>
        <v>116</v>
      </c>
      <c r="P34" s="197">
        <f t="shared" si="5"/>
        <v>83207.960000000006</v>
      </c>
      <c r="W34" s="182"/>
      <c r="AA34" s="114">
        <f t="shared" si="6"/>
        <v>747.86</v>
      </c>
    </row>
    <row r="35" spans="2:27" s="114" customFormat="1" ht="16.5" customHeight="1" x14ac:dyDescent="0.2">
      <c r="B35" s="1"/>
      <c r="C35" s="51" t="s">
        <v>102</v>
      </c>
      <c r="D35" s="51" t="s">
        <v>29</v>
      </c>
      <c r="E35" s="52" t="s">
        <v>100</v>
      </c>
      <c r="F35" s="53" t="s">
        <v>101</v>
      </c>
      <c r="G35" s="54" t="s">
        <v>58</v>
      </c>
      <c r="H35" s="55">
        <v>655.88</v>
      </c>
      <c r="I35" s="56">
        <v>143.36000000000001</v>
      </c>
      <c r="J35" s="55">
        <v>94027</v>
      </c>
      <c r="K35" s="63">
        <f t="shared" si="0"/>
        <v>-26.79</v>
      </c>
      <c r="L35" s="64">
        <f t="shared" si="1"/>
        <v>143.36000000000001</v>
      </c>
      <c r="M35" s="196">
        <f t="shared" si="2"/>
        <v>-3840.6144000000004</v>
      </c>
      <c r="N35" s="66">
        <f t="shared" si="3"/>
        <v>629.09</v>
      </c>
      <c r="O35" s="67">
        <f t="shared" si="4"/>
        <v>143.36000000000001</v>
      </c>
      <c r="P35" s="197">
        <f t="shared" si="5"/>
        <v>90186.342400000009</v>
      </c>
      <c r="W35" s="182"/>
      <c r="AA35" s="114">
        <f t="shared" si="6"/>
        <v>655.88</v>
      </c>
    </row>
    <row r="36" spans="2:27" s="114" customFormat="1" ht="16.5" customHeight="1" x14ac:dyDescent="0.2">
      <c r="B36" s="1"/>
      <c r="C36" s="51" t="s">
        <v>105</v>
      </c>
      <c r="D36" s="51" t="s">
        <v>29</v>
      </c>
      <c r="E36" s="52" t="s">
        <v>103</v>
      </c>
      <c r="F36" s="53" t="s">
        <v>104</v>
      </c>
      <c r="G36" s="54" t="s">
        <v>58</v>
      </c>
      <c r="H36" s="55">
        <v>293.26</v>
      </c>
      <c r="I36" s="56">
        <v>318.27999999999997</v>
      </c>
      <c r="J36" s="55">
        <v>93338.8</v>
      </c>
      <c r="K36" s="63">
        <f t="shared" si="0"/>
        <v>-11.98</v>
      </c>
      <c r="L36" s="64">
        <f t="shared" si="1"/>
        <v>318.27999999999997</v>
      </c>
      <c r="M36" s="196">
        <f t="shared" si="2"/>
        <v>-3812.9943999999996</v>
      </c>
      <c r="N36" s="66">
        <f t="shared" si="3"/>
        <v>281.27999999999997</v>
      </c>
      <c r="O36" s="67">
        <f t="shared" si="4"/>
        <v>318.27999999999997</v>
      </c>
      <c r="P36" s="197">
        <f t="shared" si="5"/>
        <v>89525.798399999985</v>
      </c>
      <c r="W36" s="182"/>
      <c r="AA36" s="114">
        <f t="shared" si="6"/>
        <v>293.26</v>
      </c>
    </row>
    <row r="37" spans="2:27" s="114" customFormat="1" ht="16.5" customHeight="1" x14ac:dyDescent="0.2">
      <c r="B37" s="1"/>
      <c r="C37" s="73" t="s">
        <v>109</v>
      </c>
      <c r="D37" s="73" t="s">
        <v>106</v>
      </c>
      <c r="E37" s="74" t="s">
        <v>107</v>
      </c>
      <c r="F37" s="75" t="s">
        <v>108</v>
      </c>
      <c r="G37" s="76" t="s">
        <v>44</v>
      </c>
      <c r="H37" s="77">
        <v>586.52</v>
      </c>
      <c r="I37" s="78">
        <v>172.71</v>
      </c>
      <c r="J37" s="77">
        <v>101297.9</v>
      </c>
      <c r="K37" s="63">
        <f t="shared" si="0"/>
        <v>-23.96</v>
      </c>
      <c r="L37" s="64">
        <f t="shared" si="1"/>
        <v>172.71</v>
      </c>
      <c r="M37" s="196">
        <f t="shared" si="2"/>
        <v>-4138.1316000000006</v>
      </c>
      <c r="N37" s="66">
        <f t="shared" si="3"/>
        <v>562.55999999999995</v>
      </c>
      <c r="O37" s="67">
        <f t="shared" si="4"/>
        <v>172.71</v>
      </c>
      <c r="P37" s="197">
        <f t="shared" si="5"/>
        <v>97159.737599999993</v>
      </c>
      <c r="W37" s="182"/>
      <c r="AA37" s="114">
        <f t="shared" si="6"/>
        <v>586.52</v>
      </c>
    </row>
    <row r="38" spans="2:27" s="160" customFormat="1" ht="22.9" customHeight="1" x14ac:dyDescent="0.2">
      <c r="B38" s="2"/>
      <c r="C38" s="223"/>
      <c r="D38" s="221" t="s">
        <v>3</v>
      </c>
      <c r="E38" s="227" t="s">
        <v>14</v>
      </c>
      <c r="F38" s="227" t="s">
        <v>229</v>
      </c>
      <c r="G38" s="223"/>
      <c r="H38" s="223"/>
      <c r="I38" s="224"/>
      <c r="J38" s="228">
        <v>173609</v>
      </c>
      <c r="K38" s="226"/>
      <c r="L38" s="211"/>
      <c r="M38" s="209">
        <f>M39</f>
        <v>0</v>
      </c>
      <c r="N38" s="210"/>
      <c r="O38" s="211"/>
      <c r="P38" s="209">
        <f>P39</f>
        <v>173608.95999999999</v>
      </c>
      <c r="V38" s="114"/>
      <c r="W38" s="182"/>
      <c r="AA38" s="114">
        <f t="shared" si="6"/>
        <v>0</v>
      </c>
    </row>
    <row r="39" spans="2:27" s="114" customFormat="1" ht="16.5" customHeight="1" x14ac:dyDescent="0.2">
      <c r="B39" s="1"/>
      <c r="C39" s="51" t="s">
        <v>113</v>
      </c>
      <c r="D39" s="51" t="s">
        <v>29</v>
      </c>
      <c r="E39" s="52" t="s">
        <v>230</v>
      </c>
      <c r="F39" s="53" t="s">
        <v>307</v>
      </c>
      <c r="G39" s="54" t="s">
        <v>144</v>
      </c>
      <c r="H39" s="55">
        <v>2</v>
      </c>
      <c r="I39" s="56">
        <v>86804.479999999996</v>
      </c>
      <c r="J39" s="55">
        <v>173609</v>
      </c>
      <c r="K39" s="63">
        <v>0</v>
      </c>
      <c r="L39" s="64">
        <f t="shared" si="1"/>
        <v>86804.479999999996</v>
      </c>
      <c r="M39" s="196">
        <f t="shared" si="2"/>
        <v>0</v>
      </c>
      <c r="N39" s="66">
        <f t="shared" si="3"/>
        <v>2</v>
      </c>
      <c r="O39" s="67">
        <f t="shared" si="4"/>
        <v>86804.479999999996</v>
      </c>
      <c r="P39" s="197">
        <f t="shared" si="5"/>
        <v>173608.95999999999</v>
      </c>
      <c r="W39" s="182"/>
      <c r="AA39" s="114">
        <f t="shared" si="6"/>
        <v>2</v>
      </c>
    </row>
    <row r="40" spans="2:27" s="160" customFormat="1" ht="22.9" customHeight="1" x14ac:dyDescent="0.2">
      <c r="B40" s="2"/>
      <c r="C40" s="223"/>
      <c r="D40" s="221" t="s">
        <v>3</v>
      </c>
      <c r="E40" s="227" t="s">
        <v>33</v>
      </c>
      <c r="F40" s="227" t="s">
        <v>112</v>
      </c>
      <c r="G40" s="223"/>
      <c r="H40" s="223"/>
      <c r="I40" s="224"/>
      <c r="J40" s="228">
        <v>58857.2</v>
      </c>
      <c r="K40" s="226"/>
      <c r="L40" s="211"/>
      <c r="M40" s="209">
        <f>SUM(M41:M42)</f>
        <v>-2415.9094</v>
      </c>
      <c r="N40" s="210"/>
      <c r="O40" s="211"/>
      <c r="P40" s="209">
        <f>SUM(P41:P42)</f>
        <v>56441.352400000011</v>
      </c>
      <c r="V40" s="114"/>
      <c r="W40" s="182"/>
      <c r="AA40" s="114">
        <f t="shared" si="6"/>
        <v>0</v>
      </c>
    </row>
    <row r="41" spans="2:27" s="114" customFormat="1" ht="16.5" customHeight="1" x14ac:dyDescent="0.2">
      <c r="B41" s="1"/>
      <c r="C41" s="51" t="s">
        <v>116</v>
      </c>
      <c r="D41" s="51" t="s">
        <v>29</v>
      </c>
      <c r="E41" s="52" t="s">
        <v>114</v>
      </c>
      <c r="F41" s="53" t="s">
        <v>115</v>
      </c>
      <c r="G41" s="54" t="s">
        <v>58</v>
      </c>
      <c r="H41" s="55">
        <v>75.09</v>
      </c>
      <c r="I41" s="56">
        <v>644.70000000000005</v>
      </c>
      <c r="J41" s="55">
        <v>48410.5</v>
      </c>
      <c r="K41" s="63">
        <f t="shared" ref="K41:K42" si="7">ROUND(720.8/751.5*AA41-AA41,2)</f>
        <v>-3.07</v>
      </c>
      <c r="L41" s="64">
        <f t="shared" si="1"/>
        <v>644.70000000000005</v>
      </c>
      <c r="M41" s="196">
        <f t="shared" si="2"/>
        <v>-1979.229</v>
      </c>
      <c r="N41" s="66">
        <f t="shared" si="3"/>
        <v>72.02000000000001</v>
      </c>
      <c r="O41" s="67">
        <f t="shared" si="4"/>
        <v>644.70000000000005</v>
      </c>
      <c r="P41" s="197">
        <f t="shared" si="5"/>
        <v>46431.294000000009</v>
      </c>
      <c r="W41" s="182"/>
      <c r="AA41" s="114">
        <f t="shared" si="6"/>
        <v>75.09</v>
      </c>
    </row>
    <row r="42" spans="2:27" s="114" customFormat="1" ht="16.5" customHeight="1" x14ac:dyDescent="0.2">
      <c r="B42" s="1"/>
      <c r="C42" s="51" t="s">
        <v>119</v>
      </c>
      <c r="D42" s="51" t="s">
        <v>29</v>
      </c>
      <c r="E42" s="52" t="s">
        <v>117</v>
      </c>
      <c r="F42" s="53" t="s">
        <v>118</v>
      </c>
      <c r="G42" s="54" t="s">
        <v>58</v>
      </c>
      <c r="H42" s="55">
        <v>3.11</v>
      </c>
      <c r="I42" s="56">
        <v>3359.0800000000004</v>
      </c>
      <c r="J42" s="55">
        <v>10446.700000000001</v>
      </c>
      <c r="K42" s="63">
        <f t="shared" si="7"/>
        <v>-0.13</v>
      </c>
      <c r="L42" s="64">
        <f t="shared" si="1"/>
        <v>3359.0800000000004</v>
      </c>
      <c r="M42" s="196">
        <f t="shared" si="2"/>
        <v>-436.68040000000008</v>
      </c>
      <c r="N42" s="66">
        <f t="shared" si="3"/>
        <v>2.98</v>
      </c>
      <c r="O42" s="67">
        <f t="shared" si="4"/>
        <v>3359.0800000000004</v>
      </c>
      <c r="P42" s="197">
        <f t="shared" si="5"/>
        <v>10010.058400000002</v>
      </c>
      <c r="W42" s="182"/>
      <c r="AA42" s="114">
        <f t="shared" si="6"/>
        <v>3.11</v>
      </c>
    </row>
    <row r="43" spans="2:27" s="160" customFormat="1" ht="22.9" customHeight="1" x14ac:dyDescent="0.2">
      <c r="B43" s="2"/>
      <c r="C43" s="223"/>
      <c r="D43" s="221" t="s">
        <v>3</v>
      </c>
      <c r="E43" s="227" t="s">
        <v>34</v>
      </c>
      <c r="F43" s="227" t="s">
        <v>35</v>
      </c>
      <c r="G43" s="223"/>
      <c r="H43" s="223"/>
      <c r="I43" s="224"/>
      <c r="J43" s="228">
        <v>988940.5</v>
      </c>
      <c r="K43" s="226"/>
      <c r="L43" s="211"/>
      <c r="M43" s="209">
        <f>SUM(M44:M49)</f>
        <v>0</v>
      </c>
      <c r="N43" s="210"/>
      <c r="O43" s="211"/>
      <c r="P43" s="209">
        <f>SUM(P44:P49)</f>
        <v>988940.63529999985</v>
      </c>
      <c r="V43" s="114"/>
      <c r="W43" s="182"/>
      <c r="AA43" s="114">
        <f t="shared" si="6"/>
        <v>0</v>
      </c>
    </row>
    <row r="44" spans="2:27" s="114" customFormat="1" ht="16.5" customHeight="1" x14ac:dyDescent="0.2">
      <c r="B44" s="1"/>
      <c r="C44" s="51" t="s">
        <v>122</v>
      </c>
      <c r="D44" s="51" t="s">
        <v>29</v>
      </c>
      <c r="E44" s="52" t="s">
        <v>120</v>
      </c>
      <c r="F44" s="53" t="s">
        <v>121</v>
      </c>
      <c r="G44" s="54" t="s">
        <v>32</v>
      </c>
      <c r="H44" s="55">
        <v>814.45</v>
      </c>
      <c r="I44" s="56">
        <v>302.54000000000002</v>
      </c>
      <c r="J44" s="55">
        <v>246403.7</v>
      </c>
      <c r="K44" s="63">
        <v>0</v>
      </c>
      <c r="L44" s="64">
        <f t="shared" si="1"/>
        <v>302.54000000000002</v>
      </c>
      <c r="M44" s="196">
        <f t="shared" si="2"/>
        <v>0</v>
      </c>
      <c r="N44" s="66">
        <f t="shared" si="3"/>
        <v>814.45</v>
      </c>
      <c r="O44" s="67">
        <f t="shared" si="4"/>
        <v>302.54000000000002</v>
      </c>
      <c r="P44" s="197">
        <f t="shared" si="5"/>
        <v>246403.70300000004</v>
      </c>
      <c r="V44" s="114" t="s">
        <v>550</v>
      </c>
      <c r="W44" s="195" t="s">
        <v>562</v>
      </c>
      <c r="X44" s="114" t="s">
        <v>580</v>
      </c>
      <c r="AA44" s="114">
        <f t="shared" si="6"/>
        <v>814.45</v>
      </c>
    </row>
    <row r="45" spans="2:27" s="114" customFormat="1" ht="16.5" customHeight="1" x14ac:dyDescent="0.2">
      <c r="B45" s="1"/>
      <c r="C45" s="51" t="s">
        <v>125</v>
      </c>
      <c r="D45" s="51" t="s">
        <v>29</v>
      </c>
      <c r="E45" s="52" t="s">
        <v>308</v>
      </c>
      <c r="F45" s="53" t="s">
        <v>309</v>
      </c>
      <c r="G45" s="54" t="s">
        <v>32</v>
      </c>
      <c r="H45" s="55">
        <v>290.95</v>
      </c>
      <c r="I45" s="56">
        <v>86.36</v>
      </c>
      <c r="J45" s="55">
        <v>25126.400000000001</v>
      </c>
      <c r="K45" s="63">
        <v>0</v>
      </c>
      <c r="L45" s="64">
        <f t="shared" si="1"/>
        <v>86.36</v>
      </c>
      <c r="M45" s="196">
        <f t="shared" si="2"/>
        <v>0</v>
      </c>
      <c r="N45" s="66">
        <f t="shared" si="3"/>
        <v>290.95</v>
      </c>
      <c r="O45" s="67">
        <f t="shared" si="4"/>
        <v>86.36</v>
      </c>
      <c r="P45" s="197">
        <f t="shared" si="5"/>
        <v>25126.441999999999</v>
      </c>
      <c r="W45" s="182"/>
      <c r="AA45" s="114">
        <f t="shared" si="6"/>
        <v>290.95</v>
      </c>
    </row>
    <row r="46" spans="2:27" s="114" customFormat="1" ht="16.5" customHeight="1" x14ac:dyDescent="0.2">
      <c r="B46" s="1"/>
      <c r="C46" s="51" t="s">
        <v>128</v>
      </c>
      <c r="D46" s="51" t="s">
        <v>29</v>
      </c>
      <c r="E46" s="52" t="s">
        <v>126</v>
      </c>
      <c r="F46" s="53" t="s">
        <v>127</v>
      </c>
      <c r="G46" s="54" t="s">
        <v>32</v>
      </c>
      <c r="H46" s="55">
        <v>523.5</v>
      </c>
      <c r="I46" s="56">
        <v>14.18</v>
      </c>
      <c r="J46" s="55">
        <v>7423.2</v>
      </c>
      <c r="K46" s="63">
        <v>0</v>
      </c>
      <c r="L46" s="64">
        <f t="shared" si="1"/>
        <v>14.18</v>
      </c>
      <c r="M46" s="196">
        <f t="shared" si="2"/>
        <v>0</v>
      </c>
      <c r="N46" s="66">
        <f t="shared" si="3"/>
        <v>523.5</v>
      </c>
      <c r="O46" s="67">
        <f t="shared" si="4"/>
        <v>14.18</v>
      </c>
      <c r="P46" s="197">
        <f t="shared" si="5"/>
        <v>7423.23</v>
      </c>
      <c r="W46" s="182"/>
      <c r="AA46" s="114">
        <f t="shared" si="6"/>
        <v>523.5</v>
      </c>
    </row>
    <row r="47" spans="2:27" s="114" customFormat="1" ht="16.5" customHeight="1" x14ac:dyDescent="0.2">
      <c r="B47" s="1"/>
      <c r="C47" s="51" t="s">
        <v>129</v>
      </c>
      <c r="D47" s="51" t="s">
        <v>29</v>
      </c>
      <c r="E47" s="52" t="s">
        <v>36</v>
      </c>
      <c r="F47" s="53" t="s">
        <v>37</v>
      </c>
      <c r="G47" s="54" t="s">
        <v>32</v>
      </c>
      <c r="H47" s="55">
        <v>999.41</v>
      </c>
      <c r="I47" s="56">
        <v>20.62</v>
      </c>
      <c r="J47" s="55">
        <v>20607.8</v>
      </c>
      <c r="K47" s="63">
        <v>0</v>
      </c>
      <c r="L47" s="64">
        <f t="shared" si="1"/>
        <v>20.62</v>
      </c>
      <c r="M47" s="196">
        <f t="shared" si="2"/>
        <v>0</v>
      </c>
      <c r="N47" s="66">
        <f t="shared" si="3"/>
        <v>999.41</v>
      </c>
      <c r="O47" s="67">
        <f t="shared" si="4"/>
        <v>20.62</v>
      </c>
      <c r="P47" s="197">
        <f t="shared" si="5"/>
        <v>20607.834200000001</v>
      </c>
      <c r="W47" s="182"/>
      <c r="AA47" s="114">
        <f t="shared" si="6"/>
        <v>999.41</v>
      </c>
    </row>
    <row r="48" spans="2:27" s="114" customFormat="1" ht="16.5" customHeight="1" x14ac:dyDescent="0.2">
      <c r="B48" s="1"/>
      <c r="C48" s="51" t="s">
        <v>130</v>
      </c>
      <c r="D48" s="51" t="s">
        <v>29</v>
      </c>
      <c r="E48" s="52" t="s">
        <v>38</v>
      </c>
      <c r="F48" s="53" t="s">
        <v>39</v>
      </c>
      <c r="G48" s="54" t="s">
        <v>32</v>
      </c>
      <c r="H48" s="55">
        <v>999.41</v>
      </c>
      <c r="I48" s="56">
        <v>396.71</v>
      </c>
      <c r="J48" s="55">
        <v>396475.9</v>
      </c>
      <c r="K48" s="63">
        <v>0</v>
      </c>
      <c r="L48" s="64">
        <f t="shared" si="1"/>
        <v>396.71</v>
      </c>
      <c r="M48" s="196">
        <f t="shared" si="2"/>
        <v>0</v>
      </c>
      <c r="N48" s="66">
        <f t="shared" si="3"/>
        <v>999.41</v>
      </c>
      <c r="O48" s="67">
        <f t="shared" si="4"/>
        <v>396.71</v>
      </c>
      <c r="P48" s="197">
        <f t="shared" si="5"/>
        <v>396475.94109999994</v>
      </c>
      <c r="W48" s="182"/>
      <c r="AA48" s="114">
        <f t="shared" si="6"/>
        <v>999.41</v>
      </c>
    </row>
    <row r="49" spans="2:27" s="114" customFormat="1" ht="16.5" customHeight="1" x14ac:dyDescent="0.2">
      <c r="B49" s="1"/>
      <c r="C49" s="51" t="s">
        <v>134</v>
      </c>
      <c r="D49" s="51" t="s">
        <v>29</v>
      </c>
      <c r="E49" s="52" t="s">
        <v>131</v>
      </c>
      <c r="F49" s="53" t="s">
        <v>132</v>
      </c>
      <c r="G49" s="54" t="s">
        <v>32</v>
      </c>
      <c r="H49" s="55">
        <v>523.5</v>
      </c>
      <c r="I49" s="56">
        <v>559.51</v>
      </c>
      <c r="J49" s="55">
        <v>292903.5</v>
      </c>
      <c r="K49" s="63">
        <v>0</v>
      </c>
      <c r="L49" s="64">
        <f t="shared" si="1"/>
        <v>559.51</v>
      </c>
      <c r="M49" s="196">
        <f t="shared" si="2"/>
        <v>0</v>
      </c>
      <c r="N49" s="66">
        <f t="shared" si="3"/>
        <v>523.5</v>
      </c>
      <c r="O49" s="67">
        <f t="shared" si="4"/>
        <v>559.51</v>
      </c>
      <c r="P49" s="197">
        <f t="shared" si="5"/>
        <v>292903.48499999999</v>
      </c>
      <c r="W49" s="182"/>
      <c r="AA49" s="114">
        <f t="shared" si="6"/>
        <v>523.5</v>
      </c>
    </row>
    <row r="50" spans="2:27" s="160" customFormat="1" ht="22.9" customHeight="1" x14ac:dyDescent="0.2">
      <c r="B50" s="2"/>
      <c r="C50" s="223"/>
      <c r="D50" s="221" t="s">
        <v>3</v>
      </c>
      <c r="E50" s="227" t="s">
        <v>55</v>
      </c>
      <c r="F50" s="227" t="s">
        <v>133</v>
      </c>
      <c r="G50" s="223"/>
      <c r="H50" s="223"/>
      <c r="I50" s="224"/>
      <c r="J50" s="228">
        <v>4419.8</v>
      </c>
      <c r="K50" s="226"/>
      <c r="L50" s="211"/>
      <c r="M50" s="209">
        <f>SUM(M51:M52)</f>
        <v>-178.72449999999998</v>
      </c>
      <c r="N50" s="210"/>
      <c r="O50" s="211"/>
      <c r="P50" s="209">
        <f>SUM(P51:P52)</f>
        <v>4241.1064999999999</v>
      </c>
      <c r="V50" s="114"/>
      <c r="W50" s="182"/>
      <c r="AA50" s="114">
        <f t="shared" si="6"/>
        <v>0</v>
      </c>
    </row>
    <row r="51" spans="2:27" s="114" customFormat="1" ht="16.5" customHeight="1" x14ac:dyDescent="0.2">
      <c r="B51" s="1"/>
      <c r="C51" s="51" t="s">
        <v>137</v>
      </c>
      <c r="D51" s="51" t="s">
        <v>29</v>
      </c>
      <c r="E51" s="52" t="s">
        <v>135</v>
      </c>
      <c r="F51" s="53" t="s">
        <v>136</v>
      </c>
      <c r="G51" s="54" t="s">
        <v>32</v>
      </c>
      <c r="H51" s="55">
        <v>2.76</v>
      </c>
      <c r="I51" s="56">
        <v>1256.03</v>
      </c>
      <c r="J51" s="55">
        <v>3466.6</v>
      </c>
      <c r="K51" s="63">
        <f t="shared" ref="K51:K52" si="8">ROUND(720.8/751.5*AA51-AA51,2)</f>
        <v>-0.11</v>
      </c>
      <c r="L51" s="64">
        <f t="shared" si="1"/>
        <v>1256.03</v>
      </c>
      <c r="M51" s="196">
        <f t="shared" si="2"/>
        <v>-138.16329999999999</v>
      </c>
      <c r="N51" s="66">
        <f t="shared" si="3"/>
        <v>2.65</v>
      </c>
      <c r="O51" s="67">
        <f t="shared" si="4"/>
        <v>1256.03</v>
      </c>
      <c r="P51" s="197">
        <f t="shared" si="5"/>
        <v>3328.4794999999999</v>
      </c>
      <c r="W51" s="182"/>
      <c r="AA51" s="114">
        <f t="shared" si="6"/>
        <v>2.76</v>
      </c>
    </row>
    <row r="52" spans="2:27" s="114" customFormat="1" ht="16.5" customHeight="1" x14ac:dyDescent="0.2">
      <c r="B52" s="1"/>
      <c r="C52" s="73" t="s">
        <v>141</v>
      </c>
      <c r="D52" s="73" t="s">
        <v>106</v>
      </c>
      <c r="E52" s="74" t="s">
        <v>138</v>
      </c>
      <c r="F52" s="75" t="s">
        <v>139</v>
      </c>
      <c r="G52" s="76" t="s">
        <v>32</v>
      </c>
      <c r="H52" s="77">
        <v>2.82</v>
      </c>
      <c r="I52" s="78">
        <v>338.01</v>
      </c>
      <c r="J52" s="77">
        <v>953.2</v>
      </c>
      <c r="K52" s="63">
        <f t="shared" si="8"/>
        <v>-0.12</v>
      </c>
      <c r="L52" s="64">
        <f t="shared" si="1"/>
        <v>338.01</v>
      </c>
      <c r="M52" s="196">
        <f t="shared" si="2"/>
        <v>-40.561199999999999</v>
      </c>
      <c r="N52" s="66">
        <f t="shared" si="3"/>
        <v>2.6999999999999997</v>
      </c>
      <c r="O52" s="67">
        <f t="shared" si="4"/>
        <v>338.01</v>
      </c>
      <c r="P52" s="197">
        <f t="shared" si="5"/>
        <v>912.62699999999984</v>
      </c>
      <c r="W52" s="182"/>
      <c r="AA52" s="114">
        <f t="shared" si="6"/>
        <v>2.82</v>
      </c>
    </row>
    <row r="53" spans="2:27" s="160" customFormat="1" ht="22.9" customHeight="1" x14ac:dyDescent="0.2">
      <c r="B53" s="2"/>
      <c r="C53" s="223"/>
      <c r="D53" s="221" t="s">
        <v>3</v>
      </c>
      <c r="E53" s="227" t="s">
        <v>62</v>
      </c>
      <c r="F53" s="227" t="s">
        <v>140</v>
      </c>
      <c r="G53" s="223"/>
      <c r="H53" s="223"/>
      <c r="I53" s="224"/>
      <c r="J53" s="228">
        <v>1691282.9</v>
      </c>
      <c r="K53" s="226"/>
      <c r="L53" s="211"/>
      <c r="M53" s="209">
        <f>SUM(M54:M111)</f>
        <v>-46601.278200000015</v>
      </c>
      <c r="N53" s="210"/>
      <c r="O53" s="211"/>
      <c r="P53" s="209">
        <f>SUM(P54:P111)</f>
        <v>1644681.4668000003</v>
      </c>
      <c r="V53" s="114"/>
      <c r="W53" s="182"/>
      <c r="AA53" s="114">
        <f t="shared" si="6"/>
        <v>0</v>
      </c>
    </row>
    <row r="54" spans="2:27" s="114" customFormat="1" ht="16.5" customHeight="1" x14ac:dyDescent="0.2">
      <c r="B54" s="1"/>
      <c r="C54" s="51" t="s">
        <v>145</v>
      </c>
      <c r="D54" s="51" t="s">
        <v>29</v>
      </c>
      <c r="E54" s="52" t="s">
        <v>142</v>
      </c>
      <c r="F54" s="53" t="s">
        <v>143</v>
      </c>
      <c r="G54" s="54" t="s">
        <v>144</v>
      </c>
      <c r="H54" s="55">
        <v>3</v>
      </c>
      <c r="I54" s="56">
        <v>4045.61</v>
      </c>
      <c r="J54" s="55">
        <v>12136.8</v>
      </c>
      <c r="K54" s="63">
        <v>0</v>
      </c>
      <c r="L54" s="64">
        <f t="shared" si="1"/>
        <v>4045.61</v>
      </c>
      <c r="M54" s="196">
        <f t="shared" si="2"/>
        <v>0</v>
      </c>
      <c r="N54" s="66">
        <f t="shared" si="3"/>
        <v>3</v>
      </c>
      <c r="O54" s="67">
        <f t="shared" si="4"/>
        <v>4045.61</v>
      </c>
      <c r="P54" s="197">
        <f t="shared" si="5"/>
        <v>12136.83</v>
      </c>
      <c r="W54" s="182"/>
      <c r="AA54" s="114">
        <f t="shared" si="6"/>
        <v>3</v>
      </c>
    </row>
    <row r="55" spans="2:27" s="114" customFormat="1" ht="16.5" customHeight="1" x14ac:dyDescent="0.2">
      <c r="B55" s="1"/>
      <c r="C55" s="73" t="s">
        <v>148</v>
      </c>
      <c r="D55" s="73" t="s">
        <v>106</v>
      </c>
      <c r="E55" s="74" t="s">
        <v>232</v>
      </c>
      <c r="F55" s="75" t="s">
        <v>233</v>
      </c>
      <c r="G55" s="76" t="s">
        <v>157</v>
      </c>
      <c r="H55" s="77">
        <v>3</v>
      </c>
      <c r="I55" s="78">
        <v>3965.39</v>
      </c>
      <c r="J55" s="77">
        <v>11896.2</v>
      </c>
      <c r="K55" s="63">
        <v>0</v>
      </c>
      <c r="L55" s="64">
        <f t="shared" si="1"/>
        <v>3965.39</v>
      </c>
      <c r="M55" s="196">
        <f t="shared" si="2"/>
        <v>0</v>
      </c>
      <c r="N55" s="66">
        <f t="shared" si="3"/>
        <v>3</v>
      </c>
      <c r="O55" s="67">
        <f t="shared" si="4"/>
        <v>3965.39</v>
      </c>
      <c r="P55" s="197">
        <f t="shared" si="5"/>
        <v>11896.17</v>
      </c>
      <c r="W55" s="182"/>
      <c r="AA55" s="114">
        <f t="shared" si="6"/>
        <v>3</v>
      </c>
    </row>
    <row r="56" spans="2:27" s="114" customFormat="1" ht="16.5" customHeight="1" x14ac:dyDescent="0.2">
      <c r="B56" s="1"/>
      <c r="C56" s="51" t="s">
        <v>151</v>
      </c>
      <c r="D56" s="51" t="s">
        <v>29</v>
      </c>
      <c r="E56" s="52" t="s">
        <v>146</v>
      </c>
      <c r="F56" s="53" t="s">
        <v>147</v>
      </c>
      <c r="G56" s="54" t="s">
        <v>54</v>
      </c>
      <c r="H56" s="55">
        <v>751.5</v>
      </c>
      <c r="I56" s="56">
        <v>220.96</v>
      </c>
      <c r="J56" s="55">
        <v>166051.4</v>
      </c>
      <c r="K56" s="63">
        <f t="shared" ref="K56:K57" si="9">ROUND(720.8/751.5*AA56-AA56,2)</f>
        <v>-30.7</v>
      </c>
      <c r="L56" s="64">
        <f t="shared" si="1"/>
        <v>220.96</v>
      </c>
      <c r="M56" s="196">
        <f t="shared" si="2"/>
        <v>-6783.4719999999998</v>
      </c>
      <c r="N56" s="66">
        <f t="shared" si="3"/>
        <v>720.8</v>
      </c>
      <c r="O56" s="67">
        <f t="shared" si="4"/>
        <v>220.96</v>
      </c>
      <c r="P56" s="197">
        <f t="shared" si="5"/>
        <v>159267.96799999999</v>
      </c>
      <c r="W56" s="182"/>
      <c r="AA56" s="114">
        <f t="shared" si="6"/>
        <v>751.5</v>
      </c>
    </row>
    <row r="57" spans="2:27" s="114" customFormat="1" ht="16.5" customHeight="1" x14ac:dyDescent="0.2">
      <c r="B57" s="1"/>
      <c r="C57" s="73" t="s">
        <v>154</v>
      </c>
      <c r="D57" s="73" t="s">
        <v>106</v>
      </c>
      <c r="E57" s="74" t="s">
        <v>149</v>
      </c>
      <c r="F57" s="75" t="s">
        <v>150</v>
      </c>
      <c r="G57" s="76" t="s">
        <v>54</v>
      </c>
      <c r="H57" s="77">
        <v>751.5</v>
      </c>
      <c r="I57" s="78">
        <v>1208.69</v>
      </c>
      <c r="J57" s="77">
        <v>908330.5</v>
      </c>
      <c r="K57" s="63">
        <f t="shared" si="9"/>
        <v>-30.7</v>
      </c>
      <c r="L57" s="64">
        <f t="shared" si="1"/>
        <v>1208.69</v>
      </c>
      <c r="M57" s="196">
        <f t="shared" si="2"/>
        <v>-37106.783000000003</v>
      </c>
      <c r="N57" s="66">
        <f t="shared" si="3"/>
        <v>720.8</v>
      </c>
      <c r="O57" s="67">
        <f t="shared" si="4"/>
        <v>1208.69</v>
      </c>
      <c r="P57" s="197">
        <f t="shared" si="5"/>
        <v>871223.75199999998</v>
      </c>
      <c r="W57" s="182"/>
      <c r="AA57" s="114">
        <f t="shared" si="6"/>
        <v>751.5</v>
      </c>
    </row>
    <row r="58" spans="2:27" s="114" customFormat="1" ht="16.5" customHeight="1" x14ac:dyDescent="0.2">
      <c r="B58" s="1"/>
      <c r="C58" s="51" t="s">
        <v>158</v>
      </c>
      <c r="D58" s="51" t="s">
        <v>29</v>
      </c>
      <c r="E58" s="52" t="s">
        <v>310</v>
      </c>
      <c r="F58" s="53" t="s">
        <v>311</v>
      </c>
      <c r="G58" s="54" t="s">
        <v>144</v>
      </c>
      <c r="H58" s="55">
        <v>1</v>
      </c>
      <c r="I58" s="56">
        <v>510.31</v>
      </c>
      <c r="J58" s="55">
        <v>510.3</v>
      </c>
      <c r="K58" s="63">
        <v>0</v>
      </c>
      <c r="L58" s="64">
        <f t="shared" si="1"/>
        <v>510.31</v>
      </c>
      <c r="M58" s="196">
        <f t="shared" si="2"/>
        <v>0</v>
      </c>
      <c r="N58" s="66">
        <f t="shared" si="3"/>
        <v>1</v>
      </c>
      <c r="O58" s="67">
        <f t="shared" si="4"/>
        <v>510.31</v>
      </c>
      <c r="P58" s="197">
        <f t="shared" si="5"/>
        <v>510.31</v>
      </c>
      <c r="W58" s="182"/>
      <c r="AA58" s="114">
        <f t="shared" si="6"/>
        <v>1</v>
      </c>
    </row>
    <row r="59" spans="2:27" s="114" customFormat="1" ht="16.5" customHeight="1" x14ac:dyDescent="0.2">
      <c r="B59" s="1"/>
      <c r="C59" s="73" t="s">
        <v>162</v>
      </c>
      <c r="D59" s="73" t="s">
        <v>106</v>
      </c>
      <c r="E59" s="74" t="s">
        <v>312</v>
      </c>
      <c r="F59" s="75" t="s">
        <v>313</v>
      </c>
      <c r="G59" s="76" t="s">
        <v>157</v>
      </c>
      <c r="H59" s="77">
        <v>1</v>
      </c>
      <c r="I59" s="78">
        <v>1654.55</v>
      </c>
      <c r="J59" s="77">
        <v>1654.6</v>
      </c>
      <c r="K59" s="63">
        <v>0</v>
      </c>
      <c r="L59" s="64">
        <f t="shared" si="1"/>
        <v>1654.55</v>
      </c>
      <c r="M59" s="196">
        <f t="shared" si="2"/>
        <v>0</v>
      </c>
      <c r="N59" s="66">
        <f t="shared" si="3"/>
        <v>1</v>
      </c>
      <c r="O59" s="67">
        <f t="shared" si="4"/>
        <v>1654.55</v>
      </c>
      <c r="P59" s="197">
        <f t="shared" si="5"/>
        <v>1654.55</v>
      </c>
      <c r="W59" s="182"/>
      <c r="AA59" s="114">
        <f t="shared" si="6"/>
        <v>1</v>
      </c>
    </row>
    <row r="60" spans="2:27" s="114" customFormat="1" ht="16.5" customHeight="1" x14ac:dyDescent="0.2">
      <c r="B60" s="1"/>
      <c r="C60" s="51" t="s">
        <v>165</v>
      </c>
      <c r="D60" s="51" t="s">
        <v>29</v>
      </c>
      <c r="E60" s="52" t="s">
        <v>152</v>
      </c>
      <c r="F60" s="53" t="s">
        <v>153</v>
      </c>
      <c r="G60" s="54" t="s">
        <v>144</v>
      </c>
      <c r="H60" s="55">
        <v>19</v>
      </c>
      <c r="I60" s="56">
        <v>255.15</v>
      </c>
      <c r="J60" s="55">
        <v>4847.8999999999996</v>
      </c>
      <c r="K60" s="63">
        <v>0</v>
      </c>
      <c r="L60" s="64">
        <f t="shared" si="1"/>
        <v>255.15</v>
      </c>
      <c r="M60" s="196">
        <f t="shared" si="2"/>
        <v>0</v>
      </c>
      <c r="N60" s="66">
        <f t="shared" si="3"/>
        <v>19</v>
      </c>
      <c r="O60" s="67">
        <f t="shared" si="4"/>
        <v>255.15</v>
      </c>
      <c r="P60" s="197">
        <f t="shared" si="5"/>
        <v>4847.8500000000004</v>
      </c>
      <c r="W60" s="256" t="s">
        <v>563</v>
      </c>
      <c r="X60" s="254" t="s">
        <v>579</v>
      </c>
      <c r="AA60" s="114">
        <f t="shared" si="6"/>
        <v>19</v>
      </c>
    </row>
    <row r="61" spans="2:27" s="114" customFormat="1" ht="16.5" customHeight="1" x14ac:dyDescent="0.2">
      <c r="B61" s="1"/>
      <c r="C61" s="73" t="s">
        <v>168</v>
      </c>
      <c r="D61" s="73" t="s">
        <v>106</v>
      </c>
      <c r="E61" s="74" t="s">
        <v>155</v>
      </c>
      <c r="F61" s="75" t="s">
        <v>156</v>
      </c>
      <c r="G61" s="76" t="s">
        <v>157</v>
      </c>
      <c r="H61" s="77">
        <v>4</v>
      </c>
      <c r="I61" s="78">
        <v>2596.2399999999998</v>
      </c>
      <c r="J61" s="77">
        <v>10385</v>
      </c>
      <c r="K61" s="63">
        <v>0</v>
      </c>
      <c r="L61" s="64">
        <f t="shared" si="1"/>
        <v>2596.2399999999998</v>
      </c>
      <c r="M61" s="196">
        <f t="shared" si="2"/>
        <v>0</v>
      </c>
      <c r="N61" s="66">
        <f t="shared" si="3"/>
        <v>4</v>
      </c>
      <c r="O61" s="67">
        <f t="shared" si="4"/>
        <v>2596.2399999999998</v>
      </c>
      <c r="P61" s="197">
        <f t="shared" si="5"/>
        <v>10384.959999999999</v>
      </c>
      <c r="W61" s="256"/>
      <c r="X61" s="254"/>
      <c r="AA61" s="114">
        <f t="shared" si="6"/>
        <v>4</v>
      </c>
    </row>
    <row r="62" spans="2:27" s="114" customFormat="1" ht="16.5" customHeight="1" x14ac:dyDescent="0.2">
      <c r="B62" s="1"/>
      <c r="C62" s="73" t="s">
        <v>171</v>
      </c>
      <c r="D62" s="73" t="s">
        <v>106</v>
      </c>
      <c r="E62" s="74" t="s">
        <v>314</v>
      </c>
      <c r="F62" s="75" t="s">
        <v>315</v>
      </c>
      <c r="G62" s="76" t="s">
        <v>157</v>
      </c>
      <c r="H62" s="77">
        <v>1</v>
      </c>
      <c r="I62" s="78">
        <v>2548.9</v>
      </c>
      <c r="J62" s="77">
        <v>2548.9</v>
      </c>
      <c r="K62" s="63">
        <v>0</v>
      </c>
      <c r="L62" s="64">
        <f t="shared" si="1"/>
        <v>2548.9</v>
      </c>
      <c r="M62" s="196">
        <f t="shared" si="2"/>
        <v>0</v>
      </c>
      <c r="N62" s="66">
        <f t="shared" si="3"/>
        <v>1</v>
      </c>
      <c r="O62" s="67">
        <f t="shared" si="4"/>
        <v>2548.9</v>
      </c>
      <c r="P62" s="197">
        <f t="shared" si="5"/>
        <v>2548.9</v>
      </c>
      <c r="W62" s="256"/>
      <c r="X62" s="254"/>
      <c r="AA62" s="114">
        <f t="shared" si="6"/>
        <v>1</v>
      </c>
    </row>
    <row r="63" spans="2:27" s="114" customFormat="1" ht="16.5" customHeight="1" x14ac:dyDescent="0.2">
      <c r="B63" s="1"/>
      <c r="C63" s="73" t="s">
        <v>174</v>
      </c>
      <c r="D63" s="73" t="s">
        <v>106</v>
      </c>
      <c r="E63" s="74" t="s">
        <v>159</v>
      </c>
      <c r="F63" s="75" t="s">
        <v>160</v>
      </c>
      <c r="G63" s="76" t="s">
        <v>161</v>
      </c>
      <c r="H63" s="77">
        <v>3</v>
      </c>
      <c r="I63" s="78">
        <v>4573.0200000000004</v>
      </c>
      <c r="J63" s="77">
        <v>13719.1</v>
      </c>
      <c r="K63" s="63">
        <v>0</v>
      </c>
      <c r="L63" s="64">
        <f t="shared" si="1"/>
        <v>4573.0200000000004</v>
      </c>
      <c r="M63" s="196">
        <f t="shared" si="2"/>
        <v>0</v>
      </c>
      <c r="N63" s="66">
        <f t="shared" si="3"/>
        <v>3</v>
      </c>
      <c r="O63" s="67">
        <f t="shared" si="4"/>
        <v>4573.0200000000004</v>
      </c>
      <c r="P63" s="197">
        <f t="shared" si="5"/>
        <v>13719.060000000001</v>
      </c>
      <c r="W63" s="256"/>
      <c r="X63" s="254"/>
      <c r="AA63" s="114">
        <f t="shared" si="6"/>
        <v>3</v>
      </c>
    </row>
    <row r="64" spans="2:27" s="114" customFormat="1" ht="16.5" customHeight="1" x14ac:dyDescent="0.2">
      <c r="B64" s="1"/>
      <c r="C64" s="73" t="s">
        <v>177</v>
      </c>
      <c r="D64" s="73" t="s">
        <v>106</v>
      </c>
      <c r="E64" s="74" t="s">
        <v>234</v>
      </c>
      <c r="F64" s="75" t="s">
        <v>235</v>
      </c>
      <c r="G64" s="76" t="s">
        <v>161</v>
      </c>
      <c r="H64" s="77">
        <v>4</v>
      </c>
      <c r="I64" s="78">
        <v>4755.83</v>
      </c>
      <c r="J64" s="77">
        <v>19023.3</v>
      </c>
      <c r="K64" s="63">
        <v>0</v>
      </c>
      <c r="L64" s="64">
        <f t="shared" si="1"/>
        <v>4755.83</v>
      </c>
      <c r="M64" s="196">
        <f t="shared" si="2"/>
        <v>0</v>
      </c>
      <c r="N64" s="66">
        <f t="shared" si="3"/>
        <v>4</v>
      </c>
      <c r="O64" s="67">
        <f t="shared" si="4"/>
        <v>4755.83</v>
      </c>
      <c r="P64" s="197">
        <f t="shared" si="5"/>
        <v>19023.32</v>
      </c>
      <c r="W64" s="256"/>
      <c r="X64" s="254"/>
      <c r="AA64" s="114">
        <f t="shared" si="6"/>
        <v>4</v>
      </c>
    </row>
    <row r="65" spans="2:27" s="114" customFormat="1" ht="16.5" customHeight="1" x14ac:dyDescent="0.2">
      <c r="B65" s="1"/>
      <c r="C65" s="73" t="s">
        <v>180</v>
      </c>
      <c r="D65" s="73" t="s">
        <v>106</v>
      </c>
      <c r="E65" s="74" t="s">
        <v>316</v>
      </c>
      <c r="F65" s="75" t="s">
        <v>317</v>
      </c>
      <c r="G65" s="76" t="s">
        <v>161</v>
      </c>
      <c r="H65" s="77">
        <v>7</v>
      </c>
      <c r="I65" s="78">
        <v>4746.63</v>
      </c>
      <c r="J65" s="77">
        <v>33226.400000000001</v>
      </c>
      <c r="K65" s="63">
        <v>0</v>
      </c>
      <c r="L65" s="64">
        <f t="shared" si="1"/>
        <v>4746.63</v>
      </c>
      <c r="M65" s="196">
        <f t="shared" si="2"/>
        <v>0</v>
      </c>
      <c r="N65" s="66">
        <f t="shared" si="3"/>
        <v>7</v>
      </c>
      <c r="O65" s="67">
        <f t="shared" si="4"/>
        <v>4746.63</v>
      </c>
      <c r="P65" s="197">
        <f t="shared" si="5"/>
        <v>33226.410000000003</v>
      </c>
      <c r="W65" s="256"/>
      <c r="X65" s="254"/>
      <c r="AA65" s="114">
        <f t="shared" si="6"/>
        <v>7</v>
      </c>
    </row>
    <row r="66" spans="2:27" s="114" customFormat="1" ht="16.5" customHeight="1" x14ac:dyDescent="0.2">
      <c r="B66" s="1"/>
      <c r="C66" s="51" t="s">
        <v>183</v>
      </c>
      <c r="D66" s="51" t="s">
        <v>29</v>
      </c>
      <c r="E66" s="52" t="s">
        <v>163</v>
      </c>
      <c r="F66" s="53" t="s">
        <v>164</v>
      </c>
      <c r="G66" s="54" t="s">
        <v>144</v>
      </c>
      <c r="H66" s="55">
        <v>20</v>
      </c>
      <c r="I66" s="56">
        <v>255.15</v>
      </c>
      <c r="J66" s="55">
        <v>5103</v>
      </c>
      <c r="K66" s="63">
        <v>0</v>
      </c>
      <c r="L66" s="64">
        <f t="shared" si="1"/>
        <v>255.15</v>
      </c>
      <c r="M66" s="196">
        <f t="shared" si="2"/>
        <v>0</v>
      </c>
      <c r="N66" s="66">
        <f t="shared" si="3"/>
        <v>20</v>
      </c>
      <c r="O66" s="67">
        <f t="shared" si="4"/>
        <v>255.15</v>
      </c>
      <c r="P66" s="197">
        <f t="shared" si="5"/>
        <v>5103</v>
      </c>
      <c r="W66" s="256"/>
      <c r="X66" s="254"/>
      <c r="AA66" s="114">
        <f t="shared" si="6"/>
        <v>20</v>
      </c>
    </row>
    <row r="67" spans="2:27" s="114" customFormat="1" ht="16.5" customHeight="1" x14ac:dyDescent="0.2">
      <c r="B67" s="1"/>
      <c r="C67" s="73" t="s">
        <v>187</v>
      </c>
      <c r="D67" s="73" t="s">
        <v>106</v>
      </c>
      <c r="E67" s="74" t="s">
        <v>166</v>
      </c>
      <c r="F67" s="75" t="s">
        <v>167</v>
      </c>
      <c r="G67" s="76" t="s">
        <v>161</v>
      </c>
      <c r="H67" s="77">
        <v>5</v>
      </c>
      <c r="I67" s="78">
        <v>1628.24</v>
      </c>
      <c r="J67" s="77">
        <v>8141.2</v>
      </c>
      <c r="K67" s="63">
        <v>0</v>
      </c>
      <c r="L67" s="64">
        <f t="shared" si="1"/>
        <v>1628.24</v>
      </c>
      <c r="M67" s="196">
        <f t="shared" si="2"/>
        <v>0</v>
      </c>
      <c r="N67" s="66">
        <f t="shared" si="3"/>
        <v>5</v>
      </c>
      <c r="O67" s="67">
        <f t="shared" si="4"/>
        <v>1628.24</v>
      </c>
      <c r="P67" s="197">
        <f t="shared" si="5"/>
        <v>8141.2</v>
      </c>
      <c r="W67" s="256"/>
      <c r="X67" s="254"/>
      <c r="AA67" s="114">
        <f t="shared" si="6"/>
        <v>5</v>
      </c>
    </row>
    <row r="68" spans="2:27" s="114" customFormat="1" ht="16.5" customHeight="1" x14ac:dyDescent="0.2">
      <c r="B68" s="1"/>
      <c r="C68" s="73" t="s">
        <v>190</v>
      </c>
      <c r="D68" s="73" t="s">
        <v>106</v>
      </c>
      <c r="E68" s="74" t="s">
        <v>318</v>
      </c>
      <c r="F68" s="75" t="s">
        <v>319</v>
      </c>
      <c r="G68" s="76" t="s">
        <v>161</v>
      </c>
      <c r="H68" s="77">
        <v>1</v>
      </c>
      <c r="I68" s="78">
        <v>990.36</v>
      </c>
      <c r="J68" s="77">
        <v>990.4</v>
      </c>
      <c r="K68" s="63">
        <v>0</v>
      </c>
      <c r="L68" s="64">
        <f t="shared" si="1"/>
        <v>990.36</v>
      </c>
      <c r="M68" s="196">
        <f t="shared" si="2"/>
        <v>0</v>
      </c>
      <c r="N68" s="66">
        <f t="shared" si="3"/>
        <v>1</v>
      </c>
      <c r="O68" s="67">
        <f t="shared" si="4"/>
        <v>990.36</v>
      </c>
      <c r="P68" s="197">
        <f t="shared" si="5"/>
        <v>990.36</v>
      </c>
      <c r="W68" s="256"/>
      <c r="X68" s="254"/>
      <c r="AA68" s="114">
        <f t="shared" si="6"/>
        <v>1</v>
      </c>
    </row>
    <row r="69" spans="2:27" s="114" customFormat="1" ht="16.5" customHeight="1" x14ac:dyDescent="0.2">
      <c r="B69" s="1"/>
      <c r="C69" s="73" t="s">
        <v>193</v>
      </c>
      <c r="D69" s="73" t="s">
        <v>106</v>
      </c>
      <c r="E69" s="74" t="s">
        <v>236</v>
      </c>
      <c r="F69" s="75" t="s">
        <v>237</v>
      </c>
      <c r="G69" s="76" t="s">
        <v>161</v>
      </c>
      <c r="H69" s="77">
        <v>1</v>
      </c>
      <c r="I69" s="78">
        <v>1104.78</v>
      </c>
      <c r="J69" s="77">
        <v>1104.8</v>
      </c>
      <c r="K69" s="63">
        <v>0</v>
      </c>
      <c r="L69" s="64">
        <f t="shared" si="1"/>
        <v>1104.78</v>
      </c>
      <c r="M69" s="196">
        <f t="shared" si="2"/>
        <v>0</v>
      </c>
      <c r="N69" s="66">
        <f t="shared" si="3"/>
        <v>1</v>
      </c>
      <c r="O69" s="67">
        <f t="shared" si="4"/>
        <v>1104.78</v>
      </c>
      <c r="P69" s="197">
        <f t="shared" si="5"/>
        <v>1104.78</v>
      </c>
      <c r="W69" s="256"/>
      <c r="X69" s="254"/>
      <c r="AA69" s="114">
        <f t="shared" si="6"/>
        <v>1</v>
      </c>
    </row>
    <row r="70" spans="2:27" s="114" customFormat="1" ht="16.5" customHeight="1" x14ac:dyDescent="0.2">
      <c r="B70" s="1"/>
      <c r="C70" s="73" t="s">
        <v>196</v>
      </c>
      <c r="D70" s="73" t="s">
        <v>106</v>
      </c>
      <c r="E70" s="74" t="s">
        <v>320</v>
      </c>
      <c r="F70" s="75" t="s">
        <v>321</v>
      </c>
      <c r="G70" s="76" t="s">
        <v>161</v>
      </c>
      <c r="H70" s="77">
        <v>2</v>
      </c>
      <c r="I70" s="78">
        <v>1553.27</v>
      </c>
      <c r="J70" s="77">
        <v>3106.5</v>
      </c>
      <c r="K70" s="63">
        <v>0</v>
      </c>
      <c r="L70" s="64">
        <f t="shared" si="1"/>
        <v>1553.27</v>
      </c>
      <c r="M70" s="196">
        <f t="shared" si="2"/>
        <v>0</v>
      </c>
      <c r="N70" s="66">
        <f t="shared" si="3"/>
        <v>2</v>
      </c>
      <c r="O70" s="67">
        <f t="shared" si="4"/>
        <v>1553.27</v>
      </c>
      <c r="P70" s="197">
        <f t="shared" si="5"/>
        <v>3106.54</v>
      </c>
      <c r="W70" s="256"/>
      <c r="X70" s="254"/>
      <c r="AA70" s="114">
        <f t="shared" si="6"/>
        <v>2</v>
      </c>
    </row>
    <row r="71" spans="2:27" s="114" customFormat="1" ht="16.5" customHeight="1" x14ac:dyDescent="0.2">
      <c r="B71" s="1"/>
      <c r="C71" s="73" t="s">
        <v>200</v>
      </c>
      <c r="D71" s="73" t="s">
        <v>106</v>
      </c>
      <c r="E71" s="74" t="s">
        <v>322</v>
      </c>
      <c r="F71" s="75" t="s">
        <v>323</v>
      </c>
      <c r="G71" s="76" t="s">
        <v>157</v>
      </c>
      <c r="H71" s="77">
        <v>2</v>
      </c>
      <c r="I71" s="78">
        <v>1103.47</v>
      </c>
      <c r="J71" s="77">
        <v>2206.9</v>
      </c>
      <c r="K71" s="63">
        <v>0</v>
      </c>
      <c r="L71" s="64">
        <f t="shared" si="1"/>
        <v>1103.47</v>
      </c>
      <c r="M71" s="196">
        <f t="shared" si="2"/>
        <v>0</v>
      </c>
      <c r="N71" s="66">
        <f t="shared" si="3"/>
        <v>2</v>
      </c>
      <c r="O71" s="67">
        <f t="shared" si="4"/>
        <v>1103.47</v>
      </c>
      <c r="P71" s="197">
        <f t="shared" si="5"/>
        <v>2206.94</v>
      </c>
      <c r="W71" s="256"/>
      <c r="X71" s="254"/>
      <c r="AA71" s="114">
        <f t="shared" si="6"/>
        <v>2</v>
      </c>
    </row>
    <row r="72" spans="2:27" s="114" customFormat="1" ht="16.5" customHeight="1" x14ac:dyDescent="0.2">
      <c r="B72" s="1"/>
      <c r="C72" s="73" t="s">
        <v>203</v>
      </c>
      <c r="D72" s="73" t="s">
        <v>106</v>
      </c>
      <c r="E72" s="74" t="s">
        <v>324</v>
      </c>
      <c r="F72" s="75" t="s">
        <v>325</v>
      </c>
      <c r="G72" s="76" t="s">
        <v>157</v>
      </c>
      <c r="H72" s="77">
        <v>3</v>
      </c>
      <c r="I72" s="78">
        <v>1499.35</v>
      </c>
      <c r="J72" s="77">
        <v>4498.1000000000004</v>
      </c>
      <c r="K72" s="63">
        <v>0</v>
      </c>
      <c r="L72" s="64">
        <f t="shared" si="1"/>
        <v>1499.35</v>
      </c>
      <c r="M72" s="196">
        <f t="shared" si="2"/>
        <v>0</v>
      </c>
      <c r="N72" s="66">
        <f t="shared" si="3"/>
        <v>3</v>
      </c>
      <c r="O72" s="67">
        <f t="shared" si="4"/>
        <v>1499.35</v>
      </c>
      <c r="P72" s="197">
        <f t="shared" si="5"/>
        <v>4498.0499999999993</v>
      </c>
      <c r="W72" s="182"/>
      <c r="AA72" s="114">
        <f t="shared" si="6"/>
        <v>3</v>
      </c>
    </row>
    <row r="73" spans="2:27" s="114" customFormat="1" ht="16.5" customHeight="1" x14ac:dyDescent="0.2">
      <c r="B73" s="1"/>
      <c r="C73" s="73" t="s">
        <v>206</v>
      </c>
      <c r="D73" s="73" t="s">
        <v>106</v>
      </c>
      <c r="E73" s="74" t="s">
        <v>238</v>
      </c>
      <c r="F73" s="75" t="s">
        <v>239</v>
      </c>
      <c r="G73" s="76" t="s">
        <v>157</v>
      </c>
      <c r="H73" s="77">
        <v>6</v>
      </c>
      <c r="I73" s="78">
        <v>3026.32</v>
      </c>
      <c r="J73" s="77">
        <v>18157.900000000001</v>
      </c>
      <c r="K73" s="63">
        <v>0</v>
      </c>
      <c r="L73" s="64">
        <f t="shared" si="1"/>
        <v>3026.32</v>
      </c>
      <c r="M73" s="196">
        <f t="shared" si="2"/>
        <v>0</v>
      </c>
      <c r="N73" s="66">
        <f t="shared" si="3"/>
        <v>6</v>
      </c>
      <c r="O73" s="67">
        <f t="shared" si="4"/>
        <v>3026.32</v>
      </c>
      <c r="P73" s="197">
        <f t="shared" si="5"/>
        <v>18157.920000000002</v>
      </c>
      <c r="W73" s="182"/>
      <c r="AA73" s="114">
        <f t="shared" si="6"/>
        <v>6</v>
      </c>
    </row>
    <row r="74" spans="2:27" s="114" customFormat="1" ht="16.5" customHeight="1" x14ac:dyDescent="0.2">
      <c r="B74" s="1"/>
      <c r="C74" s="51" t="s">
        <v>207</v>
      </c>
      <c r="D74" s="51" t="s">
        <v>29</v>
      </c>
      <c r="E74" s="52" t="s">
        <v>240</v>
      </c>
      <c r="F74" s="53" t="s">
        <v>241</v>
      </c>
      <c r="G74" s="54" t="s">
        <v>144</v>
      </c>
      <c r="H74" s="55">
        <v>3</v>
      </c>
      <c r="I74" s="56">
        <v>524.77</v>
      </c>
      <c r="J74" s="55">
        <v>1574.3</v>
      </c>
      <c r="K74" s="63">
        <v>0</v>
      </c>
      <c r="L74" s="64">
        <f t="shared" si="1"/>
        <v>524.77</v>
      </c>
      <c r="M74" s="196">
        <f t="shared" si="2"/>
        <v>0</v>
      </c>
      <c r="N74" s="66">
        <f t="shared" si="3"/>
        <v>3</v>
      </c>
      <c r="O74" s="67">
        <f t="shared" si="4"/>
        <v>524.77</v>
      </c>
      <c r="P74" s="197">
        <f t="shared" si="5"/>
        <v>1574.31</v>
      </c>
      <c r="W74" s="182"/>
      <c r="AA74" s="114">
        <f t="shared" si="6"/>
        <v>3</v>
      </c>
    </row>
    <row r="75" spans="2:27" s="114" customFormat="1" ht="16.5" customHeight="1" x14ac:dyDescent="0.2">
      <c r="B75" s="1"/>
      <c r="C75" s="73" t="s">
        <v>208</v>
      </c>
      <c r="D75" s="73" t="s">
        <v>106</v>
      </c>
      <c r="E75" s="74" t="s">
        <v>242</v>
      </c>
      <c r="F75" s="75" t="s">
        <v>243</v>
      </c>
      <c r="G75" s="76" t="s">
        <v>157</v>
      </c>
      <c r="H75" s="77">
        <v>3</v>
      </c>
      <c r="I75" s="78">
        <v>3356.44</v>
      </c>
      <c r="J75" s="77">
        <v>10069.299999999999</v>
      </c>
      <c r="K75" s="63">
        <v>0</v>
      </c>
      <c r="L75" s="64">
        <f t="shared" si="1"/>
        <v>3356.44</v>
      </c>
      <c r="M75" s="196">
        <f t="shared" si="2"/>
        <v>0</v>
      </c>
      <c r="N75" s="66">
        <f t="shared" si="3"/>
        <v>3</v>
      </c>
      <c r="O75" s="67">
        <f t="shared" si="4"/>
        <v>3356.44</v>
      </c>
      <c r="P75" s="197">
        <f t="shared" si="5"/>
        <v>10069.32</v>
      </c>
      <c r="W75" s="182"/>
      <c r="AA75" s="114">
        <f t="shared" si="6"/>
        <v>3</v>
      </c>
    </row>
    <row r="76" spans="2:27" s="114" customFormat="1" ht="16.5" customHeight="1" x14ac:dyDescent="0.2">
      <c r="B76" s="1"/>
      <c r="C76" s="51" t="s">
        <v>213</v>
      </c>
      <c r="D76" s="51" t="s">
        <v>29</v>
      </c>
      <c r="E76" s="52" t="s">
        <v>326</v>
      </c>
      <c r="F76" s="53" t="s">
        <v>327</v>
      </c>
      <c r="G76" s="54" t="s">
        <v>144</v>
      </c>
      <c r="H76" s="55">
        <v>4</v>
      </c>
      <c r="I76" s="56">
        <v>373.52</v>
      </c>
      <c r="J76" s="55">
        <v>1494.1</v>
      </c>
      <c r="K76" s="63">
        <v>0</v>
      </c>
      <c r="L76" s="64">
        <f t="shared" si="1"/>
        <v>373.52</v>
      </c>
      <c r="M76" s="196">
        <f t="shared" si="2"/>
        <v>0</v>
      </c>
      <c r="N76" s="66">
        <f t="shared" si="3"/>
        <v>4</v>
      </c>
      <c r="O76" s="67">
        <f t="shared" si="4"/>
        <v>373.52</v>
      </c>
      <c r="P76" s="197">
        <f t="shared" si="5"/>
        <v>1494.08</v>
      </c>
      <c r="W76" s="182"/>
      <c r="AA76" s="114">
        <f t="shared" si="6"/>
        <v>4</v>
      </c>
    </row>
    <row r="77" spans="2:27" s="114" customFormat="1" ht="16.5" customHeight="1" x14ac:dyDescent="0.2">
      <c r="B77" s="1"/>
      <c r="C77" s="73" t="s">
        <v>219</v>
      </c>
      <c r="D77" s="73" t="s">
        <v>106</v>
      </c>
      <c r="E77" s="74" t="s">
        <v>328</v>
      </c>
      <c r="F77" s="75" t="s">
        <v>329</v>
      </c>
      <c r="G77" s="76" t="s">
        <v>157</v>
      </c>
      <c r="H77" s="77">
        <v>2</v>
      </c>
      <c r="I77" s="78">
        <v>1841.31</v>
      </c>
      <c r="J77" s="77">
        <v>3682.6</v>
      </c>
      <c r="K77" s="63">
        <v>0</v>
      </c>
      <c r="L77" s="64">
        <f t="shared" si="1"/>
        <v>1841.31</v>
      </c>
      <c r="M77" s="196">
        <f t="shared" si="2"/>
        <v>0</v>
      </c>
      <c r="N77" s="66">
        <f t="shared" si="3"/>
        <v>2</v>
      </c>
      <c r="O77" s="67">
        <f t="shared" si="4"/>
        <v>1841.31</v>
      </c>
      <c r="P77" s="197">
        <f t="shared" si="5"/>
        <v>3682.62</v>
      </c>
      <c r="W77" s="182"/>
      <c r="AA77" s="114">
        <f t="shared" si="6"/>
        <v>2</v>
      </c>
    </row>
    <row r="78" spans="2:27" s="114" customFormat="1" ht="16.5" customHeight="1" x14ac:dyDescent="0.2">
      <c r="B78" s="1"/>
      <c r="C78" s="73" t="s">
        <v>223</v>
      </c>
      <c r="D78" s="73" t="s">
        <v>106</v>
      </c>
      <c r="E78" s="74" t="s">
        <v>330</v>
      </c>
      <c r="F78" s="75" t="s">
        <v>331</v>
      </c>
      <c r="G78" s="76" t="s">
        <v>157</v>
      </c>
      <c r="H78" s="77">
        <v>2</v>
      </c>
      <c r="I78" s="78">
        <v>2539.69</v>
      </c>
      <c r="J78" s="77">
        <v>5079.3999999999996</v>
      </c>
      <c r="K78" s="63">
        <v>0</v>
      </c>
      <c r="L78" s="64">
        <f t="shared" si="1"/>
        <v>2539.69</v>
      </c>
      <c r="M78" s="196">
        <f t="shared" si="2"/>
        <v>0</v>
      </c>
      <c r="N78" s="66">
        <f t="shared" si="3"/>
        <v>2</v>
      </c>
      <c r="O78" s="67">
        <f t="shared" si="4"/>
        <v>2539.69</v>
      </c>
      <c r="P78" s="197">
        <f t="shared" si="5"/>
        <v>5079.38</v>
      </c>
      <c r="W78" s="182"/>
      <c r="AA78" s="114">
        <f t="shared" si="6"/>
        <v>2</v>
      </c>
    </row>
    <row r="79" spans="2:27" s="114" customFormat="1" ht="16.5" customHeight="1" x14ac:dyDescent="0.2">
      <c r="B79" s="1"/>
      <c r="C79" s="51" t="s">
        <v>256</v>
      </c>
      <c r="D79" s="51" t="s">
        <v>29</v>
      </c>
      <c r="E79" s="52" t="s">
        <v>332</v>
      </c>
      <c r="F79" s="53" t="s">
        <v>333</v>
      </c>
      <c r="G79" s="54" t="s">
        <v>54</v>
      </c>
      <c r="H79" s="55">
        <v>0.5</v>
      </c>
      <c r="I79" s="56">
        <v>76.28</v>
      </c>
      <c r="J79" s="55">
        <v>38.1</v>
      </c>
      <c r="K79" s="63">
        <v>0</v>
      </c>
      <c r="L79" s="64">
        <f t="shared" si="1"/>
        <v>76.28</v>
      </c>
      <c r="M79" s="196">
        <f t="shared" si="2"/>
        <v>0</v>
      </c>
      <c r="N79" s="66">
        <f t="shared" si="3"/>
        <v>0.5</v>
      </c>
      <c r="O79" s="67">
        <f t="shared" si="4"/>
        <v>76.28</v>
      </c>
      <c r="P79" s="197">
        <f t="shared" si="5"/>
        <v>38.14</v>
      </c>
      <c r="W79" s="182"/>
      <c r="AA79" s="114">
        <f t="shared" si="6"/>
        <v>0.5</v>
      </c>
    </row>
    <row r="80" spans="2:27" s="114" customFormat="1" ht="16.5" customHeight="1" x14ac:dyDescent="0.2">
      <c r="B80" s="1"/>
      <c r="C80" s="73" t="s">
        <v>257</v>
      </c>
      <c r="D80" s="73" t="s">
        <v>106</v>
      </c>
      <c r="E80" s="74" t="s">
        <v>334</v>
      </c>
      <c r="F80" s="75" t="s">
        <v>335</v>
      </c>
      <c r="G80" s="76" t="s">
        <v>54</v>
      </c>
      <c r="H80" s="77">
        <v>0.5</v>
      </c>
      <c r="I80" s="78">
        <v>170.98</v>
      </c>
      <c r="J80" s="77">
        <v>85.5</v>
      </c>
      <c r="K80" s="63">
        <v>0</v>
      </c>
      <c r="L80" s="64">
        <f t="shared" ref="L80:L136" si="10">I80</f>
        <v>170.98</v>
      </c>
      <c r="M80" s="196">
        <f t="shared" ref="M80:M136" si="11">K80*L80</f>
        <v>0</v>
      </c>
      <c r="N80" s="66">
        <f t="shared" ref="N80:N136" si="12">H80+K80</f>
        <v>0.5</v>
      </c>
      <c r="O80" s="67">
        <f t="shared" ref="O80:O136" si="13">I80</f>
        <v>170.98</v>
      </c>
      <c r="P80" s="197">
        <f t="shared" ref="P80:P136" si="14">N80*O80</f>
        <v>85.49</v>
      </c>
      <c r="W80" s="182"/>
      <c r="AA80" s="114">
        <f t="shared" ref="AA80:AA136" si="15">ROUND(751.5/751.5*H80,2)</f>
        <v>0.5</v>
      </c>
    </row>
    <row r="81" spans="2:27" s="114" customFormat="1" ht="16.5" customHeight="1" x14ac:dyDescent="0.2">
      <c r="B81" s="1"/>
      <c r="C81" s="51" t="s">
        <v>260</v>
      </c>
      <c r="D81" s="51" t="s">
        <v>29</v>
      </c>
      <c r="E81" s="52" t="s">
        <v>336</v>
      </c>
      <c r="F81" s="53" t="s">
        <v>337</v>
      </c>
      <c r="G81" s="54" t="s">
        <v>144</v>
      </c>
      <c r="H81" s="55">
        <v>2</v>
      </c>
      <c r="I81" s="56">
        <v>273.57</v>
      </c>
      <c r="J81" s="55">
        <v>547.1</v>
      </c>
      <c r="K81" s="63">
        <v>0</v>
      </c>
      <c r="L81" s="64">
        <f t="shared" si="10"/>
        <v>273.57</v>
      </c>
      <c r="M81" s="196">
        <f t="shared" si="11"/>
        <v>0</v>
      </c>
      <c r="N81" s="66">
        <f t="shared" si="12"/>
        <v>2</v>
      </c>
      <c r="O81" s="67">
        <f t="shared" si="13"/>
        <v>273.57</v>
      </c>
      <c r="P81" s="197">
        <f t="shared" si="14"/>
        <v>547.14</v>
      </c>
      <c r="W81" s="182"/>
      <c r="AA81" s="114">
        <f t="shared" si="15"/>
        <v>2</v>
      </c>
    </row>
    <row r="82" spans="2:27" s="114" customFormat="1" ht="16.5" customHeight="1" x14ac:dyDescent="0.2">
      <c r="B82" s="1"/>
      <c r="C82" s="73" t="s">
        <v>222</v>
      </c>
      <c r="D82" s="73" t="s">
        <v>106</v>
      </c>
      <c r="E82" s="74" t="s">
        <v>338</v>
      </c>
      <c r="F82" s="75" t="s">
        <v>339</v>
      </c>
      <c r="G82" s="76" t="s">
        <v>157</v>
      </c>
      <c r="H82" s="77">
        <v>2</v>
      </c>
      <c r="I82" s="78">
        <v>5847.47</v>
      </c>
      <c r="J82" s="77">
        <v>11694.9</v>
      </c>
      <c r="K82" s="63">
        <v>0</v>
      </c>
      <c r="L82" s="64">
        <f t="shared" si="10"/>
        <v>5847.47</v>
      </c>
      <c r="M82" s="196">
        <f t="shared" si="11"/>
        <v>0</v>
      </c>
      <c r="N82" s="66">
        <f t="shared" si="12"/>
        <v>2</v>
      </c>
      <c r="O82" s="67">
        <f t="shared" si="13"/>
        <v>5847.47</v>
      </c>
      <c r="P82" s="197">
        <f t="shared" si="14"/>
        <v>11694.94</v>
      </c>
      <c r="W82" s="182"/>
      <c r="AA82" s="114">
        <f t="shared" si="15"/>
        <v>2</v>
      </c>
    </row>
    <row r="83" spans="2:27" s="114" customFormat="1" ht="16.5" customHeight="1" x14ac:dyDescent="0.2">
      <c r="B83" s="1"/>
      <c r="C83" s="73" t="s">
        <v>264</v>
      </c>
      <c r="D83" s="73" t="s">
        <v>106</v>
      </c>
      <c r="E83" s="74" t="s">
        <v>340</v>
      </c>
      <c r="F83" s="75" t="s">
        <v>341</v>
      </c>
      <c r="G83" s="76" t="s">
        <v>157</v>
      </c>
      <c r="H83" s="77">
        <v>2</v>
      </c>
      <c r="I83" s="78">
        <v>272.25</v>
      </c>
      <c r="J83" s="77">
        <v>544.5</v>
      </c>
      <c r="K83" s="63">
        <v>0</v>
      </c>
      <c r="L83" s="64">
        <f t="shared" si="10"/>
        <v>272.25</v>
      </c>
      <c r="M83" s="196">
        <f t="shared" si="11"/>
        <v>0</v>
      </c>
      <c r="N83" s="66">
        <f t="shared" si="12"/>
        <v>2</v>
      </c>
      <c r="O83" s="67">
        <f t="shared" si="13"/>
        <v>272.25</v>
      </c>
      <c r="P83" s="197">
        <f t="shared" si="14"/>
        <v>544.5</v>
      </c>
      <c r="W83" s="182"/>
      <c r="AA83" s="114">
        <f t="shared" si="15"/>
        <v>2</v>
      </c>
    </row>
    <row r="84" spans="2:27" s="114" customFormat="1" ht="16.5" customHeight="1" x14ac:dyDescent="0.2">
      <c r="B84" s="1"/>
      <c r="C84" s="51" t="s">
        <v>265</v>
      </c>
      <c r="D84" s="51" t="s">
        <v>29</v>
      </c>
      <c r="E84" s="52" t="s">
        <v>342</v>
      </c>
      <c r="F84" s="53" t="s">
        <v>343</v>
      </c>
      <c r="G84" s="54" t="s">
        <v>144</v>
      </c>
      <c r="H84" s="55">
        <v>1</v>
      </c>
      <c r="I84" s="56">
        <v>273.57</v>
      </c>
      <c r="J84" s="55">
        <v>273.60000000000002</v>
      </c>
      <c r="K84" s="63">
        <v>0</v>
      </c>
      <c r="L84" s="64">
        <f t="shared" si="10"/>
        <v>273.57</v>
      </c>
      <c r="M84" s="196">
        <f t="shared" si="11"/>
        <v>0</v>
      </c>
      <c r="N84" s="66">
        <f t="shared" si="12"/>
        <v>1</v>
      </c>
      <c r="O84" s="67">
        <f t="shared" si="13"/>
        <v>273.57</v>
      </c>
      <c r="P84" s="197">
        <f t="shared" si="14"/>
        <v>273.57</v>
      </c>
      <c r="W84" s="256" t="s">
        <v>564</v>
      </c>
      <c r="X84" s="254" t="s">
        <v>581</v>
      </c>
      <c r="AA84" s="114">
        <f t="shared" si="15"/>
        <v>1</v>
      </c>
    </row>
    <row r="85" spans="2:27" s="114" customFormat="1" ht="16.5" customHeight="1" x14ac:dyDescent="0.2">
      <c r="B85" s="1"/>
      <c r="C85" s="73" t="s">
        <v>266</v>
      </c>
      <c r="D85" s="73" t="s">
        <v>106</v>
      </c>
      <c r="E85" s="74" t="s">
        <v>344</v>
      </c>
      <c r="F85" s="75" t="s">
        <v>345</v>
      </c>
      <c r="G85" s="76" t="s">
        <v>144</v>
      </c>
      <c r="H85" s="77">
        <v>1</v>
      </c>
      <c r="I85" s="78">
        <v>20643.68</v>
      </c>
      <c r="J85" s="77">
        <v>20643.7</v>
      </c>
      <c r="K85" s="63">
        <v>0</v>
      </c>
      <c r="L85" s="64">
        <f t="shared" si="10"/>
        <v>20643.68</v>
      </c>
      <c r="M85" s="196">
        <f t="shared" si="11"/>
        <v>0</v>
      </c>
      <c r="N85" s="66">
        <f t="shared" si="12"/>
        <v>1</v>
      </c>
      <c r="O85" s="67">
        <f t="shared" si="13"/>
        <v>20643.68</v>
      </c>
      <c r="P85" s="197">
        <f t="shared" si="14"/>
        <v>20643.68</v>
      </c>
      <c r="W85" s="256"/>
      <c r="X85" s="254"/>
      <c r="AA85" s="114">
        <f t="shared" si="15"/>
        <v>1</v>
      </c>
    </row>
    <row r="86" spans="2:27" s="114" customFormat="1" ht="16.5" customHeight="1" x14ac:dyDescent="0.2">
      <c r="B86" s="1"/>
      <c r="C86" s="51" t="s">
        <v>271</v>
      </c>
      <c r="D86" s="51" t="s">
        <v>29</v>
      </c>
      <c r="E86" s="52" t="s">
        <v>169</v>
      </c>
      <c r="F86" s="53" t="s">
        <v>170</v>
      </c>
      <c r="G86" s="54" t="s">
        <v>144</v>
      </c>
      <c r="H86" s="55">
        <v>9</v>
      </c>
      <c r="I86" s="56">
        <v>323.54000000000002</v>
      </c>
      <c r="J86" s="55">
        <v>2911.9</v>
      </c>
      <c r="K86" s="63">
        <v>0</v>
      </c>
      <c r="L86" s="64">
        <f t="shared" si="10"/>
        <v>323.54000000000002</v>
      </c>
      <c r="M86" s="196">
        <f t="shared" si="11"/>
        <v>0</v>
      </c>
      <c r="N86" s="66">
        <f t="shared" si="12"/>
        <v>9</v>
      </c>
      <c r="O86" s="67">
        <f t="shared" si="13"/>
        <v>323.54000000000002</v>
      </c>
      <c r="P86" s="197">
        <f t="shared" si="14"/>
        <v>2911.86</v>
      </c>
      <c r="W86" s="182"/>
      <c r="AA86" s="114">
        <f t="shared" si="15"/>
        <v>9</v>
      </c>
    </row>
    <row r="87" spans="2:27" s="114" customFormat="1" ht="16.5" customHeight="1" x14ac:dyDescent="0.2">
      <c r="B87" s="1"/>
      <c r="C87" s="73" t="s">
        <v>274</v>
      </c>
      <c r="D87" s="73" t="s">
        <v>106</v>
      </c>
      <c r="E87" s="74" t="s">
        <v>244</v>
      </c>
      <c r="F87" s="75" t="s">
        <v>245</v>
      </c>
      <c r="G87" s="76" t="s">
        <v>157</v>
      </c>
      <c r="H87" s="77">
        <v>9</v>
      </c>
      <c r="I87" s="78">
        <v>6989.08</v>
      </c>
      <c r="J87" s="77">
        <v>62901.7</v>
      </c>
      <c r="K87" s="63">
        <v>0</v>
      </c>
      <c r="L87" s="64">
        <f t="shared" si="10"/>
        <v>6989.08</v>
      </c>
      <c r="M87" s="196">
        <f t="shared" si="11"/>
        <v>0</v>
      </c>
      <c r="N87" s="66">
        <f t="shared" si="12"/>
        <v>9</v>
      </c>
      <c r="O87" s="67">
        <f t="shared" si="13"/>
        <v>6989.08</v>
      </c>
      <c r="P87" s="197">
        <f t="shared" si="14"/>
        <v>62901.72</v>
      </c>
      <c r="W87" s="182"/>
      <c r="AA87" s="114">
        <f t="shared" si="15"/>
        <v>9</v>
      </c>
    </row>
    <row r="88" spans="2:27" s="114" customFormat="1" ht="16.5" customHeight="1" x14ac:dyDescent="0.2">
      <c r="B88" s="1"/>
      <c r="C88" s="73" t="s">
        <v>277</v>
      </c>
      <c r="D88" s="73" t="s">
        <v>106</v>
      </c>
      <c r="E88" s="74" t="s">
        <v>346</v>
      </c>
      <c r="F88" s="75" t="s">
        <v>347</v>
      </c>
      <c r="G88" s="76" t="s">
        <v>157</v>
      </c>
      <c r="H88" s="77">
        <v>1</v>
      </c>
      <c r="I88" s="78">
        <v>390.62</v>
      </c>
      <c r="J88" s="77">
        <v>390.6</v>
      </c>
      <c r="K88" s="63">
        <v>0</v>
      </c>
      <c r="L88" s="64">
        <f t="shared" si="10"/>
        <v>390.62</v>
      </c>
      <c r="M88" s="196">
        <f t="shared" si="11"/>
        <v>0</v>
      </c>
      <c r="N88" s="66">
        <f t="shared" si="12"/>
        <v>1</v>
      </c>
      <c r="O88" s="67">
        <f t="shared" si="13"/>
        <v>390.62</v>
      </c>
      <c r="P88" s="197">
        <f t="shared" si="14"/>
        <v>390.62</v>
      </c>
      <c r="V88" s="114" t="s">
        <v>553</v>
      </c>
      <c r="W88" s="182"/>
      <c r="AA88" s="114">
        <f t="shared" si="15"/>
        <v>1</v>
      </c>
    </row>
    <row r="89" spans="2:27" s="114" customFormat="1" ht="16.5" customHeight="1" x14ac:dyDescent="0.2">
      <c r="B89" s="1"/>
      <c r="C89" s="73" t="s">
        <v>280</v>
      </c>
      <c r="D89" s="73" t="s">
        <v>106</v>
      </c>
      <c r="E89" s="74" t="s">
        <v>246</v>
      </c>
      <c r="F89" s="75" t="s">
        <v>247</v>
      </c>
      <c r="G89" s="76" t="s">
        <v>157</v>
      </c>
      <c r="H89" s="77">
        <v>8</v>
      </c>
      <c r="I89" s="78">
        <v>1871.56</v>
      </c>
      <c r="J89" s="77">
        <v>14972.5</v>
      </c>
      <c r="K89" s="63">
        <v>0</v>
      </c>
      <c r="L89" s="64">
        <f t="shared" si="10"/>
        <v>1871.56</v>
      </c>
      <c r="M89" s="196">
        <f t="shared" si="11"/>
        <v>0</v>
      </c>
      <c r="N89" s="66">
        <f t="shared" si="12"/>
        <v>8</v>
      </c>
      <c r="O89" s="67">
        <f t="shared" si="13"/>
        <v>1871.56</v>
      </c>
      <c r="P89" s="197">
        <f t="shared" si="14"/>
        <v>14972.48</v>
      </c>
      <c r="W89" s="182"/>
      <c r="AA89" s="114">
        <f t="shared" si="15"/>
        <v>8</v>
      </c>
    </row>
    <row r="90" spans="2:27" s="114" customFormat="1" ht="16.5" customHeight="1" x14ac:dyDescent="0.2">
      <c r="B90" s="1"/>
      <c r="C90" s="51" t="s">
        <v>283</v>
      </c>
      <c r="D90" s="51" t="s">
        <v>29</v>
      </c>
      <c r="E90" s="52" t="s">
        <v>248</v>
      </c>
      <c r="F90" s="53" t="s">
        <v>249</v>
      </c>
      <c r="G90" s="54" t="s">
        <v>144</v>
      </c>
      <c r="H90" s="55">
        <v>4</v>
      </c>
      <c r="I90" s="56">
        <v>540.55999999999995</v>
      </c>
      <c r="J90" s="55">
        <v>2162.1999999999998</v>
      </c>
      <c r="K90" s="63">
        <v>0</v>
      </c>
      <c r="L90" s="64">
        <f t="shared" si="10"/>
        <v>540.55999999999995</v>
      </c>
      <c r="M90" s="196">
        <f t="shared" si="11"/>
        <v>0</v>
      </c>
      <c r="N90" s="66">
        <f t="shared" si="12"/>
        <v>4</v>
      </c>
      <c r="O90" s="67">
        <f t="shared" si="13"/>
        <v>540.55999999999995</v>
      </c>
      <c r="P90" s="197">
        <f t="shared" si="14"/>
        <v>2162.2399999999998</v>
      </c>
      <c r="W90" s="182"/>
      <c r="AA90" s="114">
        <f t="shared" si="15"/>
        <v>4</v>
      </c>
    </row>
    <row r="91" spans="2:27" s="114" customFormat="1" ht="16.5" customHeight="1" x14ac:dyDescent="0.2">
      <c r="B91" s="1"/>
      <c r="C91" s="73" t="s">
        <v>286</v>
      </c>
      <c r="D91" s="73" t="s">
        <v>106</v>
      </c>
      <c r="E91" s="74" t="s">
        <v>250</v>
      </c>
      <c r="F91" s="75" t="s">
        <v>251</v>
      </c>
      <c r="G91" s="76" t="s">
        <v>157</v>
      </c>
      <c r="H91" s="77">
        <v>3</v>
      </c>
      <c r="I91" s="78">
        <v>30734.05</v>
      </c>
      <c r="J91" s="77">
        <v>92202.2</v>
      </c>
      <c r="K91" s="63">
        <v>0</v>
      </c>
      <c r="L91" s="64">
        <f t="shared" si="10"/>
        <v>30734.05</v>
      </c>
      <c r="M91" s="196">
        <f t="shared" si="11"/>
        <v>0</v>
      </c>
      <c r="N91" s="66">
        <f t="shared" si="12"/>
        <v>3</v>
      </c>
      <c r="O91" s="67">
        <f t="shared" si="13"/>
        <v>30734.05</v>
      </c>
      <c r="P91" s="197">
        <f t="shared" si="14"/>
        <v>92202.15</v>
      </c>
      <c r="W91" s="182"/>
      <c r="AA91" s="114">
        <f t="shared" si="15"/>
        <v>3</v>
      </c>
    </row>
    <row r="92" spans="2:27" s="114" customFormat="1" ht="16.5" customHeight="1" x14ac:dyDescent="0.2">
      <c r="B92" s="1"/>
      <c r="C92" s="73" t="s">
        <v>289</v>
      </c>
      <c r="D92" s="73" t="s">
        <v>106</v>
      </c>
      <c r="E92" s="74" t="s">
        <v>348</v>
      </c>
      <c r="F92" s="75" t="s">
        <v>349</v>
      </c>
      <c r="G92" s="76" t="s">
        <v>157</v>
      </c>
      <c r="H92" s="77">
        <v>1</v>
      </c>
      <c r="I92" s="78">
        <v>9334.11</v>
      </c>
      <c r="J92" s="77">
        <v>9334.1</v>
      </c>
      <c r="K92" s="63">
        <v>0</v>
      </c>
      <c r="L92" s="64">
        <f t="shared" si="10"/>
        <v>9334.11</v>
      </c>
      <c r="M92" s="196">
        <f t="shared" si="11"/>
        <v>0</v>
      </c>
      <c r="N92" s="66">
        <f t="shared" si="12"/>
        <v>1</v>
      </c>
      <c r="O92" s="67">
        <f t="shared" si="13"/>
        <v>9334.11</v>
      </c>
      <c r="P92" s="197">
        <f t="shared" si="14"/>
        <v>9334.11</v>
      </c>
      <c r="W92" s="182"/>
      <c r="AA92" s="114">
        <f t="shared" si="15"/>
        <v>1</v>
      </c>
    </row>
    <row r="93" spans="2:27" s="114" customFormat="1" ht="16.5" customHeight="1" x14ac:dyDescent="0.2">
      <c r="B93" s="1"/>
      <c r="C93" s="51" t="s">
        <v>292</v>
      </c>
      <c r="D93" s="51" t="s">
        <v>29</v>
      </c>
      <c r="E93" s="52" t="s">
        <v>172</v>
      </c>
      <c r="F93" s="53" t="s">
        <v>173</v>
      </c>
      <c r="G93" s="54" t="s">
        <v>144</v>
      </c>
      <c r="H93" s="55">
        <v>3</v>
      </c>
      <c r="I93" s="56">
        <v>540.55999999999995</v>
      </c>
      <c r="J93" s="55">
        <v>1621.7</v>
      </c>
      <c r="K93" s="63">
        <v>0</v>
      </c>
      <c r="L93" s="64">
        <f t="shared" si="10"/>
        <v>540.55999999999995</v>
      </c>
      <c r="M93" s="196">
        <f t="shared" si="11"/>
        <v>0</v>
      </c>
      <c r="N93" s="66">
        <f t="shared" si="12"/>
        <v>3</v>
      </c>
      <c r="O93" s="67">
        <f t="shared" si="13"/>
        <v>540.55999999999995</v>
      </c>
      <c r="P93" s="197">
        <f t="shared" si="14"/>
        <v>1621.6799999999998</v>
      </c>
      <c r="W93" s="182"/>
      <c r="AA93" s="114">
        <f t="shared" si="15"/>
        <v>3</v>
      </c>
    </row>
    <row r="94" spans="2:27" s="114" customFormat="1" ht="16.5" customHeight="1" x14ac:dyDescent="0.2">
      <c r="B94" s="1"/>
      <c r="C94" s="73" t="s">
        <v>295</v>
      </c>
      <c r="D94" s="73" t="s">
        <v>106</v>
      </c>
      <c r="E94" s="74" t="s">
        <v>350</v>
      </c>
      <c r="F94" s="75" t="s">
        <v>351</v>
      </c>
      <c r="G94" s="76" t="s">
        <v>157</v>
      </c>
      <c r="H94" s="77">
        <v>3</v>
      </c>
      <c r="I94" s="78">
        <v>19719.09</v>
      </c>
      <c r="J94" s="77">
        <v>59157.3</v>
      </c>
      <c r="K94" s="63">
        <v>0</v>
      </c>
      <c r="L94" s="64">
        <f t="shared" si="10"/>
        <v>19719.09</v>
      </c>
      <c r="M94" s="196">
        <f t="shared" si="11"/>
        <v>0</v>
      </c>
      <c r="N94" s="66">
        <f t="shared" si="12"/>
        <v>3</v>
      </c>
      <c r="O94" s="67">
        <f t="shared" si="13"/>
        <v>19719.09</v>
      </c>
      <c r="P94" s="197">
        <f t="shared" si="14"/>
        <v>59157.270000000004</v>
      </c>
      <c r="W94" s="182"/>
      <c r="AA94" s="114">
        <f t="shared" si="15"/>
        <v>3</v>
      </c>
    </row>
    <row r="95" spans="2:27" s="114" customFormat="1" ht="16.5" customHeight="1" x14ac:dyDescent="0.2">
      <c r="B95" s="1"/>
      <c r="C95" s="51" t="s">
        <v>298</v>
      </c>
      <c r="D95" s="51" t="s">
        <v>29</v>
      </c>
      <c r="E95" s="52" t="s">
        <v>175</v>
      </c>
      <c r="F95" s="53" t="s">
        <v>176</v>
      </c>
      <c r="G95" s="54" t="s">
        <v>54</v>
      </c>
      <c r="H95" s="55">
        <v>751.5</v>
      </c>
      <c r="I95" s="56">
        <v>34.200000000000003</v>
      </c>
      <c r="J95" s="55">
        <v>25701.3</v>
      </c>
      <c r="K95" s="63">
        <f t="shared" ref="K95:K97" si="16">ROUND(720.8/751.5*AA95-AA95,2)</f>
        <v>-30.7</v>
      </c>
      <c r="L95" s="64">
        <f t="shared" si="10"/>
        <v>34.200000000000003</v>
      </c>
      <c r="M95" s="196">
        <f t="shared" si="11"/>
        <v>-1049.94</v>
      </c>
      <c r="N95" s="66">
        <f t="shared" si="12"/>
        <v>720.8</v>
      </c>
      <c r="O95" s="67">
        <f t="shared" si="13"/>
        <v>34.200000000000003</v>
      </c>
      <c r="P95" s="197">
        <f t="shared" si="14"/>
        <v>24651.360000000001</v>
      </c>
      <c r="W95" s="182"/>
      <c r="AA95" s="114">
        <f t="shared" si="15"/>
        <v>751.5</v>
      </c>
    </row>
    <row r="96" spans="2:27" s="114" customFormat="1" ht="16.5" customHeight="1" x14ac:dyDescent="0.2">
      <c r="B96" s="1"/>
      <c r="C96" s="51" t="s">
        <v>299</v>
      </c>
      <c r="D96" s="51" t="s">
        <v>29</v>
      </c>
      <c r="E96" s="52" t="s">
        <v>178</v>
      </c>
      <c r="F96" s="53" t="s">
        <v>179</v>
      </c>
      <c r="G96" s="54" t="s">
        <v>54</v>
      </c>
      <c r="H96" s="55">
        <v>751.5</v>
      </c>
      <c r="I96" s="56">
        <v>19.73</v>
      </c>
      <c r="J96" s="55">
        <v>14827.1</v>
      </c>
      <c r="K96" s="63">
        <f t="shared" si="16"/>
        <v>-30.7</v>
      </c>
      <c r="L96" s="64">
        <f t="shared" si="10"/>
        <v>19.73</v>
      </c>
      <c r="M96" s="196">
        <f t="shared" si="11"/>
        <v>-605.71100000000001</v>
      </c>
      <c r="N96" s="66">
        <f t="shared" si="12"/>
        <v>720.8</v>
      </c>
      <c r="O96" s="67">
        <f t="shared" si="13"/>
        <v>19.73</v>
      </c>
      <c r="P96" s="197">
        <f t="shared" si="14"/>
        <v>14221.384</v>
      </c>
      <c r="W96" s="182"/>
      <c r="AA96" s="114">
        <f t="shared" si="15"/>
        <v>751.5</v>
      </c>
    </row>
    <row r="97" spans="2:27" s="114" customFormat="1" ht="16.5" customHeight="1" x14ac:dyDescent="0.2">
      <c r="B97" s="1"/>
      <c r="C97" s="51" t="s">
        <v>300</v>
      </c>
      <c r="D97" s="51" t="s">
        <v>29</v>
      </c>
      <c r="E97" s="52" t="s">
        <v>181</v>
      </c>
      <c r="F97" s="53" t="s">
        <v>182</v>
      </c>
      <c r="G97" s="54" t="s">
        <v>54</v>
      </c>
      <c r="H97" s="55">
        <v>751.5</v>
      </c>
      <c r="I97" s="56">
        <v>13.15</v>
      </c>
      <c r="J97" s="55">
        <v>9882.2000000000007</v>
      </c>
      <c r="K97" s="63">
        <f t="shared" si="16"/>
        <v>-30.7</v>
      </c>
      <c r="L97" s="64">
        <f t="shared" si="10"/>
        <v>13.15</v>
      </c>
      <c r="M97" s="196">
        <f t="shared" si="11"/>
        <v>-403.70499999999998</v>
      </c>
      <c r="N97" s="66">
        <f t="shared" si="12"/>
        <v>720.8</v>
      </c>
      <c r="O97" s="67">
        <f t="shared" si="13"/>
        <v>13.15</v>
      </c>
      <c r="P97" s="197">
        <f t="shared" si="14"/>
        <v>9478.52</v>
      </c>
      <c r="W97" s="182"/>
      <c r="AA97" s="114">
        <f t="shared" si="15"/>
        <v>751.5</v>
      </c>
    </row>
    <row r="98" spans="2:27" s="114" customFormat="1" ht="16.5" customHeight="1" x14ac:dyDescent="0.2">
      <c r="B98" s="1"/>
      <c r="C98" s="51" t="s">
        <v>301</v>
      </c>
      <c r="D98" s="51" t="s">
        <v>29</v>
      </c>
      <c r="E98" s="52" t="s">
        <v>184</v>
      </c>
      <c r="F98" s="53" t="s">
        <v>185</v>
      </c>
      <c r="G98" s="54" t="s">
        <v>186</v>
      </c>
      <c r="H98" s="55">
        <v>3</v>
      </c>
      <c r="I98" s="56">
        <v>8548.93</v>
      </c>
      <c r="J98" s="55">
        <v>25646.799999999999</v>
      </c>
      <c r="K98" s="63">
        <v>0</v>
      </c>
      <c r="L98" s="64">
        <f t="shared" si="10"/>
        <v>8548.93</v>
      </c>
      <c r="M98" s="196">
        <f t="shared" si="11"/>
        <v>0</v>
      </c>
      <c r="N98" s="66">
        <f t="shared" si="12"/>
        <v>3</v>
      </c>
      <c r="O98" s="67">
        <f t="shared" si="13"/>
        <v>8548.93</v>
      </c>
      <c r="P98" s="197">
        <f t="shared" si="14"/>
        <v>25646.79</v>
      </c>
      <c r="W98" s="182"/>
      <c r="AA98" s="114">
        <f t="shared" si="15"/>
        <v>3</v>
      </c>
    </row>
    <row r="99" spans="2:27" s="114" customFormat="1" ht="16.5" customHeight="1" x14ac:dyDescent="0.2">
      <c r="B99" s="1"/>
      <c r="C99" s="51" t="s">
        <v>302</v>
      </c>
      <c r="D99" s="51" t="s">
        <v>29</v>
      </c>
      <c r="E99" s="52" t="s">
        <v>188</v>
      </c>
      <c r="F99" s="53" t="s">
        <v>189</v>
      </c>
      <c r="G99" s="54" t="s">
        <v>144</v>
      </c>
      <c r="H99" s="55">
        <v>3</v>
      </c>
      <c r="I99" s="56">
        <v>1262.6099999999999</v>
      </c>
      <c r="J99" s="55">
        <v>3787.8</v>
      </c>
      <c r="K99" s="63">
        <v>0</v>
      </c>
      <c r="L99" s="64">
        <f t="shared" si="10"/>
        <v>1262.6099999999999</v>
      </c>
      <c r="M99" s="196">
        <f t="shared" si="11"/>
        <v>0</v>
      </c>
      <c r="N99" s="66">
        <f t="shared" si="12"/>
        <v>3</v>
      </c>
      <c r="O99" s="67">
        <f t="shared" si="13"/>
        <v>1262.6099999999999</v>
      </c>
      <c r="P99" s="197">
        <f t="shared" si="14"/>
        <v>3787.83</v>
      </c>
      <c r="W99" s="182"/>
      <c r="AA99" s="114">
        <f t="shared" si="15"/>
        <v>3</v>
      </c>
    </row>
    <row r="100" spans="2:27" s="114" customFormat="1" ht="16.5" customHeight="1" x14ac:dyDescent="0.2">
      <c r="B100" s="1"/>
      <c r="C100" s="51" t="s">
        <v>303</v>
      </c>
      <c r="D100" s="51" t="s">
        <v>29</v>
      </c>
      <c r="E100" s="52" t="s">
        <v>191</v>
      </c>
      <c r="F100" s="53" t="s">
        <v>192</v>
      </c>
      <c r="G100" s="54" t="s">
        <v>144</v>
      </c>
      <c r="H100" s="55">
        <v>8</v>
      </c>
      <c r="I100" s="56">
        <v>399.83</v>
      </c>
      <c r="J100" s="55">
        <v>3198.6</v>
      </c>
      <c r="K100" s="63">
        <v>0</v>
      </c>
      <c r="L100" s="64">
        <f t="shared" si="10"/>
        <v>399.83</v>
      </c>
      <c r="M100" s="196">
        <f t="shared" si="11"/>
        <v>0</v>
      </c>
      <c r="N100" s="66">
        <f t="shared" si="12"/>
        <v>8</v>
      </c>
      <c r="O100" s="67">
        <f t="shared" si="13"/>
        <v>399.83</v>
      </c>
      <c r="P100" s="197">
        <f t="shared" si="14"/>
        <v>3198.64</v>
      </c>
      <c r="W100" s="182" t="s">
        <v>565</v>
      </c>
      <c r="AA100" s="114">
        <f t="shared" si="15"/>
        <v>8</v>
      </c>
    </row>
    <row r="101" spans="2:27" s="114" customFormat="1" ht="16.5" customHeight="1" x14ac:dyDescent="0.2">
      <c r="B101" s="1"/>
      <c r="C101" s="73" t="s">
        <v>352</v>
      </c>
      <c r="D101" s="73" t="s">
        <v>106</v>
      </c>
      <c r="E101" s="74" t="s">
        <v>252</v>
      </c>
      <c r="F101" s="75" t="s">
        <v>253</v>
      </c>
      <c r="G101" s="76" t="s">
        <v>157</v>
      </c>
      <c r="H101" s="77">
        <v>8</v>
      </c>
      <c r="I101" s="78">
        <v>1498.03</v>
      </c>
      <c r="J101" s="77">
        <v>11984.2</v>
      </c>
      <c r="K101" s="63">
        <v>0</v>
      </c>
      <c r="L101" s="64">
        <f t="shared" si="10"/>
        <v>1498.03</v>
      </c>
      <c r="M101" s="196">
        <f t="shared" si="11"/>
        <v>0</v>
      </c>
      <c r="N101" s="66">
        <f t="shared" si="12"/>
        <v>8</v>
      </c>
      <c r="O101" s="67">
        <f t="shared" si="13"/>
        <v>1498.03</v>
      </c>
      <c r="P101" s="197">
        <f t="shared" si="14"/>
        <v>11984.24</v>
      </c>
      <c r="W101" s="182"/>
      <c r="AA101" s="114">
        <f t="shared" si="15"/>
        <v>8</v>
      </c>
    </row>
    <row r="102" spans="2:27" s="114" customFormat="1" ht="16.5" customHeight="1" x14ac:dyDescent="0.2">
      <c r="B102" s="1"/>
      <c r="C102" s="73" t="s">
        <v>353</v>
      </c>
      <c r="D102" s="73" t="s">
        <v>106</v>
      </c>
      <c r="E102" s="74" t="s">
        <v>254</v>
      </c>
      <c r="F102" s="75" t="s">
        <v>255</v>
      </c>
      <c r="G102" s="76" t="s">
        <v>157</v>
      </c>
      <c r="H102" s="77">
        <v>8</v>
      </c>
      <c r="I102" s="78">
        <v>174.92</v>
      </c>
      <c r="J102" s="77">
        <v>1399.4</v>
      </c>
      <c r="K102" s="63">
        <v>0</v>
      </c>
      <c r="L102" s="64">
        <f t="shared" si="10"/>
        <v>174.92</v>
      </c>
      <c r="M102" s="196">
        <f t="shared" si="11"/>
        <v>0</v>
      </c>
      <c r="N102" s="66">
        <f t="shared" si="12"/>
        <v>8</v>
      </c>
      <c r="O102" s="67">
        <f t="shared" si="13"/>
        <v>174.92</v>
      </c>
      <c r="P102" s="197">
        <f t="shared" si="14"/>
        <v>1399.36</v>
      </c>
      <c r="W102" s="182"/>
      <c r="AA102" s="114">
        <f t="shared" si="15"/>
        <v>8</v>
      </c>
    </row>
    <row r="103" spans="2:27" s="114" customFormat="1" ht="16.5" customHeight="1" x14ac:dyDescent="0.2">
      <c r="B103" s="1"/>
      <c r="C103" s="51" t="s">
        <v>354</v>
      </c>
      <c r="D103" s="51" t="s">
        <v>29</v>
      </c>
      <c r="E103" s="52" t="s">
        <v>194</v>
      </c>
      <c r="F103" s="53" t="s">
        <v>195</v>
      </c>
      <c r="G103" s="54" t="s">
        <v>144</v>
      </c>
      <c r="H103" s="55">
        <v>6</v>
      </c>
      <c r="I103" s="56">
        <v>860.15</v>
      </c>
      <c r="J103" s="55">
        <v>5160.8999999999996</v>
      </c>
      <c r="K103" s="63">
        <v>0</v>
      </c>
      <c r="L103" s="64">
        <f t="shared" si="10"/>
        <v>860.15</v>
      </c>
      <c r="M103" s="196">
        <f t="shared" si="11"/>
        <v>0</v>
      </c>
      <c r="N103" s="66">
        <f t="shared" si="12"/>
        <v>6</v>
      </c>
      <c r="O103" s="67">
        <f t="shared" si="13"/>
        <v>860.15</v>
      </c>
      <c r="P103" s="197">
        <f t="shared" si="14"/>
        <v>5160.8999999999996</v>
      </c>
      <c r="W103" s="182" t="s">
        <v>565</v>
      </c>
      <c r="AA103" s="114">
        <f t="shared" si="15"/>
        <v>6</v>
      </c>
    </row>
    <row r="104" spans="2:27" s="114" customFormat="1" ht="16.5" customHeight="1" x14ac:dyDescent="0.2">
      <c r="B104" s="1"/>
      <c r="C104" s="73" t="s">
        <v>355</v>
      </c>
      <c r="D104" s="73" t="s">
        <v>106</v>
      </c>
      <c r="E104" s="74" t="s">
        <v>356</v>
      </c>
      <c r="F104" s="75" t="s">
        <v>357</v>
      </c>
      <c r="G104" s="76" t="s">
        <v>157</v>
      </c>
      <c r="H104" s="77">
        <v>3</v>
      </c>
      <c r="I104" s="78">
        <v>2181.9499999999998</v>
      </c>
      <c r="J104" s="77">
        <v>6545.9</v>
      </c>
      <c r="K104" s="63">
        <v>0</v>
      </c>
      <c r="L104" s="64">
        <f t="shared" si="10"/>
        <v>2181.9499999999998</v>
      </c>
      <c r="M104" s="196">
        <f t="shared" si="11"/>
        <v>0</v>
      </c>
      <c r="N104" s="66">
        <f t="shared" si="12"/>
        <v>3</v>
      </c>
      <c r="O104" s="67">
        <f t="shared" si="13"/>
        <v>2181.9499999999998</v>
      </c>
      <c r="P104" s="197">
        <f t="shared" si="14"/>
        <v>6545.8499999999995</v>
      </c>
      <c r="W104" s="182"/>
      <c r="AA104" s="114">
        <f t="shared" si="15"/>
        <v>3</v>
      </c>
    </row>
    <row r="105" spans="2:27" s="114" customFormat="1" ht="16.5" customHeight="1" x14ac:dyDescent="0.2">
      <c r="B105" s="1"/>
      <c r="C105" s="73" t="s">
        <v>358</v>
      </c>
      <c r="D105" s="73" t="s">
        <v>106</v>
      </c>
      <c r="E105" s="74" t="s">
        <v>258</v>
      </c>
      <c r="F105" s="75" t="s">
        <v>259</v>
      </c>
      <c r="G105" s="76" t="s">
        <v>157</v>
      </c>
      <c r="H105" s="77">
        <v>3</v>
      </c>
      <c r="I105" s="78">
        <v>7492.81</v>
      </c>
      <c r="J105" s="77">
        <v>22478.400000000001</v>
      </c>
      <c r="K105" s="63">
        <v>0</v>
      </c>
      <c r="L105" s="64">
        <f t="shared" si="10"/>
        <v>7492.81</v>
      </c>
      <c r="M105" s="196">
        <f t="shared" si="11"/>
        <v>0</v>
      </c>
      <c r="N105" s="66">
        <f t="shared" si="12"/>
        <v>3</v>
      </c>
      <c r="O105" s="67">
        <f t="shared" si="13"/>
        <v>7492.81</v>
      </c>
      <c r="P105" s="197">
        <f t="shared" si="14"/>
        <v>22478.43</v>
      </c>
      <c r="W105" s="182"/>
      <c r="AA105" s="114">
        <f t="shared" si="15"/>
        <v>3</v>
      </c>
    </row>
    <row r="106" spans="2:27" s="114" customFormat="1" ht="16.5" customHeight="1" x14ac:dyDescent="0.2">
      <c r="B106" s="1"/>
      <c r="C106" s="73" t="s">
        <v>359</v>
      </c>
      <c r="D106" s="73" t="s">
        <v>106</v>
      </c>
      <c r="E106" s="74" t="s">
        <v>261</v>
      </c>
      <c r="F106" s="75" t="s">
        <v>262</v>
      </c>
      <c r="G106" s="76" t="s">
        <v>157</v>
      </c>
      <c r="H106" s="77">
        <v>6</v>
      </c>
      <c r="I106" s="78">
        <v>685.23</v>
      </c>
      <c r="J106" s="77">
        <v>4111.3999999999996</v>
      </c>
      <c r="K106" s="63">
        <v>0</v>
      </c>
      <c r="L106" s="64">
        <f t="shared" si="10"/>
        <v>685.23</v>
      </c>
      <c r="M106" s="196">
        <f t="shared" si="11"/>
        <v>0</v>
      </c>
      <c r="N106" s="66">
        <f t="shared" si="12"/>
        <v>6</v>
      </c>
      <c r="O106" s="67">
        <f t="shared" si="13"/>
        <v>685.23</v>
      </c>
      <c r="P106" s="197">
        <f t="shared" si="14"/>
        <v>4111.38</v>
      </c>
      <c r="W106" s="182"/>
      <c r="AA106" s="114">
        <f t="shared" si="15"/>
        <v>6</v>
      </c>
    </row>
    <row r="107" spans="2:27" s="114" customFormat="1" ht="16.5" customHeight="1" x14ac:dyDescent="0.2">
      <c r="B107" s="1"/>
      <c r="C107" s="51" t="s">
        <v>360</v>
      </c>
      <c r="D107" s="51" t="s">
        <v>29</v>
      </c>
      <c r="E107" s="52" t="s">
        <v>361</v>
      </c>
      <c r="F107" s="53" t="s">
        <v>362</v>
      </c>
      <c r="G107" s="54" t="s">
        <v>144</v>
      </c>
      <c r="H107" s="55">
        <v>22</v>
      </c>
      <c r="I107" s="56">
        <v>293.28999999999996</v>
      </c>
      <c r="J107" s="55">
        <v>6452.4</v>
      </c>
      <c r="K107" s="63">
        <v>0</v>
      </c>
      <c r="L107" s="64">
        <f t="shared" si="10"/>
        <v>293.28999999999996</v>
      </c>
      <c r="M107" s="196">
        <f t="shared" si="11"/>
        <v>0</v>
      </c>
      <c r="N107" s="66">
        <f t="shared" si="12"/>
        <v>22</v>
      </c>
      <c r="O107" s="67">
        <f t="shared" si="13"/>
        <v>293.28999999999996</v>
      </c>
      <c r="P107" s="197">
        <f t="shared" si="14"/>
        <v>6452.3799999999992</v>
      </c>
      <c r="W107" s="182"/>
      <c r="AA107" s="114">
        <f t="shared" si="15"/>
        <v>22</v>
      </c>
    </row>
    <row r="108" spans="2:27" s="114" customFormat="1" ht="16.5" customHeight="1" x14ac:dyDescent="0.2">
      <c r="B108" s="1"/>
      <c r="C108" s="51" t="s">
        <v>363</v>
      </c>
      <c r="D108" s="51" t="s">
        <v>29</v>
      </c>
      <c r="E108" s="52" t="s">
        <v>197</v>
      </c>
      <c r="F108" s="53" t="s">
        <v>198</v>
      </c>
      <c r="G108" s="54" t="s">
        <v>54</v>
      </c>
      <c r="H108" s="55">
        <v>775</v>
      </c>
      <c r="I108" s="56">
        <v>9.2100000000000009</v>
      </c>
      <c r="J108" s="55">
        <v>7137.8</v>
      </c>
      <c r="K108" s="63">
        <v>-30.7</v>
      </c>
      <c r="L108" s="64">
        <f t="shared" si="10"/>
        <v>9.2100000000000009</v>
      </c>
      <c r="M108" s="196">
        <f t="shared" si="11"/>
        <v>-282.74700000000001</v>
      </c>
      <c r="N108" s="66">
        <f t="shared" si="12"/>
        <v>744.3</v>
      </c>
      <c r="O108" s="67">
        <f t="shared" si="13"/>
        <v>9.2100000000000009</v>
      </c>
      <c r="P108" s="197">
        <f t="shared" si="14"/>
        <v>6855.0030000000006</v>
      </c>
      <c r="W108" s="182"/>
      <c r="AA108" s="114">
        <f t="shared" si="15"/>
        <v>775</v>
      </c>
    </row>
    <row r="109" spans="2:27" s="114" customFormat="1" ht="16.5" customHeight="1" x14ac:dyDescent="0.2">
      <c r="B109" s="1"/>
      <c r="C109" s="51" t="s">
        <v>364</v>
      </c>
      <c r="D109" s="51" t="s">
        <v>29</v>
      </c>
      <c r="E109" s="52" t="s">
        <v>365</v>
      </c>
      <c r="F109" s="53" t="s">
        <v>366</v>
      </c>
      <c r="G109" s="54" t="s">
        <v>144</v>
      </c>
      <c r="H109" s="55">
        <v>7</v>
      </c>
      <c r="I109" s="56">
        <v>316.51</v>
      </c>
      <c r="J109" s="55">
        <v>2215.6</v>
      </c>
      <c r="K109" s="63">
        <v>0</v>
      </c>
      <c r="L109" s="64">
        <f t="shared" si="10"/>
        <v>316.51</v>
      </c>
      <c r="M109" s="196">
        <f t="shared" si="11"/>
        <v>0</v>
      </c>
      <c r="N109" s="66">
        <f t="shared" si="12"/>
        <v>7</v>
      </c>
      <c r="O109" s="67">
        <f t="shared" si="13"/>
        <v>316.51</v>
      </c>
      <c r="P109" s="197">
        <f t="shared" si="14"/>
        <v>2215.5699999999997</v>
      </c>
      <c r="W109" s="182"/>
      <c r="AA109" s="114">
        <f t="shared" si="15"/>
        <v>7</v>
      </c>
    </row>
    <row r="110" spans="2:27" s="114" customFormat="1" ht="16.5" customHeight="1" x14ac:dyDescent="0.2">
      <c r="B110" s="1"/>
      <c r="C110" s="51" t="s">
        <v>367</v>
      </c>
      <c r="D110" s="51" t="s">
        <v>29</v>
      </c>
      <c r="E110" s="52" t="s">
        <v>368</v>
      </c>
      <c r="F110" s="53" t="s">
        <v>369</v>
      </c>
      <c r="G110" s="54" t="s">
        <v>144</v>
      </c>
      <c r="H110" s="55">
        <v>2</v>
      </c>
      <c r="I110" s="56">
        <v>1394.53</v>
      </c>
      <c r="J110" s="55">
        <v>2789.1</v>
      </c>
      <c r="K110" s="63">
        <v>0</v>
      </c>
      <c r="L110" s="64">
        <f t="shared" si="10"/>
        <v>1394.53</v>
      </c>
      <c r="M110" s="196">
        <f t="shared" si="11"/>
        <v>0</v>
      </c>
      <c r="N110" s="66">
        <f t="shared" si="12"/>
        <v>2</v>
      </c>
      <c r="O110" s="67">
        <f t="shared" si="13"/>
        <v>1394.53</v>
      </c>
      <c r="P110" s="197">
        <f t="shared" si="14"/>
        <v>2789.06</v>
      </c>
      <c r="W110" s="182"/>
      <c r="AA110" s="114">
        <f t="shared" si="15"/>
        <v>2</v>
      </c>
    </row>
    <row r="111" spans="2:27" s="114" customFormat="1" ht="16.5" customHeight="1" x14ac:dyDescent="0.2">
      <c r="B111" s="1"/>
      <c r="C111" s="51" t="s">
        <v>370</v>
      </c>
      <c r="D111" s="51" t="s">
        <v>29</v>
      </c>
      <c r="E111" s="52" t="s">
        <v>371</v>
      </c>
      <c r="F111" s="53" t="s">
        <v>372</v>
      </c>
      <c r="G111" s="54" t="s">
        <v>54</v>
      </c>
      <c r="H111" s="55">
        <v>8</v>
      </c>
      <c r="I111" s="56">
        <v>1117.94</v>
      </c>
      <c r="J111" s="55">
        <v>8943.5</v>
      </c>
      <c r="K111" s="63">
        <f t="shared" ref="K111" si="17">ROUND(720.8/751.5*AA111-AA111,2)</f>
        <v>-0.33</v>
      </c>
      <c r="L111" s="64">
        <f t="shared" si="10"/>
        <v>1117.94</v>
      </c>
      <c r="M111" s="196">
        <f t="shared" si="11"/>
        <v>-368.92020000000002</v>
      </c>
      <c r="N111" s="66">
        <f t="shared" si="12"/>
        <v>7.67</v>
      </c>
      <c r="O111" s="67">
        <f t="shared" si="13"/>
        <v>1117.94</v>
      </c>
      <c r="P111" s="197">
        <f t="shared" si="14"/>
        <v>8574.5998</v>
      </c>
      <c r="W111" s="182"/>
      <c r="AA111" s="114">
        <f t="shared" si="15"/>
        <v>8</v>
      </c>
    </row>
    <row r="112" spans="2:27" s="160" customFormat="1" ht="22.9" customHeight="1" x14ac:dyDescent="0.2">
      <c r="B112" s="2"/>
      <c r="C112" s="223"/>
      <c r="D112" s="221" t="s">
        <v>3</v>
      </c>
      <c r="E112" s="227" t="s">
        <v>65</v>
      </c>
      <c r="F112" s="227" t="s">
        <v>263</v>
      </c>
      <c r="G112" s="223"/>
      <c r="H112" s="223"/>
      <c r="I112" s="224"/>
      <c r="J112" s="228">
        <v>164506.70000000001</v>
      </c>
      <c r="K112" s="226"/>
      <c r="L112" s="211"/>
      <c r="M112" s="209">
        <f>SUM(M113:M115)</f>
        <v>0</v>
      </c>
      <c r="N112" s="210"/>
      <c r="O112" s="211"/>
      <c r="P112" s="209">
        <f>SUM(P113:P115)</f>
        <v>164506.64180000001</v>
      </c>
      <c r="V112" s="114"/>
      <c r="W112" s="182"/>
      <c r="AA112" s="114">
        <f t="shared" si="15"/>
        <v>0</v>
      </c>
    </row>
    <row r="113" spans="2:27" s="114" customFormat="1" ht="16.5" customHeight="1" x14ac:dyDescent="0.2">
      <c r="B113" s="1"/>
      <c r="C113" s="51" t="s">
        <v>373</v>
      </c>
      <c r="D113" s="51" t="s">
        <v>29</v>
      </c>
      <c r="E113" s="52" t="s">
        <v>201</v>
      </c>
      <c r="F113" s="53" t="s">
        <v>202</v>
      </c>
      <c r="G113" s="54" t="s">
        <v>54</v>
      </c>
      <c r="H113" s="55">
        <v>951.82</v>
      </c>
      <c r="I113" s="56">
        <v>87.65</v>
      </c>
      <c r="J113" s="55">
        <v>83427</v>
      </c>
      <c r="K113" s="63">
        <v>0</v>
      </c>
      <c r="L113" s="64">
        <f t="shared" si="10"/>
        <v>87.65</v>
      </c>
      <c r="M113" s="196">
        <f t="shared" si="11"/>
        <v>0</v>
      </c>
      <c r="N113" s="66">
        <f t="shared" si="12"/>
        <v>951.82</v>
      </c>
      <c r="O113" s="67">
        <f t="shared" si="13"/>
        <v>87.65</v>
      </c>
      <c r="P113" s="197">
        <f t="shared" si="14"/>
        <v>83427.023000000016</v>
      </c>
      <c r="W113" s="182"/>
      <c r="AA113" s="114">
        <f t="shared" si="15"/>
        <v>951.82</v>
      </c>
    </row>
    <row r="114" spans="2:27" s="114" customFormat="1" ht="16.5" customHeight="1" x14ac:dyDescent="0.2">
      <c r="B114" s="1"/>
      <c r="C114" s="51" t="s">
        <v>374</v>
      </c>
      <c r="D114" s="51" t="s">
        <v>29</v>
      </c>
      <c r="E114" s="52" t="s">
        <v>204</v>
      </c>
      <c r="F114" s="53" t="s">
        <v>205</v>
      </c>
      <c r="G114" s="54" t="s">
        <v>54</v>
      </c>
      <c r="H114" s="55">
        <v>951.82</v>
      </c>
      <c r="I114" s="56">
        <v>72.34</v>
      </c>
      <c r="J114" s="55">
        <v>68854.7</v>
      </c>
      <c r="K114" s="63">
        <v>0</v>
      </c>
      <c r="L114" s="64">
        <f t="shared" si="10"/>
        <v>72.34</v>
      </c>
      <c r="M114" s="196">
        <f t="shared" si="11"/>
        <v>0</v>
      </c>
      <c r="N114" s="66">
        <f t="shared" si="12"/>
        <v>951.82</v>
      </c>
      <c r="O114" s="67">
        <f t="shared" si="13"/>
        <v>72.34</v>
      </c>
      <c r="P114" s="197">
        <f t="shared" si="14"/>
        <v>68854.658800000005</v>
      </c>
      <c r="W114" s="182"/>
      <c r="AA114" s="114">
        <f t="shared" si="15"/>
        <v>951.82</v>
      </c>
    </row>
    <row r="115" spans="2:27" s="114" customFormat="1" ht="16.5" customHeight="1" x14ac:dyDescent="0.2">
      <c r="B115" s="1"/>
      <c r="C115" s="51" t="s">
        <v>375</v>
      </c>
      <c r="D115" s="51" t="s">
        <v>29</v>
      </c>
      <c r="E115" s="52" t="s">
        <v>376</v>
      </c>
      <c r="F115" s="53" t="s">
        <v>377</v>
      </c>
      <c r="G115" s="54" t="s">
        <v>144</v>
      </c>
      <c r="H115" s="55">
        <v>1</v>
      </c>
      <c r="I115" s="56">
        <v>12224.96</v>
      </c>
      <c r="J115" s="55">
        <v>12225</v>
      </c>
      <c r="K115" s="63">
        <v>0</v>
      </c>
      <c r="L115" s="64">
        <f t="shared" si="10"/>
        <v>12224.96</v>
      </c>
      <c r="M115" s="196">
        <f t="shared" si="11"/>
        <v>0</v>
      </c>
      <c r="N115" s="66">
        <f t="shared" si="12"/>
        <v>1</v>
      </c>
      <c r="O115" s="67">
        <f t="shared" si="13"/>
        <v>12224.96</v>
      </c>
      <c r="P115" s="197">
        <f t="shared" si="14"/>
        <v>12224.96</v>
      </c>
      <c r="W115" s="182"/>
      <c r="AA115" s="114">
        <f t="shared" si="15"/>
        <v>1</v>
      </c>
    </row>
    <row r="116" spans="2:27" s="160" customFormat="1" ht="22.9" customHeight="1" x14ac:dyDescent="0.2">
      <c r="B116" s="2"/>
      <c r="C116" s="223"/>
      <c r="D116" s="221" t="s">
        <v>3</v>
      </c>
      <c r="E116" s="227" t="s">
        <v>269</v>
      </c>
      <c r="F116" s="227" t="s">
        <v>270</v>
      </c>
      <c r="G116" s="223"/>
      <c r="H116" s="223"/>
      <c r="I116" s="224"/>
      <c r="J116" s="228">
        <v>1586501.7</v>
      </c>
      <c r="K116" s="226"/>
      <c r="L116" s="211"/>
      <c r="M116" s="209">
        <f>SUM(M117:M126)</f>
        <v>0</v>
      </c>
      <c r="N116" s="210"/>
      <c r="O116" s="211"/>
      <c r="P116" s="209">
        <f>SUM(P117:P126)</f>
        <v>1586501.7296000002</v>
      </c>
      <c r="V116" s="114"/>
      <c r="W116" s="182"/>
      <c r="AA116" s="114">
        <f t="shared" si="15"/>
        <v>0</v>
      </c>
    </row>
    <row r="117" spans="2:27" s="114" customFormat="1" ht="21.75" customHeight="1" x14ac:dyDescent="0.2">
      <c r="B117" s="1"/>
      <c r="C117" s="51" t="s">
        <v>378</v>
      </c>
      <c r="D117" s="51" t="s">
        <v>29</v>
      </c>
      <c r="E117" s="52" t="s">
        <v>272</v>
      </c>
      <c r="F117" s="53" t="s">
        <v>379</v>
      </c>
      <c r="G117" s="54" t="s">
        <v>54</v>
      </c>
      <c r="H117" s="55">
        <v>581.5</v>
      </c>
      <c r="I117" s="56">
        <v>393.68</v>
      </c>
      <c r="J117" s="55">
        <v>228924.9</v>
      </c>
      <c r="K117" s="63">
        <v>0</v>
      </c>
      <c r="L117" s="64">
        <f t="shared" si="10"/>
        <v>393.68</v>
      </c>
      <c r="M117" s="196">
        <f t="shared" si="11"/>
        <v>0</v>
      </c>
      <c r="N117" s="66">
        <f t="shared" si="12"/>
        <v>581.5</v>
      </c>
      <c r="O117" s="67">
        <f t="shared" si="13"/>
        <v>393.68</v>
      </c>
      <c r="P117" s="197">
        <f t="shared" si="14"/>
        <v>228924.92</v>
      </c>
      <c r="S117" s="183" t="s">
        <v>543</v>
      </c>
      <c r="T117" s="114" t="s">
        <v>546</v>
      </c>
      <c r="V117" s="254" t="s">
        <v>554</v>
      </c>
      <c r="W117" s="182"/>
      <c r="AA117" s="114">
        <f t="shared" si="15"/>
        <v>581.5</v>
      </c>
    </row>
    <row r="118" spans="2:27" s="114" customFormat="1" ht="16.5" customHeight="1" x14ac:dyDescent="0.2">
      <c r="B118" s="1"/>
      <c r="C118" s="51" t="s">
        <v>380</v>
      </c>
      <c r="D118" s="51" t="s">
        <v>29</v>
      </c>
      <c r="E118" s="52" t="s">
        <v>275</v>
      </c>
      <c r="F118" s="53" t="s">
        <v>276</v>
      </c>
      <c r="G118" s="54" t="s">
        <v>54</v>
      </c>
      <c r="H118" s="55">
        <v>270</v>
      </c>
      <c r="I118" s="56">
        <v>235.42</v>
      </c>
      <c r="J118" s="55">
        <v>63563.4</v>
      </c>
      <c r="K118" s="63">
        <v>0</v>
      </c>
      <c r="L118" s="64">
        <f t="shared" si="10"/>
        <v>235.42</v>
      </c>
      <c r="M118" s="196">
        <f t="shared" si="11"/>
        <v>0</v>
      </c>
      <c r="N118" s="66">
        <f t="shared" si="12"/>
        <v>270</v>
      </c>
      <c r="O118" s="67">
        <f t="shared" si="13"/>
        <v>235.42</v>
      </c>
      <c r="P118" s="197">
        <f t="shared" si="14"/>
        <v>63563.399999999994</v>
      </c>
      <c r="V118" s="254"/>
      <c r="W118" s="182"/>
      <c r="AA118" s="114">
        <f t="shared" si="15"/>
        <v>270</v>
      </c>
    </row>
    <row r="119" spans="2:27" s="114" customFormat="1" ht="22.5" customHeight="1" x14ac:dyDescent="0.2">
      <c r="B119" s="1"/>
      <c r="C119" s="51" t="s">
        <v>381</v>
      </c>
      <c r="D119" s="51" t="s">
        <v>29</v>
      </c>
      <c r="E119" s="52" t="s">
        <v>278</v>
      </c>
      <c r="F119" s="53" t="s">
        <v>382</v>
      </c>
      <c r="G119" s="54" t="s">
        <v>186</v>
      </c>
      <c r="H119" s="55">
        <v>27</v>
      </c>
      <c r="I119" s="56">
        <v>3701.03</v>
      </c>
      <c r="J119" s="55">
        <v>99927.8</v>
      </c>
      <c r="K119" s="63">
        <v>0</v>
      </c>
      <c r="L119" s="64">
        <f t="shared" si="10"/>
        <v>3701.03</v>
      </c>
      <c r="M119" s="196">
        <f t="shared" si="11"/>
        <v>0</v>
      </c>
      <c r="N119" s="66">
        <f t="shared" si="12"/>
        <v>27</v>
      </c>
      <c r="O119" s="67">
        <f t="shared" si="13"/>
        <v>3701.03</v>
      </c>
      <c r="P119" s="197">
        <f t="shared" si="14"/>
        <v>99927.810000000012</v>
      </c>
      <c r="V119" s="254"/>
      <c r="W119" s="182"/>
      <c r="AA119" s="114">
        <f t="shared" si="15"/>
        <v>27</v>
      </c>
    </row>
    <row r="120" spans="2:27" s="114" customFormat="1" ht="22.5" customHeight="1" x14ac:dyDescent="0.2">
      <c r="B120" s="1"/>
      <c r="C120" s="51" t="s">
        <v>383</v>
      </c>
      <c r="D120" s="51" t="s">
        <v>29</v>
      </c>
      <c r="E120" s="52" t="s">
        <v>281</v>
      </c>
      <c r="F120" s="53" t="s">
        <v>282</v>
      </c>
      <c r="G120" s="54" t="s">
        <v>54</v>
      </c>
      <c r="H120" s="55">
        <v>1239</v>
      </c>
      <c r="I120" s="56">
        <v>780.21</v>
      </c>
      <c r="J120" s="55">
        <v>966680.2</v>
      </c>
      <c r="K120" s="63">
        <v>0</v>
      </c>
      <c r="L120" s="64">
        <f t="shared" si="10"/>
        <v>780.21</v>
      </c>
      <c r="M120" s="196">
        <f t="shared" si="11"/>
        <v>0</v>
      </c>
      <c r="N120" s="66">
        <f t="shared" si="12"/>
        <v>1239</v>
      </c>
      <c r="O120" s="67">
        <f t="shared" si="13"/>
        <v>780.21</v>
      </c>
      <c r="P120" s="197">
        <f t="shared" si="14"/>
        <v>966680.19000000006</v>
      </c>
      <c r="S120" s="183" t="s">
        <v>543</v>
      </c>
      <c r="T120" s="114" t="s">
        <v>546</v>
      </c>
      <c r="V120" s="254"/>
      <c r="W120" s="182"/>
      <c r="AA120" s="114">
        <f t="shared" si="15"/>
        <v>1239</v>
      </c>
    </row>
    <row r="121" spans="2:27" s="114" customFormat="1" ht="16.5" customHeight="1" x14ac:dyDescent="0.2">
      <c r="B121" s="1"/>
      <c r="C121" s="51" t="s">
        <v>384</v>
      </c>
      <c r="D121" s="51" t="s">
        <v>29</v>
      </c>
      <c r="E121" s="52" t="s">
        <v>385</v>
      </c>
      <c r="F121" s="53" t="s">
        <v>386</v>
      </c>
      <c r="G121" s="54" t="s">
        <v>54</v>
      </c>
      <c r="H121" s="55">
        <v>32</v>
      </c>
      <c r="I121" s="56">
        <v>2235.87</v>
      </c>
      <c r="J121" s="55">
        <v>71547.8</v>
      </c>
      <c r="K121" s="63">
        <v>0</v>
      </c>
      <c r="L121" s="64">
        <f t="shared" si="10"/>
        <v>2235.87</v>
      </c>
      <c r="M121" s="196">
        <f t="shared" si="11"/>
        <v>0</v>
      </c>
      <c r="N121" s="66">
        <f t="shared" si="12"/>
        <v>32</v>
      </c>
      <c r="O121" s="67">
        <f t="shared" si="13"/>
        <v>2235.87</v>
      </c>
      <c r="P121" s="197">
        <f t="shared" si="14"/>
        <v>71547.839999999997</v>
      </c>
      <c r="V121" s="254"/>
      <c r="W121" s="182"/>
      <c r="AA121" s="114">
        <f t="shared" si="15"/>
        <v>32</v>
      </c>
    </row>
    <row r="122" spans="2:27" s="114" customFormat="1" ht="16.5" customHeight="1" x14ac:dyDescent="0.2">
      <c r="B122" s="1"/>
      <c r="C122" s="51" t="s">
        <v>387</v>
      </c>
      <c r="D122" s="51" t="s">
        <v>29</v>
      </c>
      <c r="E122" s="52" t="s">
        <v>284</v>
      </c>
      <c r="F122" s="53" t="s">
        <v>285</v>
      </c>
      <c r="G122" s="54" t="s">
        <v>58</v>
      </c>
      <c r="H122" s="55">
        <v>42.64</v>
      </c>
      <c r="I122" s="56">
        <v>854.89</v>
      </c>
      <c r="J122" s="55">
        <v>36452.5</v>
      </c>
      <c r="K122" s="63">
        <v>0</v>
      </c>
      <c r="L122" s="64">
        <f t="shared" si="10"/>
        <v>854.89</v>
      </c>
      <c r="M122" s="196">
        <f t="shared" si="11"/>
        <v>0</v>
      </c>
      <c r="N122" s="66">
        <f t="shared" si="12"/>
        <v>42.64</v>
      </c>
      <c r="O122" s="67">
        <f t="shared" si="13"/>
        <v>854.89</v>
      </c>
      <c r="P122" s="197">
        <f t="shared" si="14"/>
        <v>36452.509599999998</v>
      </c>
      <c r="V122" s="254"/>
      <c r="W122" s="182"/>
      <c r="AA122" s="114">
        <f t="shared" si="15"/>
        <v>42.64</v>
      </c>
    </row>
    <row r="123" spans="2:27" s="114" customFormat="1" ht="16.5" customHeight="1" x14ac:dyDescent="0.2">
      <c r="B123" s="1"/>
      <c r="C123" s="51" t="s">
        <v>388</v>
      </c>
      <c r="D123" s="51" t="s">
        <v>29</v>
      </c>
      <c r="E123" s="52" t="s">
        <v>287</v>
      </c>
      <c r="F123" s="53" t="s">
        <v>288</v>
      </c>
      <c r="G123" s="54" t="s">
        <v>54</v>
      </c>
      <c r="H123" s="55">
        <v>851.5</v>
      </c>
      <c r="I123" s="56">
        <v>19.73</v>
      </c>
      <c r="J123" s="55">
        <v>16800.099999999999</v>
      </c>
      <c r="K123" s="63">
        <v>0</v>
      </c>
      <c r="L123" s="64">
        <f t="shared" si="10"/>
        <v>19.73</v>
      </c>
      <c r="M123" s="196">
        <f t="shared" si="11"/>
        <v>0</v>
      </c>
      <c r="N123" s="66">
        <f t="shared" si="12"/>
        <v>851.5</v>
      </c>
      <c r="O123" s="67">
        <f t="shared" si="13"/>
        <v>19.73</v>
      </c>
      <c r="P123" s="197">
        <f t="shared" si="14"/>
        <v>16800.095000000001</v>
      </c>
      <c r="W123" s="182"/>
      <c r="AA123" s="114">
        <f t="shared" si="15"/>
        <v>851.5</v>
      </c>
    </row>
    <row r="124" spans="2:27" s="114" customFormat="1" ht="16.5" customHeight="1" x14ac:dyDescent="0.2">
      <c r="B124" s="1"/>
      <c r="C124" s="51" t="s">
        <v>389</v>
      </c>
      <c r="D124" s="51" t="s">
        <v>29</v>
      </c>
      <c r="E124" s="52" t="s">
        <v>290</v>
      </c>
      <c r="F124" s="53" t="s">
        <v>291</v>
      </c>
      <c r="G124" s="54" t="s">
        <v>54</v>
      </c>
      <c r="H124" s="55">
        <v>851.5</v>
      </c>
      <c r="I124" s="56">
        <v>13.15</v>
      </c>
      <c r="J124" s="55">
        <v>11197.2</v>
      </c>
      <c r="K124" s="63">
        <v>0</v>
      </c>
      <c r="L124" s="64">
        <f t="shared" si="10"/>
        <v>13.15</v>
      </c>
      <c r="M124" s="196">
        <f t="shared" si="11"/>
        <v>0</v>
      </c>
      <c r="N124" s="66">
        <f t="shared" si="12"/>
        <v>851.5</v>
      </c>
      <c r="O124" s="67">
        <f t="shared" si="13"/>
        <v>13.15</v>
      </c>
      <c r="P124" s="197">
        <f t="shared" si="14"/>
        <v>11197.225</v>
      </c>
      <c r="W124" s="182"/>
      <c r="AA124" s="114">
        <f t="shared" si="15"/>
        <v>851.5</v>
      </c>
    </row>
    <row r="125" spans="2:27" s="114" customFormat="1" ht="16.5" customHeight="1" x14ac:dyDescent="0.2">
      <c r="B125" s="1"/>
      <c r="C125" s="51" t="s">
        <v>390</v>
      </c>
      <c r="D125" s="51" t="s">
        <v>29</v>
      </c>
      <c r="E125" s="52" t="s">
        <v>293</v>
      </c>
      <c r="F125" s="53" t="s">
        <v>294</v>
      </c>
      <c r="G125" s="54" t="s">
        <v>186</v>
      </c>
      <c r="H125" s="55">
        <v>3</v>
      </c>
      <c r="I125" s="56">
        <v>8548.93</v>
      </c>
      <c r="J125" s="55">
        <v>25646.799999999999</v>
      </c>
      <c r="K125" s="63">
        <v>0</v>
      </c>
      <c r="L125" s="64">
        <f t="shared" si="10"/>
        <v>8548.93</v>
      </c>
      <c r="M125" s="196">
        <f t="shared" si="11"/>
        <v>0</v>
      </c>
      <c r="N125" s="66">
        <f t="shared" si="12"/>
        <v>3</v>
      </c>
      <c r="O125" s="67">
        <f t="shared" si="13"/>
        <v>8548.93</v>
      </c>
      <c r="P125" s="197">
        <f t="shared" si="14"/>
        <v>25646.79</v>
      </c>
      <c r="W125" s="182"/>
      <c r="AA125" s="114">
        <f t="shared" si="15"/>
        <v>3</v>
      </c>
    </row>
    <row r="126" spans="2:27" s="114" customFormat="1" ht="22.5" customHeight="1" x14ac:dyDescent="0.2">
      <c r="B126" s="1"/>
      <c r="C126" s="51" t="s">
        <v>391</v>
      </c>
      <c r="D126" s="51" t="s">
        <v>29</v>
      </c>
      <c r="E126" s="52" t="s">
        <v>296</v>
      </c>
      <c r="F126" s="53" t="s">
        <v>392</v>
      </c>
      <c r="G126" s="54" t="s">
        <v>186</v>
      </c>
      <c r="H126" s="55">
        <v>5</v>
      </c>
      <c r="I126" s="56">
        <v>13152.19</v>
      </c>
      <c r="J126" s="55">
        <v>65761</v>
      </c>
      <c r="K126" s="63">
        <v>0</v>
      </c>
      <c r="L126" s="64">
        <f t="shared" si="10"/>
        <v>13152.19</v>
      </c>
      <c r="M126" s="196">
        <f t="shared" si="11"/>
        <v>0</v>
      </c>
      <c r="N126" s="66">
        <f t="shared" si="12"/>
        <v>5</v>
      </c>
      <c r="O126" s="67">
        <f t="shared" si="13"/>
        <v>13152.19</v>
      </c>
      <c r="P126" s="197">
        <f t="shared" si="14"/>
        <v>65760.95</v>
      </c>
      <c r="V126" s="114" t="s">
        <v>555</v>
      </c>
      <c r="W126" s="182"/>
      <c r="AA126" s="114">
        <f t="shared" si="15"/>
        <v>5</v>
      </c>
    </row>
    <row r="127" spans="2:27" s="160" customFormat="1" ht="22.9" customHeight="1" x14ac:dyDescent="0.2">
      <c r="B127" s="2"/>
      <c r="C127" s="223"/>
      <c r="D127" s="221" t="s">
        <v>3</v>
      </c>
      <c r="E127" s="227" t="s">
        <v>40</v>
      </c>
      <c r="F127" s="227" t="s">
        <v>41</v>
      </c>
      <c r="G127" s="223"/>
      <c r="H127" s="223"/>
      <c r="I127" s="224"/>
      <c r="J127" s="228">
        <v>263344.90000000002</v>
      </c>
      <c r="K127" s="226"/>
      <c r="L127" s="211"/>
      <c r="M127" s="209">
        <f>SUM(M128:M130)</f>
        <v>-7998.5954997387998</v>
      </c>
      <c r="N127" s="210"/>
      <c r="O127" s="211"/>
      <c r="P127" s="209">
        <f>SUM(P128:P130)</f>
        <v>255346.29390026117</v>
      </c>
      <c r="V127" s="114"/>
      <c r="W127" s="182"/>
      <c r="AA127" s="114">
        <f t="shared" si="15"/>
        <v>0</v>
      </c>
    </row>
    <row r="128" spans="2:27" s="114" customFormat="1" ht="16.5" customHeight="1" x14ac:dyDescent="0.2">
      <c r="B128" s="1"/>
      <c r="C128" s="51" t="s">
        <v>393</v>
      </c>
      <c r="D128" s="51" t="s">
        <v>29</v>
      </c>
      <c r="E128" s="52" t="s">
        <v>42</v>
      </c>
      <c r="F128" s="53" t="s">
        <v>43</v>
      </c>
      <c r="G128" s="54" t="s">
        <v>44</v>
      </c>
      <c r="H128" s="55">
        <v>789.05</v>
      </c>
      <c r="I128" s="56">
        <v>144.85</v>
      </c>
      <c r="J128" s="55">
        <v>114293.9</v>
      </c>
      <c r="K128" s="63">
        <f t="shared" ref="K128" si="18">ROUND(720.8/751.5*AA128-AA128,2)</f>
        <v>-32.229999999999997</v>
      </c>
      <c r="L128" s="64">
        <f t="shared" si="10"/>
        <v>144.85</v>
      </c>
      <c r="M128" s="196">
        <f t="shared" si="11"/>
        <v>-4668.5154999999995</v>
      </c>
      <c r="N128" s="66">
        <f t="shared" si="12"/>
        <v>756.81999999999994</v>
      </c>
      <c r="O128" s="67">
        <f t="shared" si="13"/>
        <v>144.85</v>
      </c>
      <c r="P128" s="197">
        <f t="shared" si="14"/>
        <v>109625.37699999999</v>
      </c>
      <c r="V128" s="254" t="s">
        <v>556</v>
      </c>
      <c r="W128" s="182"/>
      <c r="AA128" s="114">
        <f t="shared" si="15"/>
        <v>789.05</v>
      </c>
    </row>
    <row r="129" spans="2:28" s="114" customFormat="1" ht="16.5" customHeight="1" x14ac:dyDescent="0.2">
      <c r="B129" s="1"/>
      <c r="C129" s="51" t="s">
        <v>394</v>
      </c>
      <c r="D129" s="51" t="s">
        <v>29</v>
      </c>
      <c r="E129" s="52" t="s">
        <v>45</v>
      </c>
      <c r="F129" s="53" t="s">
        <v>46</v>
      </c>
      <c r="G129" s="54" t="s">
        <v>44</v>
      </c>
      <c r="H129" s="55">
        <v>261.94</v>
      </c>
      <c r="I129" s="56">
        <v>257.77999999999997</v>
      </c>
      <c r="J129" s="55">
        <v>67522.899999999994</v>
      </c>
      <c r="K129" s="63">
        <v>0</v>
      </c>
      <c r="L129" s="64">
        <f t="shared" si="10"/>
        <v>257.77999999999997</v>
      </c>
      <c r="M129" s="196">
        <f t="shared" si="11"/>
        <v>0</v>
      </c>
      <c r="N129" s="66">
        <f t="shared" si="12"/>
        <v>261.94</v>
      </c>
      <c r="O129" s="67">
        <f t="shared" si="13"/>
        <v>257.77999999999997</v>
      </c>
      <c r="P129" s="197">
        <f t="shared" si="14"/>
        <v>67522.893199999991</v>
      </c>
      <c r="V129" s="254"/>
      <c r="W129" s="182"/>
      <c r="AA129" s="114">
        <f t="shared" si="15"/>
        <v>261.94</v>
      </c>
    </row>
    <row r="130" spans="2:28" s="114" customFormat="1" ht="16.5" customHeight="1" x14ac:dyDescent="0.2">
      <c r="B130" s="1"/>
      <c r="C130" s="51" t="s">
        <v>395</v>
      </c>
      <c r="D130" s="51" t="s">
        <v>29</v>
      </c>
      <c r="E130" s="52" t="s">
        <v>209</v>
      </c>
      <c r="F130" s="53" t="s">
        <v>210</v>
      </c>
      <c r="G130" s="54" t="s">
        <v>44</v>
      </c>
      <c r="H130" s="55">
        <v>527.11</v>
      </c>
      <c r="I130" s="56">
        <v>154.66999999999999</v>
      </c>
      <c r="J130" s="55">
        <v>81528.100000000006</v>
      </c>
      <c r="K130" s="63">
        <v>-21.530225640000001</v>
      </c>
      <c r="L130" s="64">
        <f t="shared" si="10"/>
        <v>154.66999999999999</v>
      </c>
      <c r="M130" s="196">
        <f t="shared" si="11"/>
        <v>-3330.0799997387999</v>
      </c>
      <c r="N130" s="66">
        <f t="shared" si="12"/>
        <v>505.57977435999999</v>
      </c>
      <c r="O130" s="67">
        <f t="shared" si="13"/>
        <v>154.66999999999999</v>
      </c>
      <c r="P130" s="197">
        <f t="shared" si="14"/>
        <v>78198.023700261198</v>
      </c>
      <c r="V130" s="254"/>
      <c r="W130" s="182"/>
      <c r="AA130" s="114">
        <f t="shared" si="15"/>
        <v>527.11</v>
      </c>
    </row>
    <row r="131" spans="2:28" s="160" customFormat="1" ht="22.9" customHeight="1" x14ac:dyDescent="0.2">
      <c r="B131" s="2"/>
      <c r="C131" s="223"/>
      <c r="D131" s="221" t="s">
        <v>3</v>
      </c>
      <c r="E131" s="227" t="s">
        <v>211</v>
      </c>
      <c r="F131" s="227" t="s">
        <v>212</v>
      </c>
      <c r="G131" s="223"/>
      <c r="H131" s="223"/>
      <c r="I131" s="224"/>
      <c r="J131" s="228">
        <v>172294.8</v>
      </c>
      <c r="K131" s="226"/>
      <c r="L131" s="211"/>
      <c r="M131" s="209">
        <f>M132</f>
        <v>-7038.1800003888002</v>
      </c>
      <c r="N131" s="210"/>
      <c r="O131" s="211"/>
      <c r="P131" s="209">
        <f>P132</f>
        <v>165256.60019961119</v>
      </c>
      <c r="V131" s="114"/>
      <c r="W131" s="182"/>
      <c r="AA131" s="114">
        <f t="shared" si="15"/>
        <v>0</v>
      </c>
    </row>
    <row r="132" spans="2:28" s="114" customFormat="1" ht="16.5" customHeight="1" x14ac:dyDescent="0.2">
      <c r="B132" s="1"/>
      <c r="C132" s="51" t="s">
        <v>396</v>
      </c>
      <c r="D132" s="51" t="s">
        <v>29</v>
      </c>
      <c r="E132" s="52" t="s">
        <v>214</v>
      </c>
      <c r="F132" s="53" t="s">
        <v>215</v>
      </c>
      <c r="G132" s="54" t="s">
        <v>44</v>
      </c>
      <c r="H132" s="55">
        <v>1505.81</v>
      </c>
      <c r="I132" s="56">
        <v>114.42</v>
      </c>
      <c r="J132" s="55">
        <v>172294.8</v>
      </c>
      <c r="K132" s="63">
        <v>-61.511798640000002</v>
      </c>
      <c r="L132" s="64">
        <f t="shared" si="10"/>
        <v>114.42</v>
      </c>
      <c r="M132" s="196">
        <f t="shared" si="11"/>
        <v>-7038.1800003888002</v>
      </c>
      <c r="N132" s="66">
        <f t="shared" si="12"/>
        <v>1444.2982013599999</v>
      </c>
      <c r="O132" s="67">
        <f t="shared" si="13"/>
        <v>114.42</v>
      </c>
      <c r="P132" s="197">
        <f t="shared" si="14"/>
        <v>165256.60019961119</v>
      </c>
      <c r="W132" s="182"/>
      <c r="AA132" s="114">
        <f t="shared" si="15"/>
        <v>1505.81</v>
      </c>
      <c r="AB132" s="114">
        <v>-7037.97</v>
      </c>
    </row>
    <row r="133" spans="2:28" s="160" customFormat="1" ht="25.9" customHeight="1" x14ac:dyDescent="0.2">
      <c r="B133" s="2"/>
      <c r="C133" s="223"/>
      <c r="D133" s="221" t="s">
        <v>3</v>
      </c>
      <c r="E133" s="222" t="s">
        <v>106</v>
      </c>
      <c r="F133" s="222" t="s">
        <v>216</v>
      </c>
      <c r="G133" s="223"/>
      <c r="H133" s="223"/>
      <c r="I133" s="224"/>
      <c r="J133" s="225">
        <v>34658</v>
      </c>
      <c r="K133" s="226"/>
      <c r="L133" s="211"/>
      <c r="M133" s="209">
        <f>M134</f>
        <v>-1416.0344351240001</v>
      </c>
      <c r="N133" s="210"/>
      <c r="O133" s="211"/>
      <c r="P133" s="209">
        <f>P134</f>
        <v>33241.965564876002</v>
      </c>
      <c r="V133" s="114"/>
      <c r="W133" s="182"/>
      <c r="AA133" s="114">
        <f t="shared" si="15"/>
        <v>0</v>
      </c>
    </row>
    <row r="134" spans="2:28" s="160" customFormat="1" ht="22.9" customHeight="1" x14ac:dyDescent="0.2">
      <c r="B134" s="2"/>
      <c r="C134" s="223"/>
      <c r="D134" s="221" t="s">
        <v>3</v>
      </c>
      <c r="E134" s="227" t="s">
        <v>217</v>
      </c>
      <c r="F134" s="227" t="s">
        <v>218</v>
      </c>
      <c r="G134" s="223"/>
      <c r="H134" s="223"/>
      <c r="I134" s="224"/>
      <c r="J134" s="228">
        <v>34658</v>
      </c>
      <c r="K134" s="226"/>
      <c r="L134" s="211"/>
      <c r="M134" s="209">
        <f>SUM(M135:M136)</f>
        <v>-1416.0344351240001</v>
      </c>
      <c r="N134" s="210"/>
      <c r="O134" s="211"/>
      <c r="P134" s="209">
        <f>SUM(P135:P136)</f>
        <v>33241.965564876002</v>
      </c>
      <c r="V134" s="114"/>
      <c r="W134" s="182"/>
      <c r="AA134" s="114">
        <f t="shared" si="15"/>
        <v>0</v>
      </c>
    </row>
    <row r="135" spans="2:28" s="114" customFormat="1" ht="16.5" customHeight="1" x14ac:dyDescent="0.2">
      <c r="B135" s="1"/>
      <c r="C135" s="51" t="s">
        <v>397</v>
      </c>
      <c r="D135" s="51" t="s">
        <v>29</v>
      </c>
      <c r="E135" s="52" t="s">
        <v>220</v>
      </c>
      <c r="F135" s="53" t="s">
        <v>221</v>
      </c>
      <c r="G135" s="54" t="s">
        <v>54</v>
      </c>
      <c r="H135" s="55">
        <v>775</v>
      </c>
      <c r="I135" s="56">
        <v>17.100000000000001</v>
      </c>
      <c r="J135" s="55">
        <v>13252.5</v>
      </c>
      <c r="K135" s="63">
        <v>-31.664455440000001</v>
      </c>
      <c r="L135" s="64">
        <f t="shared" si="10"/>
        <v>17.100000000000001</v>
      </c>
      <c r="M135" s="196">
        <f t="shared" si="11"/>
        <v>-541.46218802400006</v>
      </c>
      <c r="N135" s="66">
        <f t="shared" si="12"/>
        <v>743.33554456000002</v>
      </c>
      <c r="O135" s="67">
        <f t="shared" si="13"/>
        <v>17.100000000000001</v>
      </c>
      <c r="P135" s="197">
        <f t="shared" si="14"/>
        <v>12711.037811976001</v>
      </c>
      <c r="S135" s="255" t="s">
        <v>544</v>
      </c>
      <c r="W135" s="182"/>
      <c r="AA135" s="114">
        <f t="shared" si="15"/>
        <v>775</v>
      </c>
    </row>
    <row r="136" spans="2:28" s="114" customFormat="1" ht="16.5" customHeight="1" x14ac:dyDescent="0.2">
      <c r="B136" s="1"/>
      <c r="C136" s="73" t="s">
        <v>398</v>
      </c>
      <c r="D136" s="73" t="s">
        <v>106</v>
      </c>
      <c r="E136" s="74" t="s">
        <v>224</v>
      </c>
      <c r="F136" s="75" t="s">
        <v>225</v>
      </c>
      <c r="G136" s="76" t="s">
        <v>54</v>
      </c>
      <c r="H136" s="77">
        <v>775</v>
      </c>
      <c r="I136" s="78">
        <v>27.62</v>
      </c>
      <c r="J136" s="77">
        <v>21405.5</v>
      </c>
      <c r="K136" s="63">
        <v>-31.664455</v>
      </c>
      <c r="L136" s="64">
        <f t="shared" si="10"/>
        <v>27.62</v>
      </c>
      <c r="M136" s="196">
        <f t="shared" si="11"/>
        <v>-874.57224710000003</v>
      </c>
      <c r="N136" s="66">
        <f t="shared" si="12"/>
        <v>743.33554500000002</v>
      </c>
      <c r="O136" s="67">
        <f t="shared" si="13"/>
        <v>27.62</v>
      </c>
      <c r="P136" s="197">
        <f t="shared" si="14"/>
        <v>20530.927752900003</v>
      </c>
      <c r="S136" s="255"/>
      <c r="W136" s="182"/>
      <c r="AA136" s="114">
        <f t="shared" si="15"/>
        <v>775</v>
      </c>
      <c r="AB136" s="114">
        <v>-874.45</v>
      </c>
    </row>
    <row r="137" spans="2:28" s="114" customFormat="1" ht="6.95" customHeight="1" x14ac:dyDescent="0.2">
      <c r="B137" s="1"/>
      <c r="C137" s="1"/>
      <c r="D137" s="1"/>
      <c r="E137" s="1"/>
      <c r="F137" s="1"/>
      <c r="G137" s="1"/>
      <c r="H137" s="1"/>
      <c r="I137" s="38"/>
      <c r="J137" s="1"/>
    </row>
    <row r="138" spans="2:28" ht="18" customHeight="1" x14ac:dyDescent="0.2">
      <c r="D138" s="24"/>
      <c r="E138" s="25" t="s">
        <v>526</v>
      </c>
      <c r="F138" s="26"/>
      <c r="G138" s="26"/>
      <c r="H138" s="27"/>
      <c r="I138" s="26"/>
      <c r="J138" s="28">
        <v>7109051.7999999998</v>
      </c>
      <c r="K138" s="31"/>
      <c r="L138" s="181"/>
      <c r="M138" s="181">
        <f>M133+M131+M127+M116+M112+M53+M50+M43+M40+M38+M14</f>
        <v>-140653.32233525164</v>
      </c>
      <c r="N138" s="31"/>
      <c r="O138" s="181"/>
      <c r="P138" s="181">
        <f>P133+P131+P127+P116+P112+P53+P50+P43+P40+P38+P14</f>
        <v>6968398.4329647487</v>
      </c>
    </row>
    <row r="139" spans="2:28" ht="12.75" x14ac:dyDescent="0.2">
      <c r="H139" s="32"/>
      <c r="I139" s="9"/>
      <c r="J139" s="10"/>
    </row>
    <row r="140" spans="2:28" ht="14.25" x14ac:dyDescent="0.2">
      <c r="E140" s="8" t="str">
        <f>+'Rekapitulace stavby'!$B$25</f>
        <v>Zhotovitel: Jiří Prokop</v>
      </c>
      <c r="F140" s="8"/>
      <c r="G140" s="233" t="s">
        <v>592</v>
      </c>
      <c r="H140" s="32"/>
      <c r="I140" s="9"/>
      <c r="J140" s="8"/>
      <c r="M140" s="8" t="s">
        <v>496</v>
      </c>
    </row>
  </sheetData>
  <sheetProtection formatColumns="0" formatRows="0" autoFilter="0"/>
  <protectedRanges>
    <protectedRange password="CCAA" sqref="K8" name="Oblast1_1_1"/>
    <protectedRange password="CCAA" sqref="D11:H11" name="Oblast1_2"/>
    <protectedRange password="CCAA" sqref="D9:H10" name="Oblast1_2_1"/>
  </protectedRanges>
  <autoFilter ref="C10:P136" xr:uid="{00000000-0001-0000-0400-000000000000}"/>
  <mergeCells count="9">
    <mergeCell ref="V128:V130"/>
    <mergeCell ref="S135:S136"/>
    <mergeCell ref="K9:M9"/>
    <mergeCell ref="N9:P9"/>
    <mergeCell ref="X60:X71"/>
    <mergeCell ref="X84:X85"/>
    <mergeCell ref="V117:V122"/>
    <mergeCell ref="W60:W71"/>
    <mergeCell ref="W84:W85"/>
  </mergeCells>
  <conditionalFormatting sqref="G140">
    <cfRule type="cellIs" dxfId="112" priority="4" operator="lessThan">
      <formula>0</formula>
    </cfRule>
  </conditionalFormatting>
  <conditionalFormatting sqref="G140">
    <cfRule type="cellIs" dxfId="111" priority="3" operator="lessThan">
      <formula>0</formula>
    </cfRule>
  </conditionalFormatting>
  <conditionalFormatting sqref="G140">
    <cfRule type="cellIs" dxfId="110" priority="2" operator="lessThan">
      <formula>0</formula>
    </cfRule>
  </conditionalFormatting>
  <conditionalFormatting sqref="G140">
    <cfRule type="cellIs" dxfId="109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0" fitToHeight="0" orientation="landscape" r:id="rId1"/>
  <headerFooter>
    <oddFooter>&amp;CStrana &amp;P z &amp;N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F0"/>
    <pageSetUpPr fitToPage="1"/>
  </sheetPr>
  <dimension ref="B1:V84"/>
  <sheetViews>
    <sheetView showGridLines="0" view="pageBreakPreview" topLeftCell="A58" zoomScale="80" zoomScaleNormal="90" zoomScaleSheetLayoutView="80" workbookViewId="0">
      <selection activeCell="G84" sqref="G84:O84"/>
    </sheetView>
  </sheetViews>
  <sheetFormatPr defaultColWidth="9.33203125" defaultRowHeight="11.25" x14ac:dyDescent="0.2"/>
  <cols>
    <col min="1" max="1" width="8.33203125" style="9" customWidth="1"/>
    <col min="2" max="2" width="1.6640625" style="9" customWidth="1"/>
    <col min="3" max="3" width="4.1640625" style="9" customWidth="1"/>
    <col min="4" max="4" width="4.33203125" style="9" customWidth="1"/>
    <col min="5" max="5" width="17.1640625" style="9" customWidth="1"/>
    <col min="6" max="6" width="100.83203125" style="9" customWidth="1"/>
    <col min="7" max="7" width="8.6640625" style="9" customWidth="1"/>
    <col min="8" max="8" width="11.1640625" style="9" customWidth="1"/>
    <col min="9" max="9" width="14.1640625" style="161" customWidth="1"/>
    <col min="10" max="10" width="23.5" style="9" customWidth="1"/>
    <col min="11" max="11" width="9.33203125" style="9"/>
    <col min="12" max="12" width="25.83203125" style="9" bestFit="1" customWidth="1"/>
    <col min="13" max="13" width="13.83203125" style="9" bestFit="1" customWidth="1"/>
    <col min="14" max="14" width="9.33203125" style="9"/>
    <col min="15" max="15" width="16.6640625" style="9" bestFit="1" customWidth="1"/>
    <col min="16" max="16" width="20.83203125" style="9" bestFit="1" customWidth="1"/>
    <col min="17" max="17" width="26.5" style="9" hidden="1" customWidth="1"/>
    <col min="18" max="19" width="0" style="9" hidden="1" customWidth="1"/>
    <col min="20" max="20" width="35.1640625" style="9" hidden="1" customWidth="1"/>
    <col min="21" max="21" width="50.83203125" style="9" hidden="1" customWidth="1"/>
    <col min="22" max="22" width="20" style="9" hidden="1" customWidth="1"/>
    <col min="23" max="16384" width="9.33203125" style="9"/>
  </cols>
  <sheetData>
    <row r="1" spans="2:22" ht="15" x14ac:dyDescent="0.2">
      <c r="F1" s="12"/>
      <c r="G1" s="83"/>
      <c r="H1" s="82"/>
      <c r="I1" s="9"/>
      <c r="J1" s="10"/>
    </row>
    <row r="2" spans="2:22" s="82" customFormat="1" ht="15" x14ac:dyDescent="0.2">
      <c r="E2" s="14"/>
      <c r="F2" s="12" t="s">
        <v>471</v>
      </c>
      <c r="G2" s="83" t="s">
        <v>542</v>
      </c>
      <c r="I2" s="85"/>
      <c r="J2" s="135"/>
      <c r="K2" s="89"/>
      <c r="L2" s="90"/>
      <c r="M2" s="90"/>
      <c r="N2" s="91"/>
      <c r="O2" s="136"/>
    </row>
    <row r="3" spans="2:22" s="82" customFormat="1" ht="15" x14ac:dyDescent="0.2">
      <c r="E3" s="14"/>
      <c r="F3" s="12" t="s">
        <v>473</v>
      </c>
      <c r="G3" s="83" t="s">
        <v>2</v>
      </c>
      <c r="H3" s="14"/>
      <c r="I3" s="85"/>
      <c r="J3" s="135"/>
      <c r="K3" s="89"/>
      <c r="L3" s="90"/>
      <c r="M3" s="90"/>
      <c r="N3" s="91"/>
      <c r="O3" s="136"/>
    </row>
    <row r="4" spans="2:22" s="14" customFormat="1" ht="15" x14ac:dyDescent="0.2">
      <c r="F4" s="3" t="s">
        <v>474</v>
      </c>
      <c r="G4" s="13" t="s">
        <v>475</v>
      </c>
      <c r="I4" s="85"/>
      <c r="J4" s="137"/>
      <c r="K4" s="96"/>
      <c r="L4" s="97"/>
      <c r="M4" s="97"/>
      <c r="N4" s="98"/>
      <c r="O4" s="138"/>
    </row>
    <row r="5" spans="2:22" s="14" customFormat="1" ht="15" x14ac:dyDescent="0.2">
      <c r="F5" s="3" t="s">
        <v>476</v>
      </c>
      <c r="G5" s="13" t="s">
        <v>477</v>
      </c>
      <c r="I5" s="85"/>
      <c r="J5" s="137"/>
      <c r="K5" s="96"/>
      <c r="L5" s="97"/>
      <c r="M5" s="97"/>
      <c r="N5" s="98"/>
      <c r="O5" s="138"/>
    </row>
    <row r="6" spans="2:22" s="14" customFormat="1" ht="15" x14ac:dyDescent="0.2">
      <c r="F6" s="12" t="s">
        <v>478</v>
      </c>
      <c r="G6" s="13" t="s">
        <v>479</v>
      </c>
      <c r="I6" s="85"/>
      <c r="J6" s="137"/>
      <c r="K6" s="96"/>
      <c r="L6" s="97"/>
      <c r="M6" s="97"/>
      <c r="N6" s="98"/>
      <c r="O6" s="138"/>
    </row>
    <row r="7" spans="2:22" s="14" customFormat="1" ht="15" x14ac:dyDescent="0.2">
      <c r="F7" s="12" t="s">
        <v>480</v>
      </c>
      <c r="G7" s="99" t="s">
        <v>481</v>
      </c>
      <c r="H7" s="139"/>
      <c r="I7" s="85"/>
      <c r="J7" s="137"/>
      <c r="K7" s="96"/>
      <c r="L7" s="97"/>
      <c r="M7" s="97"/>
      <c r="N7" s="98"/>
      <c r="O7" s="138"/>
    </row>
    <row r="8" spans="2:22" s="15" customFormat="1" ht="12.75" x14ac:dyDescent="0.2">
      <c r="D8" s="140"/>
      <c r="F8" s="12"/>
      <c r="G8" s="99"/>
      <c r="H8" s="139"/>
      <c r="K8" s="143" t="s">
        <v>498</v>
      </c>
      <c r="L8" s="144" t="str">
        <f>+C12</f>
        <v>P - Vodovodní přípojky</v>
      </c>
      <c r="M8" s="144"/>
      <c r="O8" s="145"/>
    </row>
    <row r="9" spans="2:22" s="16" customFormat="1" ht="12.75" x14ac:dyDescent="0.2">
      <c r="C9" s="162"/>
      <c r="D9" s="163"/>
      <c r="E9" s="163"/>
      <c r="F9" s="163"/>
      <c r="G9" s="163"/>
      <c r="H9" s="163"/>
      <c r="I9" s="164"/>
      <c r="J9" s="165"/>
      <c r="K9" s="242" t="s">
        <v>491</v>
      </c>
      <c r="L9" s="242"/>
      <c r="M9" s="243"/>
      <c r="N9" s="244" t="s">
        <v>492</v>
      </c>
      <c r="O9" s="244"/>
      <c r="P9" s="245"/>
    </row>
    <row r="10" spans="2:22" s="16" customFormat="1" ht="24" x14ac:dyDescent="0.2">
      <c r="C10" s="166"/>
      <c r="D10" s="167" t="s">
        <v>516</v>
      </c>
      <c r="E10" s="167" t="s">
        <v>517</v>
      </c>
      <c r="F10" s="167" t="s">
        <v>518</v>
      </c>
      <c r="G10" s="167" t="s">
        <v>24</v>
      </c>
      <c r="H10" s="168" t="s">
        <v>25</v>
      </c>
      <c r="I10" s="169" t="s">
        <v>519</v>
      </c>
      <c r="J10" s="170" t="s">
        <v>520</v>
      </c>
      <c r="K10" s="46" t="s">
        <v>521</v>
      </c>
      <c r="L10" s="47" t="s">
        <v>494</v>
      </c>
      <c r="M10" s="47" t="s">
        <v>529</v>
      </c>
      <c r="N10" s="48" t="s">
        <v>521</v>
      </c>
      <c r="O10" s="49" t="s">
        <v>494</v>
      </c>
      <c r="P10" s="50" t="s">
        <v>529</v>
      </c>
      <c r="Q10" s="184" t="s">
        <v>538</v>
      </c>
      <c r="T10" s="184" t="s">
        <v>566</v>
      </c>
    </row>
    <row r="11" spans="2:22" s="16" customFormat="1" ht="12.75" x14ac:dyDescent="0.2">
      <c r="D11" s="17"/>
      <c r="E11" s="17"/>
      <c r="F11" s="17"/>
      <c r="G11" s="17"/>
      <c r="H11" s="18"/>
      <c r="I11" s="19"/>
      <c r="J11" s="20"/>
      <c r="K11" s="146"/>
      <c r="L11" s="147"/>
      <c r="M11" s="147"/>
      <c r="N11" s="148"/>
      <c r="O11" s="149"/>
    </row>
    <row r="12" spans="2:22" s="114" customFormat="1" ht="15.75" x14ac:dyDescent="0.25">
      <c r="B12" s="1"/>
      <c r="C12" s="37" t="s">
        <v>399</v>
      </c>
      <c r="D12" s="1"/>
      <c r="E12" s="1"/>
      <c r="F12" s="1"/>
      <c r="G12" s="1"/>
      <c r="H12" s="1"/>
      <c r="I12" s="38"/>
      <c r="J12" s="39">
        <v>903849.50000000012</v>
      </c>
      <c r="K12" s="156" t="str">
        <f>IF(ISBLANK(H12),"",SUM(#REF!+#REF!+#REF!+#REF!+#REF!+#REF!+#REF!+#REF!+#REF!+#REF!+#REF!+#REF!+#REF!+#REF!+#REF!,#REF!,#REF!,#REF!+#REF!,#REF!,#REF!,#REF!,#REF!,#REF!))</f>
        <v/>
      </c>
      <c r="L12" s="157" t="str">
        <f>IF(ISBLANK(H12),"",SUM(#REF!+#REF!+#REF!+#REF!+#REF!+#REF!+#REF!+#REF!+#REF!+#REF!+#REF!+#REF!+#REF!+#REF!,#REF!,#REF!,#REF!,#REF!,#REF!,#REF!,#REF!,#REF!,#REF!))</f>
        <v/>
      </c>
      <c r="M12" s="157"/>
      <c r="N12" s="158" t="str">
        <f>IF(ISBLANK(H12),"",H12-K12)</f>
        <v/>
      </c>
      <c r="O12" s="159" t="str">
        <f>IF(ISBLANK(H12),"",J12-L12)</f>
        <v/>
      </c>
      <c r="T12" s="253" t="s">
        <v>569</v>
      </c>
      <c r="U12" s="257" t="s">
        <v>578</v>
      </c>
    </row>
    <row r="13" spans="2:22" s="160" customFormat="1" ht="15" x14ac:dyDescent="0.2">
      <c r="B13" s="2"/>
      <c r="C13" s="2"/>
      <c r="D13" s="40" t="s">
        <v>3</v>
      </c>
      <c r="E13" s="41" t="s">
        <v>26</v>
      </c>
      <c r="F13" s="41" t="s">
        <v>27</v>
      </c>
      <c r="G13" s="2"/>
      <c r="H13" s="2"/>
      <c r="I13" s="42"/>
      <c r="J13" s="43">
        <v>876029.70000000019</v>
      </c>
      <c r="K13" s="156" t="str">
        <f>IF(ISBLANK(H13),"",SUM(#REF!+#REF!+#REF!+#REF!+#REF!+#REF!+#REF!+#REF!+#REF!+#REF!+#REF!+#REF!+#REF!+#REF!+#REF!,#REF!,#REF!,#REF!+#REF!,#REF!,#REF!,#REF!,#REF!,#REF!))</f>
        <v/>
      </c>
      <c r="L13" s="157" t="str">
        <f>IF(ISBLANK(H13),"",SUM(#REF!+#REF!+#REF!+#REF!+#REF!+#REF!+#REF!+#REF!+#REF!+#REF!+#REF!+#REF!+#REF!+#REF!,#REF!,#REF!,#REF!,#REF!,#REF!,#REF!,#REF!,#REF!,#REF!))</f>
        <v/>
      </c>
      <c r="M13" s="157"/>
      <c r="N13" s="158" t="str">
        <f>IF(ISBLANK(H13),"",H13-K13)</f>
        <v/>
      </c>
      <c r="O13" s="159" t="str">
        <f>IF(ISBLANK(H13),"",J13-L13)</f>
        <v/>
      </c>
      <c r="T13" s="253"/>
      <c r="U13" s="257"/>
      <c r="V13" s="192" t="s">
        <v>583</v>
      </c>
    </row>
    <row r="14" spans="2:22" s="160" customFormat="1" ht="12.75" x14ac:dyDescent="0.2">
      <c r="B14" s="2"/>
      <c r="C14" s="213"/>
      <c r="D14" s="214" t="s">
        <v>3</v>
      </c>
      <c r="E14" s="215" t="s">
        <v>6</v>
      </c>
      <c r="F14" s="215" t="s">
        <v>28</v>
      </c>
      <c r="G14" s="213"/>
      <c r="H14" s="213"/>
      <c r="I14" s="216"/>
      <c r="J14" s="217">
        <v>222445.60000000003</v>
      </c>
      <c r="K14" s="218" t="str">
        <f>IF(ISBLANK(H14),"",SUM(#REF!+#REF!+#REF!+#REF!+#REF!+#REF!+#REF!+#REF!+#REF!+#REF!+#REF!+#REF!+#REF!+#REF!+#REF!,#REF!,#REF!,#REF!+#REF!,#REF!,#REF!,#REF!,#REF!,#REF!))</f>
        <v/>
      </c>
      <c r="L14" s="219" t="str">
        <f>IF(ISBLANK(H14),"",SUM(#REF!+#REF!+#REF!+#REF!+#REF!+#REF!+#REF!+#REF!+#REF!+#REF!+#REF!+#REF!+#REF!+#REF!,#REF!,#REF!,#REF!,#REF!,#REF!,#REF!,#REF!,#REF!,#REF!))</f>
        <v/>
      </c>
      <c r="M14" s="219">
        <f>SUM(M15:M37)</f>
        <v>0</v>
      </c>
      <c r="N14" s="220" t="str">
        <f>IF(ISBLANK(H14),"",H14-K14)</f>
        <v/>
      </c>
      <c r="O14" s="219" t="str">
        <f>IF(ISBLANK(H14),"",J14-L14)</f>
        <v/>
      </c>
      <c r="P14" s="219">
        <f>SUM(P15:P37)</f>
        <v>222445.56580000001</v>
      </c>
      <c r="Q14" s="192" t="s">
        <v>540</v>
      </c>
      <c r="R14" s="160" t="s">
        <v>541</v>
      </c>
      <c r="T14" s="253"/>
    </row>
    <row r="15" spans="2:22" s="114" customFormat="1" ht="12" x14ac:dyDescent="0.2">
      <c r="B15" s="1"/>
      <c r="C15" s="51" t="s">
        <v>7</v>
      </c>
      <c r="D15" s="51" t="s">
        <v>29</v>
      </c>
      <c r="E15" s="52" t="s">
        <v>48</v>
      </c>
      <c r="F15" s="53" t="s">
        <v>49</v>
      </c>
      <c r="G15" s="54" t="s">
        <v>32</v>
      </c>
      <c r="H15" s="55">
        <v>60.5</v>
      </c>
      <c r="I15" s="56">
        <v>40.770000000000003</v>
      </c>
      <c r="J15" s="55">
        <v>2466.6</v>
      </c>
      <c r="K15" s="63">
        <v>0</v>
      </c>
      <c r="L15" s="64">
        <f>I15</f>
        <v>40.770000000000003</v>
      </c>
      <c r="M15" s="196">
        <f>K15*L15</f>
        <v>0</v>
      </c>
      <c r="N15" s="66">
        <f>H15+K15</f>
        <v>60.5</v>
      </c>
      <c r="O15" s="67">
        <f>I15</f>
        <v>40.770000000000003</v>
      </c>
      <c r="P15" s="197">
        <f>N15*O15</f>
        <v>2466.585</v>
      </c>
    </row>
    <row r="16" spans="2:22" s="114" customFormat="1" ht="12" x14ac:dyDescent="0.2">
      <c r="B16" s="1"/>
      <c r="C16" s="51" t="s">
        <v>14</v>
      </c>
      <c r="D16" s="51" t="s">
        <v>29</v>
      </c>
      <c r="E16" s="52" t="s">
        <v>30</v>
      </c>
      <c r="F16" s="53" t="s">
        <v>31</v>
      </c>
      <c r="G16" s="54" t="s">
        <v>32</v>
      </c>
      <c r="H16" s="55">
        <v>115.5</v>
      </c>
      <c r="I16" s="56">
        <v>55.24</v>
      </c>
      <c r="J16" s="55">
        <v>6380.2</v>
      </c>
      <c r="K16" s="63">
        <v>0</v>
      </c>
      <c r="L16" s="64">
        <f t="shared" ref="L16:L79" si="0">I16</f>
        <v>55.24</v>
      </c>
      <c r="M16" s="196">
        <f t="shared" ref="M16:M79" si="1">K16*L16</f>
        <v>0</v>
      </c>
      <c r="N16" s="66">
        <f t="shared" ref="N16:N79" si="2">H16+K16</f>
        <v>115.5</v>
      </c>
      <c r="O16" s="67">
        <f t="shared" ref="O16:O79" si="3">I16</f>
        <v>55.24</v>
      </c>
      <c r="P16" s="197">
        <f t="shared" ref="P16:P79" si="4">N16*O16</f>
        <v>6380.22</v>
      </c>
    </row>
    <row r="17" spans="2:21" s="114" customFormat="1" ht="12" x14ac:dyDescent="0.2">
      <c r="B17" s="1"/>
      <c r="C17" s="51" t="s">
        <v>33</v>
      </c>
      <c r="D17" s="51" t="s">
        <v>29</v>
      </c>
      <c r="E17" s="52" t="s">
        <v>50</v>
      </c>
      <c r="F17" s="53" t="s">
        <v>51</v>
      </c>
      <c r="G17" s="54" t="s">
        <v>32</v>
      </c>
      <c r="H17" s="55">
        <v>60.5</v>
      </c>
      <c r="I17" s="56">
        <v>151.25</v>
      </c>
      <c r="J17" s="55">
        <v>9150.6</v>
      </c>
      <c r="K17" s="63">
        <v>0</v>
      </c>
      <c r="L17" s="64">
        <f t="shared" si="0"/>
        <v>151.25</v>
      </c>
      <c r="M17" s="196">
        <f t="shared" si="1"/>
        <v>0</v>
      </c>
      <c r="N17" s="66">
        <f t="shared" si="2"/>
        <v>60.5</v>
      </c>
      <c r="O17" s="67">
        <f t="shared" si="3"/>
        <v>151.25</v>
      </c>
      <c r="P17" s="197">
        <f t="shared" si="4"/>
        <v>9150.625</v>
      </c>
    </row>
    <row r="18" spans="2:21" s="114" customFormat="1" ht="12" x14ac:dyDescent="0.2">
      <c r="B18" s="1"/>
      <c r="C18" s="51" t="s">
        <v>34</v>
      </c>
      <c r="D18" s="51" t="s">
        <v>29</v>
      </c>
      <c r="E18" s="52" t="s">
        <v>227</v>
      </c>
      <c r="F18" s="53" t="s">
        <v>228</v>
      </c>
      <c r="G18" s="54" t="s">
        <v>54</v>
      </c>
      <c r="H18" s="55">
        <v>27.5</v>
      </c>
      <c r="I18" s="56">
        <v>147.30000000000001</v>
      </c>
      <c r="J18" s="55">
        <v>4050.8</v>
      </c>
      <c r="K18" s="63">
        <v>0</v>
      </c>
      <c r="L18" s="64">
        <f t="shared" si="0"/>
        <v>147.30000000000001</v>
      </c>
      <c r="M18" s="196">
        <f t="shared" si="1"/>
        <v>0</v>
      </c>
      <c r="N18" s="66">
        <f t="shared" si="2"/>
        <v>27.5</v>
      </c>
      <c r="O18" s="67">
        <f t="shared" si="3"/>
        <v>147.30000000000001</v>
      </c>
      <c r="P18" s="197">
        <f t="shared" si="4"/>
        <v>4050.7500000000005</v>
      </c>
    </row>
    <row r="19" spans="2:21" s="114" customFormat="1" ht="12" x14ac:dyDescent="0.2">
      <c r="B19" s="1"/>
      <c r="C19" s="51" t="s">
        <v>55</v>
      </c>
      <c r="D19" s="51" t="s">
        <v>29</v>
      </c>
      <c r="E19" s="52" t="s">
        <v>56</v>
      </c>
      <c r="F19" s="53" t="s">
        <v>57</v>
      </c>
      <c r="G19" s="54" t="s">
        <v>58</v>
      </c>
      <c r="H19" s="55">
        <v>19.8</v>
      </c>
      <c r="I19" s="56">
        <v>38.14</v>
      </c>
      <c r="J19" s="55">
        <v>755.2</v>
      </c>
      <c r="K19" s="63">
        <v>0</v>
      </c>
      <c r="L19" s="64">
        <f t="shared" si="0"/>
        <v>38.14</v>
      </c>
      <c r="M19" s="196">
        <f t="shared" si="1"/>
        <v>0</v>
      </c>
      <c r="N19" s="66">
        <f t="shared" si="2"/>
        <v>19.8</v>
      </c>
      <c r="O19" s="67">
        <f t="shared" si="3"/>
        <v>38.14</v>
      </c>
      <c r="P19" s="197">
        <f t="shared" si="4"/>
        <v>755.17200000000003</v>
      </c>
    </row>
    <row r="20" spans="2:21" s="114" customFormat="1" ht="12" x14ac:dyDescent="0.2">
      <c r="B20" s="1"/>
      <c r="C20" s="51" t="s">
        <v>59</v>
      </c>
      <c r="D20" s="51" t="s">
        <v>29</v>
      </c>
      <c r="E20" s="52" t="s">
        <v>60</v>
      </c>
      <c r="F20" s="53" t="s">
        <v>61</v>
      </c>
      <c r="G20" s="54" t="s">
        <v>58</v>
      </c>
      <c r="H20" s="55">
        <v>5.55</v>
      </c>
      <c r="I20" s="56">
        <v>257.77999999999997</v>
      </c>
      <c r="J20" s="55">
        <v>1430.7</v>
      </c>
      <c r="K20" s="63">
        <v>0</v>
      </c>
      <c r="L20" s="64">
        <f t="shared" si="0"/>
        <v>257.77999999999997</v>
      </c>
      <c r="M20" s="196">
        <f t="shared" si="1"/>
        <v>0</v>
      </c>
      <c r="N20" s="66">
        <f t="shared" si="2"/>
        <v>5.55</v>
      </c>
      <c r="O20" s="67">
        <f t="shared" si="3"/>
        <v>257.77999999999997</v>
      </c>
      <c r="P20" s="197">
        <f t="shared" si="4"/>
        <v>1430.6789999999999</v>
      </c>
    </row>
    <row r="21" spans="2:21" s="114" customFormat="1" ht="12" x14ac:dyDescent="0.2">
      <c r="B21" s="1"/>
      <c r="C21" s="51" t="s">
        <v>62</v>
      </c>
      <c r="D21" s="51" t="s">
        <v>29</v>
      </c>
      <c r="E21" s="52" t="s">
        <v>63</v>
      </c>
      <c r="F21" s="53" t="s">
        <v>64</v>
      </c>
      <c r="G21" s="54" t="s">
        <v>58</v>
      </c>
      <c r="H21" s="55">
        <v>55.45</v>
      </c>
      <c r="I21" s="56">
        <v>257.77999999999997</v>
      </c>
      <c r="J21" s="55">
        <v>14293.9</v>
      </c>
      <c r="K21" s="63">
        <v>0</v>
      </c>
      <c r="L21" s="64">
        <f t="shared" si="0"/>
        <v>257.77999999999997</v>
      </c>
      <c r="M21" s="196">
        <f t="shared" si="1"/>
        <v>0</v>
      </c>
      <c r="N21" s="66">
        <f t="shared" si="2"/>
        <v>55.45</v>
      </c>
      <c r="O21" s="67">
        <f t="shared" si="3"/>
        <v>257.77999999999997</v>
      </c>
      <c r="P21" s="197">
        <f t="shared" si="4"/>
        <v>14293.901</v>
      </c>
    </row>
    <row r="22" spans="2:21" s="114" customFormat="1" ht="12" x14ac:dyDescent="0.2">
      <c r="B22" s="1"/>
      <c r="C22" s="51" t="s">
        <v>65</v>
      </c>
      <c r="D22" s="51" t="s">
        <v>29</v>
      </c>
      <c r="E22" s="52" t="s">
        <v>66</v>
      </c>
      <c r="F22" s="53" t="s">
        <v>67</v>
      </c>
      <c r="G22" s="54" t="s">
        <v>58</v>
      </c>
      <c r="H22" s="55">
        <v>16.64</v>
      </c>
      <c r="I22" s="56">
        <v>13.15</v>
      </c>
      <c r="J22" s="55">
        <v>218.8</v>
      </c>
      <c r="K22" s="63">
        <v>0</v>
      </c>
      <c r="L22" s="64">
        <f t="shared" si="0"/>
        <v>13.15</v>
      </c>
      <c r="M22" s="196">
        <f t="shared" si="1"/>
        <v>0</v>
      </c>
      <c r="N22" s="66">
        <f t="shared" si="2"/>
        <v>16.64</v>
      </c>
      <c r="O22" s="67">
        <f t="shared" si="3"/>
        <v>13.15</v>
      </c>
      <c r="P22" s="197">
        <f t="shared" si="4"/>
        <v>218.816</v>
      </c>
    </row>
    <row r="23" spans="2:21" s="114" customFormat="1" ht="12" x14ac:dyDescent="0.2">
      <c r="B23" s="1"/>
      <c r="C23" s="51" t="s">
        <v>68</v>
      </c>
      <c r="D23" s="51" t="s">
        <v>29</v>
      </c>
      <c r="E23" s="52" t="s">
        <v>69</v>
      </c>
      <c r="F23" s="53" t="s">
        <v>70</v>
      </c>
      <c r="G23" s="54" t="s">
        <v>58</v>
      </c>
      <c r="H23" s="55">
        <v>33.270000000000003</v>
      </c>
      <c r="I23" s="56">
        <v>315.64999999999998</v>
      </c>
      <c r="J23" s="55">
        <v>10501.7</v>
      </c>
      <c r="K23" s="63">
        <v>0</v>
      </c>
      <c r="L23" s="64">
        <f t="shared" si="0"/>
        <v>315.64999999999998</v>
      </c>
      <c r="M23" s="196">
        <f t="shared" si="1"/>
        <v>0</v>
      </c>
      <c r="N23" s="66">
        <f t="shared" si="2"/>
        <v>33.270000000000003</v>
      </c>
      <c r="O23" s="67">
        <f t="shared" si="3"/>
        <v>315.64999999999998</v>
      </c>
      <c r="P23" s="197">
        <f t="shared" si="4"/>
        <v>10501.675499999999</v>
      </c>
    </row>
    <row r="24" spans="2:21" s="114" customFormat="1" ht="12" x14ac:dyDescent="0.2">
      <c r="B24" s="1"/>
      <c r="C24" s="51" t="s">
        <v>71</v>
      </c>
      <c r="D24" s="51" t="s">
        <v>29</v>
      </c>
      <c r="E24" s="52" t="s">
        <v>72</v>
      </c>
      <c r="F24" s="53" t="s">
        <v>73</v>
      </c>
      <c r="G24" s="54" t="s">
        <v>58</v>
      </c>
      <c r="H24" s="55">
        <v>9.98</v>
      </c>
      <c r="I24" s="56">
        <v>15.78</v>
      </c>
      <c r="J24" s="55">
        <v>157.5</v>
      </c>
      <c r="K24" s="63">
        <v>0</v>
      </c>
      <c r="L24" s="64">
        <f t="shared" si="0"/>
        <v>15.78</v>
      </c>
      <c r="M24" s="196">
        <f t="shared" si="1"/>
        <v>0</v>
      </c>
      <c r="N24" s="66">
        <f t="shared" si="2"/>
        <v>9.98</v>
      </c>
      <c r="O24" s="67">
        <f t="shared" si="3"/>
        <v>15.78</v>
      </c>
      <c r="P24" s="197">
        <f t="shared" si="4"/>
        <v>157.48439999999999</v>
      </c>
    </row>
    <row r="25" spans="2:21" s="114" customFormat="1" ht="12" x14ac:dyDescent="0.2">
      <c r="B25" s="1"/>
      <c r="C25" s="51" t="s">
        <v>74</v>
      </c>
      <c r="D25" s="51" t="s">
        <v>29</v>
      </c>
      <c r="E25" s="52" t="s">
        <v>75</v>
      </c>
      <c r="F25" s="53" t="s">
        <v>76</v>
      </c>
      <c r="G25" s="54" t="s">
        <v>58</v>
      </c>
      <c r="H25" s="55">
        <v>11.09</v>
      </c>
      <c r="I25" s="56">
        <v>837.79</v>
      </c>
      <c r="J25" s="55">
        <v>9291.1</v>
      </c>
      <c r="K25" s="63">
        <v>0</v>
      </c>
      <c r="L25" s="64">
        <f t="shared" si="0"/>
        <v>837.79</v>
      </c>
      <c r="M25" s="196">
        <f t="shared" si="1"/>
        <v>0</v>
      </c>
      <c r="N25" s="66">
        <f t="shared" si="2"/>
        <v>11.09</v>
      </c>
      <c r="O25" s="67">
        <f t="shared" si="3"/>
        <v>837.79</v>
      </c>
      <c r="P25" s="197">
        <f t="shared" si="4"/>
        <v>9291.0910999999996</v>
      </c>
    </row>
    <row r="26" spans="2:21" s="114" customFormat="1" ht="12" x14ac:dyDescent="0.2">
      <c r="B26" s="1"/>
      <c r="C26" s="51" t="s">
        <v>77</v>
      </c>
      <c r="D26" s="51" t="s">
        <v>29</v>
      </c>
      <c r="E26" s="52" t="s">
        <v>78</v>
      </c>
      <c r="F26" s="53" t="s">
        <v>79</v>
      </c>
      <c r="G26" s="54" t="s">
        <v>58</v>
      </c>
      <c r="H26" s="55">
        <v>11.09</v>
      </c>
      <c r="I26" s="56">
        <v>1116.6199999999999</v>
      </c>
      <c r="J26" s="55">
        <v>12383.3</v>
      </c>
      <c r="K26" s="63">
        <v>0</v>
      </c>
      <c r="L26" s="64">
        <f t="shared" si="0"/>
        <v>1116.6199999999999</v>
      </c>
      <c r="M26" s="196">
        <f t="shared" si="1"/>
        <v>0</v>
      </c>
      <c r="N26" s="66">
        <f t="shared" si="2"/>
        <v>11.09</v>
      </c>
      <c r="O26" s="67">
        <f t="shared" si="3"/>
        <v>1116.6199999999999</v>
      </c>
      <c r="P26" s="197">
        <f t="shared" si="4"/>
        <v>12383.315799999998</v>
      </c>
    </row>
    <row r="27" spans="2:21" s="114" customFormat="1" ht="12" x14ac:dyDescent="0.2">
      <c r="B27" s="1"/>
      <c r="C27" s="51" t="s">
        <v>80</v>
      </c>
      <c r="D27" s="51" t="s">
        <v>29</v>
      </c>
      <c r="E27" s="52" t="s">
        <v>81</v>
      </c>
      <c r="F27" s="53" t="s">
        <v>82</v>
      </c>
      <c r="G27" s="54" t="s">
        <v>32</v>
      </c>
      <c r="H27" s="55">
        <v>304</v>
      </c>
      <c r="I27" s="56">
        <v>99.96</v>
      </c>
      <c r="J27" s="55">
        <v>30387.8</v>
      </c>
      <c r="K27" s="63">
        <v>0</v>
      </c>
      <c r="L27" s="64">
        <f t="shared" si="0"/>
        <v>99.96</v>
      </c>
      <c r="M27" s="196">
        <f t="shared" si="1"/>
        <v>0</v>
      </c>
      <c r="N27" s="66">
        <f t="shared" si="2"/>
        <v>304</v>
      </c>
      <c r="O27" s="67">
        <f t="shared" si="3"/>
        <v>99.96</v>
      </c>
      <c r="P27" s="197">
        <f t="shared" si="4"/>
        <v>30387.839999999997</v>
      </c>
      <c r="T27" s="253" t="s">
        <v>567</v>
      </c>
    </row>
    <row r="28" spans="2:21" s="114" customFormat="1" ht="12" x14ac:dyDescent="0.2">
      <c r="B28" s="1"/>
      <c r="C28" s="51" t="s">
        <v>1</v>
      </c>
      <c r="D28" s="51" t="s">
        <v>29</v>
      </c>
      <c r="E28" s="52" t="s">
        <v>83</v>
      </c>
      <c r="F28" s="53" t="s">
        <v>84</v>
      </c>
      <c r="G28" s="54" t="s">
        <v>32</v>
      </c>
      <c r="H28" s="55">
        <v>304</v>
      </c>
      <c r="I28" s="56">
        <v>149.94</v>
      </c>
      <c r="J28" s="55">
        <v>45581.8</v>
      </c>
      <c r="K28" s="63">
        <v>0</v>
      </c>
      <c r="L28" s="64">
        <f t="shared" si="0"/>
        <v>149.94</v>
      </c>
      <c r="M28" s="196">
        <f t="shared" si="1"/>
        <v>0</v>
      </c>
      <c r="N28" s="66">
        <f t="shared" si="2"/>
        <v>304</v>
      </c>
      <c r="O28" s="67">
        <f t="shared" si="3"/>
        <v>149.94</v>
      </c>
      <c r="P28" s="197">
        <f t="shared" si="4"/>
        <v>45581.760000000002</v>
      </c>
      <c r="T28" s="253"/>
    </row>
    <row r="29" spans="2:21" s="114" customFormat="1" ht="12" x14ac:dyDescent="0.2">
      <c r="B29" s="1"/>
      <c r="C29" s="51" t="s">
        <v>85</v>
      </c>
      <c r="D29" s="51" t="s">
        <v>29</v>
      </c>
      <c r="E29" s="52" t="s">
        <v>86</v>
      </c>
      <c r="F29" s="53" t="s">
        <v>87</v>
      </c>
      <c r="G29" s="54" t="s">
        <v>58</v>
      </c>
      <c r="H29" s="55">
        <v>184.5</v>
      </c>
      <c r="I29" s="56">
        <v>98.06</v>
      </c>
      <c r="J29" s="55">
        <v>18092.099999999999</v>
      </c>
      <c r="K29" s="63">
        <v>0</v>
      </c>
      <c r="L29" s="64">
        <f t="shared" si="0"/>
        <v>98.06</v>
      </c>
      <c r="M29" s="196">
        <f t="shared" si="1"/>
        <v>0</v>
      </c>
      <c r="N29" s="66">
        <f t="shared" si="2"/>
        <v>184.5</v>
      </c>
      <c r="O29" s="67">
        <f t="shared" si="3"/>
        <v>98.06</v>
      </c>
      <c r="P29" s="197">
        <f t="shared" si="4"/>
        <v>18092.07</v>
      </c>
    </row>
    <row r="30" spans="2:21" s="114" customFormat="1" ht="12" x14ac:dyDescent="0.2">
      <c r="B30" s="1"/>
      <c r="C30" s="51" t="s">
        <v>88</v>
      </c>
      <c r="D30" s="51" t="s">
        <v>29</v>
      </c>
      <c r="E30" s="52" t="s">
        <v>89</v>
      </c>
      <c r="F30" s="53" t="s">
        <v>90</v>
      </c>
      <c r="G30" s="54" t="s">
        <v>58</v>
      </c>
      <c r="H30" s="55">
        <v>37.299999999999997</v>
      </c>
      <c r="I30" s="56">
        <v>247.39</v>
      </c>
      <c r="J30" s="55">
        <v>9227.6</v>
      </c>
      <c r="K30" s="63">
        <v>0</v>
      </c>
      <c r="L30" s="64">
        <f t="shared" si="0"/>
        <v>247.39</v>
      </c>
      <c r="M30" s="196">
        <f t="shared" si="1"/>
        <v>0</v>
      </c>
      <c r="N30" s="66">
        <f t="shared" si="2"/>
        <v>37.299999999999997</v>
      </c>
      <c r="O30" s="67">
        <f t="shared" si="3"/>
        <v>247.39</v>
      </c>
      <c r="P30" s="197">
        <f t="shared" si="4"/>
        <v>9227.646999999999</v>
      </c>
      <c r="T30" s="253" t="s">
        <v>568</v>
      </c>
      <c r="U30" s="254" t="s">
        <v>577</v>
      </c>
    </row>
    <row r="31" spans="2:21" s="114" customFormat="1" ht="12" x14ac:dyDescent="0.2">
      <c r="B31" s="1"/>
      <c r="C31" s="51" t="s">
        <v>91</v>
      </c>
      <c r="D31" s="51" t="s">
        <v>29</v>
      </c>
      <c r="E31" s="52" t="s">
        <v>92</v>
      </c>
      <c r="F31" s="53" t="s">
        <v>93</v>
      </c>
      <c r="G31" s="54" t="s">
        <v>58</v>
      </c>
      <c r="H31" s="55">
        <v>37.299999999999997</v>
      </c>
      <c r="I31" s="56">
        <v>44.72</v>
      </c>
      <c r="J31" s="55">
        <v>1668.1</v>
      </c>
      <c r="K31" s="63">
        <v>0</v>
      </c>
      <c r="L31" s="64">
        <f t="shared" si="0"/>
        <v>44.72</v>
      </c>
      <c r="M31" s="196">
        <f t="shared" si="1"/>
        <v>0</v>
      </c>
      <c r="N31" s="66">
        <f t="shared" si="2"/>
        <v>37.299999999999997</v>
      </c>
      <c r="O31" s="67">
        <f t="shared" si="3"/>
        <v>44.72</v>
      </c>
      <c r="P31" s="197">
        <f t="shared" si="4"/>
        <v>1668.0559999999998</v>
      </c>
      <c r="T31" s="253"/>
      <c r="U31" s="254"/>
    </row>
    <row r="32" spans="2:21" s="114" customFormat="1" ht="12" x14ac:dyDescent="0.2">
      <c r="B32" s="1"/>
      <c r="C32" s="51" t="s">
        <v>94</v>
      </c>
      <c r="D32" s="51" t="s">
        <v>29</v>
      </c>
      <c r="E32" s="52" t="s">
        <v>95</v>
      </c>
      <c r="F32" s="53" t="s">
        <v>96</v>
      </c>
      <c r="G32" s="54" t="s">
        <v>58</v>
      </c>
      <c r="H32" s="55">
        <v>37.299999999999997</v>
      </c>
      <c r="I32" s="56">
        <v>11.84</v>
      </c>
      <c r="J32" s="55">
        <v>441.6</v>
      </c>
      <c r="K32" s="63">
        <v>0</v>
      </c>
      <c r="L32" s="64">
        <f t="shared" si="0"/>
        <v>11.84</v>
      </c>
      <c r="M32" s="196">
        <f t="shared" si="1"/>
        <v>0</v>
      </c>
      <c r="N32" s="66">
        <f t="shared" si="2"/>
        <v>37.299999999999997</v>
      </c>
      <c r="O32" s="67">
        <f t="shared" si="3"/>
        <v>11.84</v>
      </c>
      <c r="P32" s="197">
        <f t="shared" si="4"/>
        <v>441.63199999999995</v>
      </c>
      <c r="T32" s="253"/>
      <c r="U32" s="254"/>
    </row>
    <row r="33" spans="2:21" s="114" customFormat="1" ht="12" x14ac:dyDescent="0.2">
      <c r="B33" s="1"/>
      <c r="C33" s="51" t="s">
        <v>97</v>
      </c>
      <c r="D33" s="51" t="s">
        <v>29</v>
      </c>
      <c r="E33" s="52" t="s">
        <v>98</v>
      </c>
      <c r="F33" s="53" t="s">
        <v>99</v>
      </c>
      <c r="G33" s="54" t="s">
        <v>44</v>
      </c>
      <c r="H33" s="55">
        <v>74.599999999999994</v>
      </c>
      <c r="I33" s="56">
        <v>116</v>
      </c>
      <c r="J33" s="55">
        <v>8653.6</v>
      </c>
      <c r="K33" s="63">
        <v>0</v>
      </c>
      <c r="L33" s="64">
        <f t="shared" si="0"/>
        <v>116</v>
      </c>
      <c r="M33" s="196">
        <f t="shared" si="1"/>
        <v>0</v>
      </c>
      <c r="N33" s="66">
        <f t="shared" si="2"/>
        <v>74.599999999999994</v>
      </c>
      <c r="O33" s="67">
        <f t="shared" si="3"/>
        <v>116</v>
      </c>
      <c r="P33" s="197">
        <f t="shared" si="4"/>
        <v>8653.5999999999985</v>
      </c>
      <c r="T33" s="253"/>
      <c r="U33" s="254"/>
    </row>
    <row r="34" spans="2:21" s="114" customFormat="1" ht="12" x14ac:dyDescent="0.2">
      <c r="B34" s="1"/>
      <c r="C34" s="51" t="s">
        <v>0</v>
      </c>
      <c r="D34" s="51" t="s">
        <v>29</v>
      </c>
      <c r="E34" s="52" t="s">
        <v>100</v>
      </c>
      <c r="F34" s="53" t="s">
        <v>101</v>
      </c>
      <c r="G34" s="54" t="s">
        <v>58</v>
      </c>
      <c r="H34" s="55">
        <v>73.599999999999994</v>
      </c>
      <c r="I34" s="56">
        <v>143.36000000000001</v>
      </c>
      <c r="J34" s="55">
        <v>10551.3</v>
      </c>
      <c r="K34" s="63">
        <v>0</v>
      </c>
      <c r="L34" s="64">
        <f t="shared" si="0"/>
        <v>143.36000000000001</v>
      </c>
      <c r="M34" s="196">
        <f t="shared" si="1"/>
        <v>0</v>
      </c>
      <c r="N34" s="66">
        <f t="shared" si="2"/>
        <v>73.599999999999994</v>
      </c>
      <c r="O34" s="67">
        <f t="shared" si="3"/>
        <v>143.36000000000001</v>
      </c>
      <c r="P34" s="197">
        <f t="shared" si="4"/>
        <v>10551.296</v>
      </c>
    </row>
    <row r="35" spans="2:21" s="114" customFormat="1" ht="12" x14ac:dyDescent="0.2">
      <c r="B35" s="1"/>
      <c r="C35" s="51" t="s">
        <v>102</v>
      </c>
      <c r="D35" s="51" t="s">
        <v>29</v>
      </c>
      <c r="E35" s="52" t="s">
        <v>103</v>
      </c>
      <c r="F35" s="53" t="s">
        <v>104</v>
      </c>
      <c r="G35" s="54" t="s">
        <v>58</v>
      </c>
      <c r="H35" s="55">
        <v>36.299999999999997</v>
      </c>
      <c r="I35" s="56">
        <v>318.27999999999997</v>
      </c>
      <c r="J35" s="55">
        <v>11553.6</v>
      </c>
      <c r="K35" s="63">
        <v>0</v>
      </c>
      <c r="L35" s="64">
        <f t="shared" si="0"/>
        <v>318.27999999999997</v>
      </c>
      <c r="M35" s="196">
        <f t="shared" si="1"/>
        <v>0</v>
      </c>
      <c r="N35" s="66">
        <f t="shared" si="2"/>
        <v>36.299999999999997</v>
      </c>
      <c r="O35" s="67">
        <f t="shared" si="3"/>
        <v>318.27999999999997</v>
      </c>
      <c r="P35" s="197">
        <f t="shared" si="4"/>
        <v>11553.563999999998</v>
      </c>
    </row>
    <row r="36" spans="2:21" s="114" customFormat="1" ht="12" x14ac:dyDescent="0.2">
      <c r="B36" s="1"/>
      <c r="C36" s="73" t="s">
        <v>105</v>
      </c>
      <c r="D36" s="73" t="s">
        <v>106</v>
      </c>
      <c r="E36" s="74" t="s">
        <v>107</v>
      </c>
      <c r="F36" s="75" t="s">
        <v>108</v>
      </c>
      <c r="G36" s="76" t="s">
        <v>44</v>
      </c>
      <c r="H36" s="77">
        <v>72.599999999999994</v>
      </c>
      <c r="I36" s="78">
        <v>172.71</v>
      </c>
      <c r="J36" s="77">
        <v>12538.7</v>
      </c>
      <c r="K36" s="63">
        <v>0</v>
      </c>
      <c r="L36" s="64">
        <f t="shared" si="0"/>
        <v>172.71</v>
      </c>
      <c r="M36" s="196">
        <f t="shared" si="1"/>
        <v>0</v>
      </c>
      <c r="N36" s="66">
        <f t="shared" si="2"/>
        <v>72.599999999999994</v>
      </c>
      <c r="O36" s="67">
        <f t="shared" si="3"/>
        <v>172.71</v>
      </c>
      <c r="P36" s="197">
        <f t="shared" si="4"/>
        <v>12538.745999999999</v>
      </c>
    </row>
    <row r="37" spans="2:21" s="114" customFormat="1" ht="12" x14ac:dyDescent="0.2">
      <c r="B37" s="1"/>
      <c r="C37" s="51" t="s">
        <v>109</v>
      </c>
      <c r="D37" s="51" t="s">
        <v>29</v>
      </c>
      <c r="E37" s="52" t="s">
        <v>110</v>
      </c>
      <c r="F37" s="53" t="s">
        <v>111</v>
      </c>
      <c r="G37" s="54" t="s">
        <v>32</v>
      </c>
      <c r="H37" s="55">
        <v>49.5</v>
      </c>
      <c r="I37" s="56">
        <v>53.92</v>
      </c>
      <c r="J37" s="55">
        <v>2669</v>
      </c>
      <c r="K37" s="63">
        <v>0</v>
      </c>
      <c r="L37" s="64">
        <f t="shared" si="0"/>
        <v>53.92</v>
      </c>
      <c r="M37" s="196">
        <f t="shared" si="1"/>
        <v>0</v>
      </c>
      <c r="N37" s="66">
        <f t="shared" si="2"/>
        <v>49.5</v>
      </c>
      <c r="O37" s="67">
        <f t="shared" si="3"/>
        <v>53.92</v>
      </c>
      <c r="P37" s="197">
        <f t="shared" si="4"/>
        <v>2669.04</v>
      </c>
    </row>
    <row r="38" spans="2:21" s="160" customFormat="1" ht="12.75" x14ac:dyDescent="0.2">
      <c r="B38" s="2"/>
      <c r="C38" s="223"/>
      <c r="D38" s="221" t="s">
        <v>3</v>
      </c>
      <c r="E38" s="227" t="s">
        <v>33</v>
      </c>
      <c r="F38" s="227" t="s">
        <v>112</v>
      </c>
      <c r="G38" s="223"/>
      <c r="H38" s="223"/>
      <c r="I38" s="224"/>
      <c r="J38" s="228">
        <v>22478.7</v>
      </c>
      <c r="K38" s="226"/>
      <c r="L38" s="211"/>
      <c r="M38" s="209">
        <f>SUM(M39:M40)</f>
        <v>0</v>
      </c>
      <c r="N38" s="210"/>
      <c r="O38" s="211"/>
      <c r="P38" s="209">
        <f>SUM(P39:P40)</f>
        <v>22478.720000000005</v>
      </c>
    </row>
    <row r="39" spans="2:21" s="114" customFormat="1" ht="12" x14ac:dyDescent="0.2">
      <c r="B39" s="1"/>
      <c r="C39" s="51" t="s">
        <v>113</v>
      </c>
      <c r="D39" s="51" t="s">
        <v>29</v>
      </c>
      <c r="E39" s="52" t="s">
        <v>114</v>
      </c>
      <c r="F39" s="53" t="s">
        <v>115</v>
      </c>
      <c r="G39" s="54" t="s">
        <v>58</v>
      </c>
      <c r="H39" s="55">
        <v>1</v>
      </c>
      <c r="I39" s="56">
        <v>644.70000000000005</v>
      </c>
      <c r="J39" s="55">
        <v>644.70000000000005</v>
      </c>
      <c r="K39" s="63">
        <v>0</v>
      </c>
      <c r="L39" s="64">
        <f t="shared" si="0"/>
        <v>644.70000000000005</v>
      </c>
      <c r="M39" s="196">
        <f t="shared" si="1"/>
        <v>0</v>
      </c>
      <c r="N39" s="66">
        <f t="shared" si="2"/>
        <v>1</v>
      </c>
      <c r="O39" s="67">
        <f t="shared" si="3"/>
        <v>644.70000000000005</v>
      </c>
      <c r="P39" s="197">
        <f t="shared" si="4"/>
        <v>644.70000000000005</v>
      </c>
    </row>
    <row r="40" spans="2:21" s="114" customFormat="1" ht="12" x14ac:dyDescent="0.2">
      <c r="B40" s="1"/>
      <c r="C40" s="51" t="s">
        <v>116</v>
      </c>
      <c r="D40" s="51" t="s">
        <v>29</v>
      </c>
      <c r="E40" s="52" t="s">
        <v>117</v>
      </c>
      <c r="F40" s="53" t="s">
        <v>118</v>
      </c>
      <c r="G40" s="54" t="s">
        <v>58</v>
      </c>
      <c r="H40" s="55">
        <v>6.5</v>
      </c>
      <c r="I40" s="56">
        <v>3359.0800000000004</v>
      </c>
      <c r="J40" s="55">
        <v>21834</v>
      </c>
      <c r="K40" s="63">
        <v>0</v>
      </c>
      <c r="L40" s="64">
        <f t="shared" si="0"/>
        <v>3359.0800000000004</v>
      </c>
      <c r="M40" s="196">
        <f t="shared" si="1"/>
        <v>0</v>
      </c>
      <c r="N40" s="66">
        <f t="shared" si="2"/>
        <v>6.5</v>
      </c>
      <c r="O40" s="67">
        <f t="shared" si="3"/>
        <v>3359.0800000000004</v>
      </c>
      <c r="P40" s="197">
        <f t="shared" si="4"/>
        <v>21834.020000000004</v>
      </c>
    </row>
    <row r="41" spans="2:21" s="160" customFormat="1" ht="12.75" x14ac:dyDescent="0.2">
      <c r="B41" s="2"/>
      <c r="C41" s="223"/>
      <c r="D41" s="221" t="s">
        <v>3</v>
      </c>
      <c r="E41" s="227" t="s">
        <v>34</v>
      </c>
      <c r="F41" s="227" t="s">
        <v>35</v>
      </c>
      <c r="G41" s="223"/>
      <c r="H41" s="223"/>
      <c r="I41" s="224"/>
      <c r="J41" s="228">
        <v>101213.6</v>
      </c>
      <c r="K41" s="226"/>
      <c r="L41" s="211"/>
      <c r="M41" s="209">
        <f>SUM(M42:M46)</f>
        <v>0</v>
      </c>
      <c r="N41" s="210"/>
      <c r="O41" s="211"/>
      <c r="P41" s="209">
        <f>SUM(P42:P46)</f>
        <v>101213.53</v>
      </c>
    </row>
    <row r="42" spans="2:21" s="114" customFormat="1" ht="12" x14ac:dyDescent="0.2">
      <c r="B42" s="1"/>
      <c r="C42" s="51" t="s">
        <v>119</v>
      </c>
      <c r="D42" s="51" t="s">
        <v>29</v>
      </c>
      <c r="E42" s="52" t="s">
        <v>120</v>
      </c>
      <c r="F42" s="53" t="s">
        <v>121</v>
      </c>
      <c r="G42" s="54" t="s">
        <v>32</v>
      </c>
      <c r="H42" s="55">
        <v>60.5</v>
      </c>
      <c r="I42" s="56">
        <v>302.54000000000002</v>
      </c>
      <c r="J42" s="55">
        <v>18303.7</v>
      </c>
      <c r="K42" s="63">
        <v>0</v>
      </c>
      <c r="L42" s="64">
        <f t="shared" si="0"/>
        <v>302.54000000000002</v>
      </c>
      <c r="M42" s="196">
        <f t="shared" si="1"/>
        <v>0</v>
      </c>
      <c r="N42" s="66">
        <f t="shared" si="2"/>
        <v>60.5</v>
      </c>
      <c r="O42" s="67">
        <f t="shared" si="3"/>
        <v>302.54000000000002</v>
      </c>
      <c r="P42" s="197">
        <f t="shared" si="4"/>
        <v>18303.670000000002</v>
      </c>
    </row>
    <row r="43" spans="2:21" s="114" customFormat="1" ht="12" x14ac:dyDescent="0.2">
      <c r="B43" s="1"/>
      <c r="C43" s="51" t="s">
        <v>122</v>
      </c>
      <c r="D43" s="51" t="s">
        <v>29</v>
      </c>
      <c r="E43" s="52" t="s">
        <v>126</v>
      </c>
      <c r="F43" s="53" t="s">
        <v>127</v>
      </c>
      <c r="G43" s="54" t="s">
        <v>32</v>
      </c>
      <c r="H43" s="55">
        <v>60.5</v>
      </c>
      <c r="I43" s="56">
        <v>14.18</v>
      </c>
      <c r="J43" s="55">
        <v>857.9</v>
      </c>
      <c r="K43" s="63">
        <v>0</v>
      </c>
      <c r="L43" s="64">
        <f t="shared" si="0"/>
        <v>14.18</v>
      </c>
      <c r="M43" s="196">
        <f t="shared" si="1"/>
        <v>0</v>
      </c>
      <c r="N43" s="66">
        <f t="shared" si="2"/>
        <v>60.5</v>
      </c>
      <c r="O43" s="67">
        <f t="shared" si="3"/>
        <v>14.18</v>
      </c>
      <c r="P43" s="197">
        <f t="shared" si="4"/>
        <v>857.89</v>
      </c>
    </row>
    <row r="44" spans="2:21" s="114" customFormat="1" ht="12" x14ac:dyDescent="0.2">
      <c r="B44" s="1"/>
      <c r="C44" s="51" t="s">
        <v>125</v>
      </c>
      <c r="D44" s="51" t="s">
        <v>29</v>
      </c>
      <c r="E44" s="52" t="s">
        <v>36</v>
      </c>
      <c r="F44" s="53" t="s">
        <v>37</v>
      </c>
      <c r="G44" s="54" t="s">
        <v>32</v>
      </c>
      <c r="H44" s="55">
        <v>115.5</v>
      </c>
      <c r="I44" s="56">
        <v>20.62</v>
      </c>
      <c r="J44" s="55">
        <v>2381.6</v>
      </c>
      <c r="K44" s="63">
        <v>0</v>
      </c>
      <c r="L44" s="64">
        <f t="shared" si="0"/>
        <v>20.62</v>
      </c>
      <c r="M44" s="196">
        <f t="shared" si="1"/>
        <v>0</v>
      </c>
      <c r="N44" s="66">
        <f t="shared" si="2"/>
        <v>115.5</v>
      </c>
      <c r="O44" s="67">
        <f t="shared" si="3"/>
        <v>20.62</v>
      </c>
      <c r="P44" s="197">
        <f t="shared" si="4"/>
        <v>2381.61</v>
      </c>
    </row>
    <row r="45" spans="2:21" s="114" customFormat="1" ht="12" x14ac:dyDescent="0.2">
      <c r="B45" s="1"/>
      <c r="C45" s="51" t="s">
        <v>128</v>
      </c>
      <c r="D45" s="51" t="s">
        <v>29</v>
      </c>
      <c r="E45" s="52" t="s">
        <v>38</v>
      </c>
      <c r="F45" s="53" t="s">
        <v>39</v>
      </c>
      <c r="G45" s="54" t="s">
        <v>32</v>
      </c>
      <c r="H45" s="55">
        <v>115.5</v>
      </c>
      <c r="I45" s="56">
        <v>396.71</v>
      </c>
      <c r="J45" s="55">
        <v>45820</v>
      </c>
      <c r="K45" s="63">
        <v>0</v>
      </c>
      <c r="L45" s="64">
        <f t="shared" si="0"/>
        <v>396.71</v>
      </c>
      <c r="M45" s="196">
        <f t="shared" si="1"/>
        <v>0</v>
      </c>
      <c r="N45" s="66">
        <f t="shared" si="2"/>
        <v>115.5</v>
      </c>
      <c r="O45" s="67">
        <f t="shared" si="3"/>
        <v>396.71</v>
      </c>
      <c r="P45" s="197">
        <f t="shared" si="4"/>
        <v>45820.004999999997</v>
      </c>
    </row>
    <row r="46" spans="2:21" s="114" customFormat="1" ht="12" x14ac:dyDescent="0.2">
      <c r="B46" s="1"/>
      <c r="C46" s="51" t="s">
        <v>129</v>
      </c>
      <c r="D46" s="51" t="s">
        <v>29</v>
      </c>
      <c r="E46" s="52" t="s">
        <v>131</v>
      </c>
      <c r="F46" s="53" t="s">
        <v>132</v>
      </c>
      <c r="G46" s="54" t="s">
        <v>32</v>
      </c>
      <c r="H46" s="55">
        <v>60.5</v>
      </c>
      <c r="I46" s="56">
        <v>559.51</v>
      </c>
      <c r="J46" s="55">
        <v>33850.400000000001</v>
      </c>
      <c r="K46" s="63">
        <v>0</v>
      </c>
      <c r="L46" s="64">
        <f t="shared" si="0"/>
        <v>559.51</v>
      </c>
      <c r="M46" s="196">
        <f t="shared" si="1"/>
        <v>0</v>
      </c>
      <c r="N46" s="66">
        <f t="shared" si="2"/>
        <v>60.5</v>
      </c>
      <c r="O46" s="67">
        <f t="shared" si="3"/>
        <v>559.51</v>
      </c>
      <c r="P46" s="197">
        <f t="shared" si="4"/>
        <v>33850.354999999996</v>
      </c>
    </row>
    <row r="47" spans="2:21" s="160" customFormat="1" ht="12.75" x14ac:dyDescent="0.2">
      <c r="B47" s="2"/>
      <c r="C47" s="223"/>
      <c r="D47" s="221" t="s">
        <v>3</v>
      </c>
      <c r="E47" s="227" t="s">
        <v>62</v>
      </c>
      <c r="F47" s="227" t="s">
        <v>140</v>
      </c>
      <c r="G47" s="223"/>
      <c r="H47" s="223"/>
      <c r="I47" s="224"/>
      <c r="J47" s="228">
        <v>473204</v>
      </c>
      <c r="K47" s="226"/>
      <c r="L47" s="211"/>
      <c r="M47" s="209">
        <f>SUM(M48:M63)</f>
        <v>0</v>
      </c>
      <c r="N47" s="210"/>
      <c r="O47" s="211"/>
      <c r="P47" s="209">
        <f>SUM(P48:P63)</f>
        <v>473203.97</v>
      </c>
    </row>
    <row r="48" spans="2:21" s="114" customFormat="1" ht="12" x14ac:dyDescent="0.2">
      <c r="B48" s="1"/>
      <c r="C48" s="51" t="s">
        <v>130</v>
      </c>
      <c r="D48" s="51" t="s">
        <v>29</v>
      </c>
      <c r="E48" s="52" t="s">
        <v>400</v>
      </c>
      <c r="F48" s="53" t="s">
        <v>401</v>
      </c>
      <c r="G48" s="54" t="s">
        <v>54</v>
      </c>
      <c r="H48" s="55">
        <v>100</v>
      </c>
      <c r="I48" s="56">
        <v>61.82</v>
      </c>
      <c r="J48" s="55">
        <v>6182</v>
      </c>
      <c r="K48" s="63">
        <v>0</v>
      </c>
      <c r="L48" s="64">
        <f t="shared" si="0"/>
        <v>61.82</v>
      </c>
      <c r="M48" s="196">
        <f t="shared" si="1"/>
        <v>0</v>
      </c>
      <c r="N48" s="66">
        <f t="shared" si="2"/>
        <v>100</v>
      </c>
      <c r="O48" s="67">
        <f t="shared" si="3"/>
        <v>61.82</v>
      </c>
      <c r="P48" s="197">
        <f t="shared" si="4"/>
        <v>6182</v>
      </c>
    </row>
    <row r="49" spans="2:20" s="114" customFormat="1" ht="12" x14ac:dyDescent="0.2">
      <c r="B49" s="1"/>
      <c r="C49" s="73" t="s">
        <v>134</v>
      </c>
      <c r="D49" s="73" t="s">
        <v>106</v>
      </c>
      <c r="E49" s="74" t="s">
        <v>402</v>
      </c>
      <c r="F49" s="75" t="s">
        <v>403</v>
      </c>
      <c r="G49" s="76" t="s">
        <v>54</v>
      </c>
      <c r="H49" s="77">
        <v>100</v>
      </c>
      <c r="I49" s="78">
        <v>67.08</v>
      </c>
      <c r="J49" s="77">
        <v>6708</v>
      </c>
      <c r="K49" s="63">
        <v>0</v>
      </c>
      <c r="L49" s="64">
        <f t="shared" si="0"/>
        <v>67.08</v>
      </c>
      <c r="M49" s="196">
        <f t="shared" si="1"/>
        <v>0</v>
      </c>
      <c r="N49" s="66">
        <f t="shared" si="2"/>
        <v>100</v>
      </c>
      <c r="O49" s="67">
        <f t="shared" si="3"/>
        <v>67.08</v>
      </c>
      <c r="P49" s="197">
        <f t="shared" si="4"/>
        <v>6708</v>
      </c>
    </row>
    <row r="50" spans="2:20" s="114" customFormat="1" ht="12" x14ac:dyDescent="0.2">
      <c r="B50" s="1"/>
      <c r="C50" s="51" t="s">
        <v>137</v>
      </c>
      <c r="D50" s="51" t="s">
        <v>29</v>
      </c>
      <c r="E50" s="52" t="s">
        <v>404</v>
      </c>
      <c r="F50" s="53" t="s">
        <v>405</v>
      </c>
      <c r="G50" s="54" t="s">
        <v>144</v>
      </c>
      <c r="H50" s="55">
        <v>50</v>
      </c>
      <c r="I50" s="56">
        <v>115.74</v>
      </c>
      <c r="J50" s="55">
        <v>5787</v>
      </c>
      <c r="K50" s="63">
        <v>0</v>
      </c>
      <c r="L50" s="64">
        <f t="shared" si="0"/>
        <v>115.74</v>
      </c>
      <c r="M50" s="196">
        <f t="shared" si="1"/>
        <v>0</v>
      </c>
      <c r="N50" s="66">
        <f t="shared" si="2"/>
        <v>50</v>
      </c>
      <c r="O50" s="67">
        <f t="shared" si="3"/>
        <v>115.74</v>
      </c>
      <c r="P50" s="197">
        <f t="shared" si="4"/>
        <v>5787</v>
      </c>
    </row>
    <row r="51" spans="2:20" s="114" customFormat="1" ht="12" x14ac:dyDescent="0.2">
      <c r="B51" s="1"/>
      <c r="C51" s="73" t="s">
        <v>141</v>
      </c>
      <c r="D51" s="73" t="s">
        <v>106</v>
      </c>
      <c r="E51" s="74" t="s">
        <v>406</v>
      </c>
      <c r="F51" s="75" t="s">
        <v>407</v>
      </c>
      <c r="G51" s="76" t="s">
        <v>157</v>
      </c>
      <c r="H51" s="77">
        <v>50</v>
      </c>
      <c r="I51" s="78">
        <v>3352.49</v>
      </c>
      <c r="J51" s="77">
        <v>167624.5</v>
      </c>
      <c r="K51" s="63">
        <v>0</v>
      </c>
      <c r="L51" s="64">
        <f t="shared" si="0"/>
        <v>3352.49</v>
      </c>
      <c r="M51" s="196">
        <f t="shared" si="1"/>
        <v>0</v>
      </c>
      <c r="N51" s="66">
        <f t="shared" si="2"/>
        <v>50</v>
      </c>
      <c r="O51" s="67">
        <f t="shared" si="3"/>
        <v>3352.49</v>
      </c>
      <c r="P51" s="197">
        <f t="shared" si="4"/>
        <v>167624.5</v>
      </c>
    </row>
    <row r="52" spans="2:20" s="114" customFormat="1" ht="12" x14ac:dyDescent="0.2">
      <c r="B52" s="1"/>
      <c r="C52" s="73" t="s">
        <v>145</v>
      </c>
      <c r="D52" s="73" t="s">
        <v>106</v>
      </c>
      <c r="E52" s="74" t="s">
        <v>408</v>
      </c>
      <c r="F52" s="75" t="s">
        <v>409</v>
      </c>
      <c r="G52" s="76" t="s">
        <v>157</v>
      </c>
      <c r="H52" s="77">
        <v>50</v>
      </c>
      <c r="I52" s="78">
        <v>386.67</v>
      </c>
      <c r="J52" s="77">
        <v>19333.5</v>
      </c>
      <c r="K52" s="63">
        <v>0</v>
      </c>
      <c r="L52" s="64">
        <f t="shared" si="0"/>
        <v>386.67</v>
      </c>
      <c r="M52" s="196">
        <f t="shared" si="1"/>
        <v>0</v>
      </c>
      <c r="N52" s="66">
        <f t="shared" si="2"/>
        <v>50</v>
      </c>
      <c r="O52" s="67">
        <f t="shared" si="3"/>
        <v>386.67</v>
      </c>
      <c r="P52" s="197">
        <f t="shared" si="4"/>
        <v>19333.5</v>
      </c>
    </row>
    <row r="53" spans="2:20" s="114" customFormat="1" ht="12" x14ac:dyDescent="0.2">
      <c r="B53" s="1"/>
      <c r="C53" s="73" t="s">
        <v>148</v>
      </c>
      <c r="D53" s="73" t="s">
        <v>106</v>
      </c>
      <c r="E53" s="74" t="s">
        <v>410</v>
      </c>
      <c r="F53" s="75" t="s">
        <v>411</v>
      </c>
      <c r="G53" s="76" t="s">
        <v>157</v>
      </c>
      <c r="H53" s="77">
        <v>50</v>
      </c>
      <c r="I53" s="78">
        <v>372.21</v>
      </c>
      <c r="J53" s="77">
        <v>18610.5</v>
      </c>
      <c r="K53" s="63">
        <v>0</v>
      </c>
      <c r="L53" s="64">
        <f t="shared" si="0"/>
        <v>372.21</v>
      </c>
      <c r="M53" s="196">
        <f t="shared" si="1"/>
        <v>0</v>
      </c>
      <c r="N53" s="66">
        <f t="shared" si="2"/>
        <v>50</v>
      </c>
      <c r="O53" s="67">
        <f t="shared" si="3"/>
        <v>372.21</v>
      </c>
      <c r="P53" s="197">
        <f t="shared" si="4"/>
        <v>18610.5</v>
      </c>
    </row>
    <row r="54" spans="2:20" s="114" customFormat="1" ht="12" x14ac:dyDescent="0.2">
      <c r="B54" s="1"/>
      <c r="C54" s="73" t="s">
        <v>151</v>
      </c>
      <c r="D54" s="73" t="s">
        <v>106</v>
      </c>
      <c r="E54" s="74" t="s">
        <v>412</v>
      </c>
      <c r="F54" s="75" t="s">
        <v>413</v>
      </c>
      <c r="G54" s="76" t="s">
        <v>157</v>
      </c>
      <c r="H54" s="77">
        <v>50</v>
      </c>
      <c r="I54" s="78">
        <v>1070.5899999999999</v>
      </c>
      <c r="J54" s="77">
        <v>53529.5</v>
      </c>
      <c r="K54" s="63">
        <v>0</v>
      </c>
      <c r="L54" s="64">
        <f t="shared" si="0"/>
        <v>1070.5899999999999</v>
      </c>
      <c r="M54" s="196">
        <f t="shared" si="1"/>
        <v>0</v>
      </c>
      <c r="N54" s="66">
        <f t="shared" si="2"/>
        <v>50</v>
      </c>
      <c r="O54" s="67">
        <f t="shared" si="3"/>
        <v>1070.5899999999999</v>
      </c>
      <c r="P54" s="197">
        <f t="shared" si="4"/>
        <v>53529.499999999993</v>
      </c>
    </row>
    <row r="55" spans="2:20" s="114" customFormat="1" ht="12" x14ac:dyDescent="0.2">
      <c r="B55" s="1"/>
      <c r="C55" s="51" t="s">
        <v>154</v>
      </c>
      <c r="D55" s="51" t="s">
        <v>29</v>
      </c>
      <c r="E55" s="52" t="s">
        <v>414</v>
      </c>
      <c r="F55" s="53" t="s">
        <v>415</v>
      </c>
      <c r="G55" s="54" t="s">
        <v>144</v>
      </c>
      <c r="H55" s="55">
        <v>50</v>
      </c>
      <c r="I55" s="56">
        <v>548.45000000000005</v>
      </c>
      <c r="J55" s="55">
        <v>27422.5</v>
      </c>
      <c r="K55" s="63">
        <v>0</v>
      </c>
      <c r="L55" s="64">
        <f t="shared" si="0"/>
        <v>548.45000000000005</v>
      </c>
      <c r="M55" s="196">
        <f t="shared" si="1"/>
        <v>0</v>
      </c>
      <c r="N55" s="66">
        <f t="shared" si="2"/>
        <v>50</v>
      </c>
      <c r="O55" s="67">
        <f t="shared" si="3"/>
        <v>548.45000000000005</v>
      </c>
      <c r="P55" s="197">
        <f t="shared" si="4"/>
        <v>27422.500000000004</v>
      </c>
    </row>
    <row r="56" spans="2:20" s="114" customFormat="1" ht="12" x14ac:dyDescent="0.2">
      <c r="B56" s="1"/>
      <c r="C56" s="73" t="s">
        <v>158</v>
      </c>
      <c r="D56" s="73" t="s">
        <v>106</v>
      </c>
      <c r="E56" s="74" t="s">
        <v>416</v>
      </c>
      <c r="F56" s="75" t="s">
        <v>417</v>
      </c>
      <c r="G56" s="76" t="s">
        <v>157</v>
      </c>
      <c r="H56" s="77">
        <v>50</v>
      </c>
      <c r="I56" s="78">
        <v>1058.75</v>
      </c>
      <c r="J56" s="77">
        <v>52937.5</v>
      </c>
      <c r="K56" s="63">
        <v>0</v>
      </c>
      <c r="L56" s="64">
        <f t="shared" si="0"/>
        <v>1058.75</v>
      </c>
      <c r="M56" s="196">
        <f t="shared" si="1"/>
        <v>0</v>
      </c>
      <c r="N56" s="66">
        <f t="shared" si="2"/>
        <v>50</v>
      </c>
      <c r="O56" s="67">
        <f t="shared" si="3"/>
        <v>1058.75</v>
      </c>
      <c r="P56" s="197">
        <f t="shared" si="4"/>
        <v>52937.5</v>
      </c>
    </row>
    <row r="57" spans="2:20" s="114" customFormat="1" ht="12" x14ac:dyDescent="0.2">
      <c r="B57" s="1"/>
      <c r="C57" s="51" t="s">
        <v>162</v>
      </c>
      <c r="D57" s="51" t="s">
        <v>29</v>
      </c>
      <c r="E57" s="52" t="s">
        <v>178</v>
      </c>
      <c r="F57" s="53" t="s">
        <v>179</v>
      </c>
      <c r="G57" s="54" t="s">
        <v>54</v>
      </c>
      <c r="H57" s="55">
        <v>100</v>
      </c>
      <c r="I57" s="56">
        <v>19.73</v>
      </c>
      <c r="J57" s="55">
        <v>1973</v>
      </c>
      <c r="K57" s="63">
        <v>0</v>
      </c>
      <c r="L57" s="64">
        <f t="shared" si="0"/>
        <v>19.73</v>
      </c>
      <c r="M57" s="196">
        <f t="shared" si="1"/>
        <v>0</v>
      </c>
      <c r="N57" s="66">
        <f t="shared" si="2"/>
        <v>100</v>
      </c>
      <c r="O57" s="67">
        <f t="shared" si="3"/>
        <v>19.73</v>
      </c>
      <c r="P57" s="197">
        <f t="shared" si="4"/>
        <v>1973</v>
      </c>
      <c r="T57" s="253" t="s">
        <v>571</v>
      </c>
    </row>
    <row r="58" spans="2:20" s="114" customFormat="1" ht="12" x14ac:dyDescent="0.2">
      <c r="B58" s="1"/>
      <c r="C58" s="51" t="s">
        <v>165</v>
      </c>
      <c r="D58" s="51" t="s">
        <v>29</v>
      </c>
      <c r="E58" s="52" t="s">
        <v>181</v>
      </c>
      <c r="F58" s="53" t="s">
        <v>182</v>
      </c>
      <c r="G58" s="54" t="s">
        <v>54</v>
      </c>
      <c r="H58" s="55">
        <v>100</v>
      </c>
      <c r="I58" s="56">
        <v>13.15</v>
      </c>
      <c r="J58" s="55">
        <v>1315</v>
      </c>
      <c r="K58" s="63">
        <v>0</v>
      </c>
      <c r="L58" s="64">
        <f t="shared" si="0"/>
        <v>13.15</v>
      </c>
      <c r="M58" s="196">
        <f t="shared" si="1"/>
        <v>0</v>
      </c>
      <c r="N58" s="66">
        <f t="shared" si="2"/>
        <v>100</v>
      </c>
      <c r="O58" s="67">
        <f t="shared" si="3"/>
        <v>13.15</v>
      </c>
      <c r="P58" s="197">
        <f t="shared" si="4"/>
        <v>1315</v>
      </c>
      <c r="T58" s="253"/>
    </row>
    <row r="59" spans="2:20" s="114" customFormat="1" ht="12" x14ac:dyDescent="0.2">
      <c r="B59" s="1"/>
      <c r="C59" s="51" t="s">
        <v>168</v>
      </c>
      <c r="D59" s="51" t="s">
        <v>29</v>
      </c>
      <c r="E59" s="52" t="s">
        <v>418</v>
      </c>
      <c r="F59" s="53" t="s">
        <v>419</v>
      </c>
      <c r="G59" s="54" t="s">
        <v>144</v>
      </c>
      <c r="H59" s="55">
        <v>17</v>
      </c>
      <c r="I59" s="56">
        <v>1262.6099999999999</v>
      </c>
      <c r="J59" s="55">
        <v>21464.400000000001</v>
      </c>
      <c r="K59" s="63">
        <v>0</v>
      </c>
      <c r="L59" s="64">
        <f t="shared" si="0"/>
        <v>1262.6099999999999</v>
      </c>
      <c r="M59" s="196">
        <f t="shared" si="1"/>
        <v>0</v>
      </c>
      <c r="N59" s="66">
        <f t="shared" si="2"/>
        <v>17</v>
      </c>
      <c r="O59" s="67">
        <f t="shared" si="3"/>
        <v>1262.6099999999999</v>
      </c>
      <c r="P59" s="197">
        <f t="shared" si="4"/>
        <v>21464.37</v>
      </c>
    </row>
    <row r="60" spans="2:20" s="114" customFormat="1" ht="12" x14ac:dyDescent="0.2">
      <c r="B60" s="1"/>
      <c r="C60" s="51" t="s">
        <v>171</v>
      </c>
      <c r="D60" s="51" t="s">
        <v>29</v>
      </c>
      <c r="E60" s="52" t="s">
        <v>420</v>
      </c>
      <c r="F60" s="53" t="s">
        <v>421</v>
      </c>
      <c r="G60" s="54" t="s">
        <v>144</v>
      </c>
      <c r="H60" s="55">
        <v>50</v>
      </c>
      <c r="I60" s="56">
        <v>399.83</v>
      </c>
      <c r="J60" s="55">
        <v>19991.5</v>
      </c>
      <c r="K60" s="63">
        <v>0</v>
      </c>
      <c r="L60" s="64">
        <f t="shared" si="0"/>
        <v>399.83</v>
      </c>
      <c r="M60" s="196">
        <f t="shared" si="1"/>
        <v>0</v>
      </c>
      <c r="N60" s="66">
        <f t="shared" si="2"/>
        <v>50</v>
      </c>
      <c r="O60" s="67">
        <f t="shared" si="3"/>
        <v>399.83</v>
      </c>
      <c r="P60" s="197">
        <f t="shared" si="4"/>
        <v>19991.5</v>
      </c>
      <c r="T60" s="190" t="s">
        <v>570</v>
      </c>
    </row>
    <row r="61" spans="2:20" s="114" customFormat="1" ht="12" x14ac:dyDescent="0.2">
      <c r="B61" s="1"/>
      <c r="C61" s="73" t="s">
        <v>174</v>
      </c>
      <c r="D61" s="73" t="s">
        <v>106</v>
      </c>
      <c r="E61" s="74" t="s">
        <v>422</v>
      </c>
      <c r="F61" s="75" t="s">
        <v>423</v>
      </c>
      <c r="G61" s="76" t="s">
        <v>157</v>
      </c>
      <c r="H61" s="77">
        <v>50</v>
      </c>
      <c r="I61" s="78">
        <v>1211.32</v>
      </c>
      <c r="J61" s="77">
        <v>60566</v>
      </c>
      <c r="K61" s="63">
        <v>0</v>
      </c>
      <c r="L61" s="64">
        <f t="shared" si="0"/>
        <v>1211.32</v>
      </c>
      <c r="M61" s="196">
        <f t="shared" si="1"/>
        <v>0</v>
      </c>
      <c r="N61" s="66">
        <f t="shared" si="2"/>
        <v>50</v>
      </c>
      <c r="O61" s="67">
        <f t="shared" si="3"/>
        <v>1211.32</v>
      </c>
      <c r="P61" s="197">
        <f t="shared" si="4"/>
        <v>60566</v>
      </c>
    </row>
    <row r="62" spans="2:20" s="114" customFormat="1" ht="12" x14ac:dyDescent="0.2">
      <c r="B62" s="1"/>
      <c r="C62" s="73" t="s">
        <v>177</v>
      </c>
      <c r="D62" s="73" t="s">
        <v>106</v>
      </c>
      <c r="E62" s="74" t="s">
        <v>254</v>
      </c>
      <c r="F62" s="75" t="s">
        <v>255</v>
      </c>
      <c r="G62" s="76" t="s">
        <v>157</v>
      </c>
      <c r="H62" s="77">
        <v>50</v>
      </c>
      <c r="I62" s="78">
        <v>174.92</v>
      </c>
      <c r="J62" s="77">
        <v>8746</v>
      </c>
      <c r="K62" s="63">
        <v>0</v>
      </c>
      <c r="L62" s="64">
        <f t="shared" si="0"/>
        <v>174.92</v>
      </c>
      <c r="M62" s="196">
        <f t="shared" si="1"/>
        <v>0</v>
      </c>
      <c r="N62" s="66">
        <f t="shared" si="2"/>
        <v>50</v>
      </c>
      <c r="O62" s="67">
        <f t="shared" si="3"/>
        <v>174.92</v>
      </c>
      <c r="P62" s="197">
        <f t="shared" si="4"/>
        <v>8746</v>
      </c>
    </row>
    <row r="63" spans="2:20" s="114" customFormat="1" ht="12" x14ac:dyDescent="0.2">
      <c r="B63" s="1"/>
      <c r="C63" s="51" t="s">
        <v>180</v>
      </c>
      <c r="D63" s="51" t="s">
        <v>29</v>
      </c>
      <c r="E63" s="52" t="s">
        <v>197</v>
      </c>
      <c r="F63" s="53" t="s">
        <v>198</v>
      </c>
      <c r="G63" s="54" t="s">
        <v>54</v>
      </c>
      <c r="H63" s="55">
        <v>110</v>
      </c>
      <c r="I63" s="56">
        <v>9.2100000000000009</v>
      </c>
      <c r="J63" s="55">
        <v>1013.1</v>
      </c>
      <c r="K63" s="63">
        <v>0</v>
      </c>
      <c r="L63" s="64">
        <f t="shared" si="0"/>
        <v>9.2100000000000009</v>
      </c>
      <c r="M63" s="196">
        <f t="shared" si="1"/>
        <v>0</v>
      </c>
      <c r="N63" s="66">
        <f t="shared" si="2"/>
        <v>110</v>
      </c>
      <c r="O63" s="67">
        <f t="shared" si="3"/>
        <v>9.2100000000000009</v>
      </c>
      <c r="P63" s="197">
        <f t="shared" si="4"/>
        <v>1013.1000000000001</v>
      </c>
    </row>
    <row r="64" spans="2:20" s="160" customFormat="1" ht="12.75" x14ac:dyDescent="0.2">
      <c r="B64" s="2"/>
      <c r="C64" s="223"/>
      <c r="D64" s="221" t="s">
        <v>3</v>
      </c>
      <c r="E64" s="227" t="s">
        <v>65</v>
      </c>
      <c r="F64" s="227" t="s">
        <v>263</v>
      </c>
      <c r="G64" s="223"/>
      <c r="H64" s="223"/>
      <c r="I64" s="224"/>
      <c r="J64" s="228">
        <v>17598.900000000001</v>
      </c>
      <c r="K64" s="226"/>
      <c r="L64" s="211"/>
      <c r="M64" s="209">
        <f>SUM(M65:M66)</f>
        <v>0</v>
      </c>
      <c r="N64" s="210"/>
      <c r="O64" s="211"/>
      <c r="P64" s="209">
        <f>SUM(P65:P66)</f>
        <v>17598.900000000001</v>
      </c>
    </row>
    <row r="65" spans="2:20" s="114" customFormat="1" ht="12" x14ac:dyDescent="0.2">
      <c r="B65" s="1"/>
      <c r="C65" s="51" t="s">
        <v>183</v>
      </c>
      <c r="D65" s="51" t="s">
        <v>29</v>
      </c>
      <c r="E65" s="52" t="s">
        <v>201</v>
      </c>
      <c r="F65" s="53" t="s">
        <v>202</v>
      </c>
      <c r="G65" s="54" t="s">
        <v>54</v>
      </c>
      <c r="H65" s="55">
        <v>110</v>
      </c>
      <c r="I65" s="56">
        <v>87.65</v>
      </c>
      <c r="J65" s="55">
        <v>9641.5</v>
      </c>
      <c r="K65" s="63">
        <v>0</v>
      </c>
      <c r="L65" s="64">
        <f t="shared" si="0"/>
        <v>87.65</v>
      </c>
      <c r="M65" s="196">
        <f t="shared" si="1"/>
        <v>0</v>
      </c>
      <c r="N65" s="66">
        <f t="shared" si="2"/>
        <v>110</v>
      </c>
      <c r="O65" s="67">
        <f t="shared" si="3"/>
        <v>87.65</v>
      </c>
      <c r="P65" s="197">
        <f t="shared" si="4"/>
        <v>9641.5</v>
      </c>
      <c r="T65" s="255" t="s">
        <v>572</v>
      </c>
    </row>
    <row r="66" spans="2:20" s="114" customFormat="1" ht="12" x14ac:dyDescent="0.2">
      <c r="B66" s="1"/>
      <c r="C66" s="51" t="s">
        <v>187</v>
      </c>
      <c r="D66" s="51" t="s">
        <v>29</v>
      </c>
      <c r="E66" s="52" t="s">
        <v>204</v>
      </c>
      <c r="F66" s="53" t="s">
        <v>205</v>
      </c>
      <c r="G66" s="54" t="s">
        <v>54</v>
      </c>
      <c r="H66" s="55">
        <v>110</v>
      </c>
      <c r="I66" s="56">
        <v>72.34</v>
      </c>
      <c r="J66" s="55">
        <v>7957.4</v>
      </c>
      <c r="K66" s="63">
        <v>0</v>
      </c>
      <c r="L66" s="64">
        <f t="shared" si="0"/>
        <v>72.34</v>
      </c>
      <c r="M66" s="196">
        <f t="shared" si="1"/>
        <v>0</v>
      </c>
      <c r="N66" s="66">
        <f t="shared" si="2"/>
        <v>110</v>
      </c>
      <c r="O66" s="67">
        <f t="shared" si="3"/>
        <v>72.34</v>
      </c>
      <c r="P66" s="197">
        <f t="shared" si="4"/>
        <v>7957.4000000000005</v>
      </c>
      <c r="T66" s="255"/>
    </row>
    <row r="67" spans="2:20" s="160" customFormat="1" ht="12.75" x14ac:dyDescent="0.2">
      <c r="B67" s="2"/>
      <c r="C67" s="223"/>
      <c r="D67" s="221" t="s">
        <v>3</v>
      </c>
      <c r="E67" s="227" t="s">
        <v>40</v>
      </c>
      <c r="F67" s="227" t="s">
        <v>41</v>
      </c>
      <c r="G67" s="223"/>
      <c r="H67" s="223"/>
      <c r="I67" s="224"/>
      <c r="J67" s="228">
        <v>22376.7</v>
      </c>
      <c r="K67" s="226"/>
      <c r="L67" s="211"/>
      <c r="M67" s="209">
        <f>SUM(M68:M70)</f>
        <v>0</v>
      </c>
      <c r="N67" s="210"/>
      <c r="O67" s="211"/>
      <c r="P67" s="209">
        <f>SUM(P68:P70)</f>
        <v>22376.698</v>
      </c>
    </row>
    <row r="68" spans="2:20" s="114" customFormat="1" ht="12" x14ac:dyDescent="0.2">
      <c r="B68" s="1"/>
      <c r="C68" s="51" t="s">
        <v>190</v>
      </c>
      <c r="D68" s="51" t="s">
        <v>29</v>
      </c>
      <c r="E68" s="52" t="s">
        <v>42</v>
      </c>
      <c r="F68" s="53" t="s">
        <v>43</v>
      </c>
      <c r="G68" s="54" t="s">
        <v>44</v>
      </c>
      <c r="H68" s="55">
        <v>56.89</v>
      </c>
      <c r="I68" s="56">
        <v>183.8</v>
      </c>
      <c r="J68" s="55">
        <v>10456.4</v>
      </c>
      <c r="K68" s="63">
        <v>0</v>
      </c>
      <c r="L68" s="64">
        <f t="shared" si="0"/>
        <v>183.8</v>
      </c>
      <c r="M68" s="196">
        <f t="shared" si="1"/>
        <v>0</v>
      </c>
      <c r="N68" s="66">
        <f t="shared" si="2"/>
        <v>56.89</v>
      </c>
      <c r="O68" s="67">
        <f t="shared" si="3"/>
        <v>183.8</v>
      </c>
      <c r="P68" s="197">
        <f t="shared" si="4"/>
        <v>10456.382000000001</v>
      </c>
    </row>
    <row r="69" spans="2:20" s="114" customFormat="1" ht="12" x14ac:dyDescent="0.2">
      <c r="B69" s="1"/>
      <c r="C69" s="51" t="s">
        <v>193</v>
      </c>
      <c r="D69" s="51" t="s">
        <v>29</v>
      </c>
      <c r="E69" s="52" t="s">
        <v>45</v>
      </c>
      <c r="F69" s="53" t="s">
        <v>46</v>
      </c>
      <c r="G69" s="54" t="s">
        <v>44</v>
      </c>
      <c r="H69" s="55">
        <v>30.27</v>
      </c>
      <c r="I69" s="56">
        <v>257.77999999999997</v>
      </c>
      <c r="J69" s="55">
        <v>7803</v>
      </c>
      <c r="K69" s="63">
        <v>0</v>
      </c>
      <c r="L69" s="64">
        <f t="shared" si="0"/>
        <v>257.77999999999997</v>
      </c>
      <c r="M69" s="196">
        <f t="shared" si="1"/>
        <v>0</v>
      </c>
      <c r="N69" s="66">
        <f t="shared" si="2"/>
        <v>30.27</v>
      </c>
      <c r="O69" s="67">
        <f t="shared" si="3"/>
        <v>257.77999999999997</v>
      </c>
      <c r="P69" s="197">
        <f t="shared" si="4"/>
        <v>7803.0005999999994</v>
      </c>
    </row>
    <row r="70" spans="2:20" s="114" customFormat="1" ht="12" x14ac:dyDescent="0.2">
      <c r="B70" s="1"/>
      <c r="C70" s="51" t="s">
        <v>196</v>
      </c>
      <c r="D70" s="51" t="s">
        <v>29</v>
      </c>
      <c r="E70" s="52" t="s">
        <v>209</v>
      </c>
      <c r="F70" s="53" t="s">
        <v>210</v>
      </c>
      <c r="G70" s="54" t="s">
        <v>44</v>
      </c>
      <c r="H70" s="55">
        <v>26.62</v>
      </c>
      <c r="I70" s="56">
        <v>154.66999999999999</v>
      </c>
      <c r="J70" s="55">
        <v>4117.3</v>
      </c>
      <c r="K70" s="63">
        <v>0</v>
      </c>
      <c r="L70" s="64">
        <f t="shared" si="0"/>
        <v>154.66999999999999</v>
      </c>
      <c r="M70" s="196">
        <f t="shared" si="1"/>
        <v>0</v>
      </c>
      <c r="N70" s="66">
        <f t="shared" si="2"/>
        <v>26.62</v>
      </c>
      <c r="O70" s="67">
        <f t="shared" si="3"/>
        <v>154.66999999999999</v>
      </c>
      <c r="P70" s="197">
        <f t="shared" si="4"/>
        <v>4117.3153999999995</v>
      </c>
    </row>
    <row r="71" spans="2:20" s="160" customFormat="1" ht="12.75" x14ac:dyDescent="0.2">
      <c r="B71" s="2"/>
      <c r="C71" s="223"/>
      <c r="D71" s="221" t="s">
        <v>3</v>
      </c>
      <c r="E71" s="227" t="s">
        <v>211</v>
      </c>
      <c r="F71" s="227" t="s">
        <v>212</v>
      </c>
      <c r="G71" s="223"/>
      <c r="H71" s="223"/>
      <c r="I71" s="224"/>
      <c r="J71" s="228">
        <v>16712.2</v>
      </c>
      <c r="K71" s="226"/>
      <c r="L71" s="211"/>
      <c r="M71" s="209">
        <f>M72</f>
        <v>0</v>
      </c>
      <c r="N71" s="210"/>
      <c r="O71" s="211"/>
      <c r="P71" s="209">
        <f>P72</f>
        <v>16712.1852</v>
      </c>
    </row>
    <row r="72" spans="2:20" s="114" customFormat="1" ht="12" x14ac:dyDescent="0.2">
      <c r="B72" s="1"/>
      <c r="C72" s="51" t="s">
        <v>200</v>
      </c>
      <c r="D72" s="51" t="s">
        <v>29</v>
      </c>
      <c r="E72" s="52" t="s">
        <v>424</v>
      </c>
      <c r="F72" s="53" t="s">
        <v>425</v>
      </c>
      <c r="G72" s="54" t="s">
        <v>44</v>
      </c>
      <c r="H72" s="55">
        <v>146.06</v>
      </c>
      <c r="I72" s="56">
        <v>114.42</v>
      </c>
      <c r="J72" s="55">
        <v>16712.2</v>
      </c>
      <c r="K72" s="63">
        <v>0</v>
      </c>
      <c r="L72" s="64">
        <f t="shared" si="0"/>
        <v>114.42</v>
      </c>
      <c r="M72" s="196">
        <f t="shared" si="1"/>
        <v>0</v>
      </c>
      <c r="N72" s="66">
        <f t="shared" si="2"/>
        <v>146.06</v>
      </c>
      <c r="O72" s="67">
        <f t="shared" si="3"/>
        <v>114.42</v>
      </c>
      <c r="P72" s="197">
        <f t="shared" si="4"/>
        <v>16712.1852</v>
      </c>
    </row>
    <row r="73" spans="2:20" s="160" customFormat="1" ht="15" x14ac:dyDescent="0.2">
      <c r="B73" s="2"/>
      <c r="C73" s="223"/>
      <c r="D73" s="221" t="s">
        <v>3</v>
      </c>
      <c r="E73" s="222" t="s">
        <v>426</v>
      </c>
      <c r="F73" s="222" t="s">
        <v>427</v>
      </c>
      <c r="G73" s="223"/>
      <c r="H73" s="223"/>
      <c r="I73" s="224"/>
      <c r="J73" s="225">
        <v>22900.6</v>
      </c>
      <c r="K73" s="226"/>
      <c r="L73" s="211"/>
      <c r="M73" s="209">
        <f>M74</f>
        <v>0</v>
      </c>
      <c r="N73" s="210"/>
      <c r="O73" s="211"/>
      <c r="P73" s="209">
        <f>P74</f>
        <v>22900.6</v>
      </c>
    </row>
    <row r="74" spans="2:20" s="160" customFormat="1" ht="12.75" x14ac:dyDescent="0.2">
      <c r="B74" s="2"/>
      <c r="C74" s="223"/>
      <c r="D74" s="221" t="s">
        <v>3</v>
      </c>
      <c r="E74" s="227" t="s">
        <v>428</v>
      </c>
      <c r="F74" s="227" t="s">
        <v>429</v>
      </c>
      <c r="G74" s="223"/>
      <c r="H74" s="223"/>
      <c r="I74" s="224"/>
      <c r="J74" s="228">
        <v>22900.6</v>
      </c>
      <c r="K74" s="226"/>
      <c r="L74" s="211"/>
      <c r="M74" s="209">
        <f>SUM(M75:M76)</f>
        <v>0</v>
      </c>
      <c r="N74" s="210"/>
      <c r="O74" s="211"/>
      <c r="P74" s="209">
        <f>SUM(P75:P76)</f>
        <v>22900.6</v>
      </c>
    </row>
    <row r="75" spans="2:20" s="114" customFormat="1" ht="12" x14ac:dyDescent="0.2">
      <c r="B75" s="1"/>
      <c r="C75" s="51" t="s">
        <v>203</v>
      </c>
      <c r="D75" s="51" t="s">
        <v>29</v>
      </c>
      <c r="E75" s="52" t="s">
        <v>430</v>
      </c>
      <c r="F75" s="53" t="s">
        <v>431</v>
      </c>
      <c r="G75" s="54" t="s">
        <v>144</v>
      </c>
      <c r="H75" s="55">
        <v>4</v>
      </c>
      <c r="I75" s="56">
        <v>1669.02</v>
      </c>
      <c r="J75" s="55">
        <v>6676.1</v>
      </c>
      <c r="K75" s="63">
        <v>0</v>
      </c>
      <c r="L75" s="64">
        <f t="shared" si="0"/>
        <v>1669.02</v>
      </c>
      <c r="M75" s="196">
        <f t="shared" si="1"/>
        <v>0</v>
      </c>
      <c r="N75" s="66">
        <f t="shared" si="2"/>
        <v>4</v>
      </c>
      <c r="O75" s="67">
        <f t="shared" si="3"/>
        <v>1669.02</v>
      </c>
      <c r="P75" s="197">
        <f t="shared" si="4"/>
        <v>6676.08</v>
      </c>
    </row>
    <row r="76" spans="2:20" s="114" customFormat="1" ht="12" x14ac:dyDescent="0.2">
      <c r="B76" s="1"/>
      <c r="C76" s="51" t="s">
        <v>206</v>
      </c>
      <c r="D76" s="51" t="s">
        <v>29</v>
      </c>
      <c r="E76" s="52" t="s">
        <v>432</v>
      </c>
      <c r="F76" s="53" t="s">
        <v>433</v>
      </c>
      <c r="G76" s="54" t="s">
        <v>434</v>
      </c>
      <c r="H76" s="55">
        <v>4</v>
      </c>
      <c r="I76" s="56">
        <v>4056.1299999999997</v>
      </c>
      <c r="J76" s="55">
        <v>16224.5</v>
      </c>
      <c r="K76" s="63">
        <v>0</v>
      </c>
      <c r="L76" s="64">
        <f t="shared" si="0"/>
        <v>4056.1299999999997</v>
      </c>
      <c r="M76" s="196">
        <f t="shared" si="1"/>
        <v>0</v>
      </c>
      <c r="N76" s="66">
        <f t="shared" si="2"/>
        <v>4</v>
      </c>
      <c r="O76" s="67">
        <f t="shared" si="3"/>
        <v>4056.1299999999997</v>
      </c>
      <c r="P76" s="197">
        <f t="shared" si="4"/>
        <v>16224.519999999999</v>
      </c>
    </row>
    <row r="77" spans="2:20" s="160" customFormat="1" ht="15" x14ac:dyDescent="0.2">
      <c r="B77" s="2"/>
      <c r="C77" s="223"/>
      <c r="D77" s="221" t="s">
        <v>3</v>
      </c>
      <c r="E77" s="222" t="s">
        <v>106</v>
      </c>
      <c r="F77" s="222" t="s">
        <v>216</v>
      </c>
      <c r="G77" s="223"/>
      <c r="H77" s="223"/>
      <c r="I77" s="224"/>
      <c r="J77" s="225">
        <v>4919.2</v>
      </c>
      <c r="K77" s="226"/>
      <c r="L77" s="211"/>
      <c r="M77" s="209">
        <f>M78</f>
        <v>0</v>
      </c>
      <c r="N77" s="210"/>
      <c r="O77" s="211"/>
      <c r="P77" s="209">
        <f>P78</f>
        <v>4919.2000000000007</v>
      </c>
    </row>
    <row r="78" spans="2:20" s="160" customFormat="1" ht="12.75" x14ac:dyDescent="0.2">
      <c r="B78" s="2"/>
      <c r="C78" s="223"/>
      <c r="D78" s="221" t="s">
        <v>3</v>
      </c>
      <c r="E78" s="227" t="s">
        <v>217</v>
      </c>
      <c r="F78" s="227" t="s">
        <v>218</v>
      </c>
      <c r="G78" s="223"/>
      <c r="H78" s="223"/>
      <c r="I78" s="224"/>
      <c r="J78" s="228">
        <v>4919.2</v>
      </c>
      <c r="K78" s="226"/>
      <c r="L78" s="211"/>
      <c r="M78" s="209">
        <f>SUM(M79:M80)</f>
        <v>0</v>
      </c>
      <c r="N78" s="210"/>
      <c r="O78" s="211"/>
      <c r="P78" s="209">
        <f>SUM(P79:P80)</f>
        <v>4919.2000000000007</v>
      </c>
    </row>
    <row r="79" spans="2:20" s="114" customFormat="1" ht="12" x14ac:dyDescent="0.2">
      <c r="B79" s="1"/>
      <c r="C79" s="51" t="s">
        <v>207</v>
      </c>
      <c r="D79" s="51" t="s">
        <v>29</v>
      </c>
      <c r="E79" s="52" t="s">
        <v>220</v>
      </c>
      <c r="F79" s="53" t="s">
        <v>221</v>
      </c>
      <c r="G79" s="54" t="s">
        <v>54</v>
      </c>
      <c r="H79" s="55">
        <v>110</v>
      </c>
      <c r="I79" s="56">
        <v>17.100000000000001</v>
      </c>
      <c r="J79" s="55">
        <v>1881</v>
      </c>
      <c r="K79" s="63">
        <v>0</v>
      </c>
      <c r="L79" s="64">
        <f t="shared" si="0"/>
        <v>17.100000000000001</v>
      </c>
      <c r="M79" s="196">
        <f t="shared" si="1"/>
        <v>0</v>
      </c>
      <c r="N79" s="66">
        <f t="shared" si="2"/>
        <v>110</v>
      </c>
      <c r="O79" s="67">
        <f t="shared" si="3"/>
        <v>17.100000000000001</v>
      </c>
      <c r="P79" s="197">
        <f t="shared" si="4"/>
        <v>1881.0000000000002</v>
      </c>
    </row>
    <row r="80" spans="2:20" s="114" customFormat="1" ht="12" x14ac:dyDescent="0.2">
      <c r="B80" s="1"/>
      <c r="C80" s="73" t="s">
        <v>208</v>
      </c>
      <c r="D80" s="73" t="s">
        <v>106</v>
      </c>
      <c r="E80" s="74" t="s">
        <v>224</v>
      </c>
      <c r="F80" s="75" t="s">
        <v>225</v>
      </c>
      <c r="G80" s="76" t="s">
        <v>54</v>
      </c>
      <c r="H80" s="77">
        <v>110</v>
      </c>
      <c r="I80" s="78">
        <v>27.62</v>
      </c>
      <c r="J80" s="77">
        <v>3038.2</v>
      </c>
      <c r="K80" s="63">
        <v>0</v>
      </c>
      <c r="L80" s="64">
        <f t="shared" ref="L80" si="5">I80</f>
        <v>27.62</v>
      </c>
      <c r="M80" s="196">
        <f t="shared" ref="M80" si="6">K80*L80</f>
        <v>0</v>
      </c>
      <c r="N80" s="66">
        <f t="shared" ref="N80" si="7">H80+K80</f>
        <v>110</v>
      </c>
      <c r="O80" s="67">
        <f t="shared" ref="O80" si="8">I80</f>
        <v>27.62</v>
      </c>
      <c r="P80" s="197">
        <f t="shared" ref="P80" si="9">N80*O80</f>
        <v>3038.2000000000003</v>
      </c>
    </row>
    <row r="81" spans="2:16" s="114" customFormat="1" x14ac:dyDescent="0.2">
      <c r="B81" s="1"/>
      <c r="C81" s="1"/>
      <c r="D81" s="1"/>
      <c r="E81" s="1"/>
      <c r="F81" s="1"/>
      <c r="G81" s="1"/>
      <c r="H81" s="1"/>
      <c r="I81" s="38"/>
      <c r="J81" s="1"/>
    </row>
    <row r="82" spans="2:16" ht="12.75" x14ac:dyDescent="0.2">
      <c r="D82" s="24"/>
      <c r="E82" s="25" t="s">
        <v>527</v>
      </c>
      <c r="F82" s="26"/>
      <c r="G82" s="26"/>
      <c r="H82" s="27"/>
      <c r="I82" s="26"/>
      <c r="J82" s="28">
        <v>903849.5</v>
      </c>
      <c r="K82" s="31"/>
      <c r="L82" s="181"/>
      <c r="M82" s="181">
        <f>M77+M73+M71+M67+M64+M47+M41+M38+M14</f>
        <v>0</v>
      </c>
      <c r="N82" s="31"/>
      <c r="O82" s="181"/>
      <c r="P82" s="181">
        <f>P77+P73+P71+P67+P64+P47+P41+P38+P14</f>
        <v>903849.36899999995</v>
      </c>
    </row>
    <row r="83" spans="2:16" ht="12.75" x14ac:dyDescent="0.2">
      <c r="H83" s="32"/>
      <c r="I83" s="9"/>
      <c r="J83" s="10"/>
    </row>
    <row r="84" spans="2:16" ht="14.25" x14ac:dyDescent="0.2">
      <c r="E84" s="8" t="str">
        <f>+'Rekapitulace stavby'!$B$25</f>
        <v>Zhotovitel: Jiří Prokop</v>
      </c>
      <c r="F84" s="8"/>
      <c r="G84" s="233" t="s">
        <v>592</v>
      </c>
      <c r="H84" s="32"/>
      <c r="I84" s="9"/>
      <c r="J84" s="8"/>
      <c r="M84" s="8" t="s">
        <v>496</v>
      </c>
    </row>
  </sheetData>
  <sheetProtection formatColumns="0" formatRows="0" autoFilter="0"/>
  <protectedRanges>
    <protectedRange password="CCAA" sqref="K8" name="Oblast1_1_1"/>
    <protectedRange password="CCAA" sqref="D9:H11" name="Oblast1_2"/>
  </protectedRanges>
  <autoFilter ref="C10:P80" xr:uid="{00000000-0001-0000-0500-000000000000}"/>
  <mergeCells count="9">
    <mergeCell ref="T57:T58"/>
    <mergeCell ref="T65:T66"/>
    <mergeCell ref="U30:U33"/>
    <mergeCell ref="U12:U13"/>
    <mergeCell ref="K9:M9"/>
    <mergeCell ref="N9:P9"/>
    <mergeCell ref="T27:T28"/>
    <mergeCell ref="T30:T33"/>
    <mergeCell ref="T12:T14"/>
  </mergeCells>
  <conditionalFormatting sqref="D3:E8 H3:J8 D9:J10 Q9:HI10 D1:J2 D11:HI11 K1:HI8 K12:O14 K15:L80">
    <cfRule type="cellIs" dxfId="108" priority="97" operator="lessThan">
      <formula>0</formula>
    </cfRule>
  </conditionalFormatting>
  <conditionalFormatting sqref="G4">
    <cfRule type="cellIs" dxfId="107" priority="96" operator="lessThan">
      <formula>0</formula>
    </cfRule>
  </conditionalFormatting>
  <conditionalFormatting sqref="G3">
    <cfRule type="cellIs" dxfId="106" priority="95" operator="lessThan">
      <formula>0</formula>
    </cfRule>
  </conditionalFormatting>
  <conditionalFormatting sqref="K12:O14 K15:L80">
    <cfRule type="cellIs" dxfId="105" priority="42" operator="lessThan">
      <formula>0</formula>
    </cfRule>
  </conditionalFormatting>
  <conditionalFormatting sqref="E82:K83 D82:D84 L83:HS83 M82:N82 P82:HS82 P84:HS84">
    <cfRule type="cellIs" dxfId="104" priority="31" operator="lessThan">
      <formula>0</formula>
    </cfRule>
  </conditionalFormatting>
  <conditionalFormatting sqref="K9:L10 N9:O9">
    <cfRule type="cellIs" dxfId="103" priority="16" operator="lessThan">
      <formula>0</formula>
    </cfRule>
  </conditionalFormatting>
  <conditionalFormatting sqref="M10:P10">
    <cfRule type="cellIs" dxfId="102" priority="15" operator="lessThan">
      <formula>0</formula>
    </cfRule>
  </conditionalFormatting>
  <conditionalFormatting sqref="N15:O80">
    <cfRule type="cellIs" dxfId="101" priority="14" operator="lessThan">
      <formula>0</formula>
    </cfRule>
  </conditionalFormatting>
  <conditionalFormatting sqref="N15:O80">
    <cfRule type="cellIs" dxfId="100" priority="13" operator="lessThan">
      <formula>0</formula>
    </cfRule>
  </conditionalFormatting>
  <conditionalFormatting sqref="O82 L82">
    <cfRule type="cellIs" dxfId="99" priority="11" operator="lessThan">
      <formula>0</formula>
    </cfRule>
  </conditionalFormatting>
  <conditionalFormatting sqref="P14">
    <cfRule type="cellIs" dxfId="98" priority="6" operator="lessThan">
      <formula>0</formula>
    </cfRule>
  </conditionalFormatting>
  <conditionalFormatting sqref="P14">
    <cfRule type="cellIs" dxfId="97" priority="5" operator="lessThan">
      <formula>0</formula>
    </cfRule>
  </conditionalFormatting>
  <conditionalFormatting sqref="G84">
    <cfRule type="cellIs" dxfId="96" priority="4" operator="lessThan">
      <formula>0</formula>
    </cfRule>
  </conditionalFormatting>
  <conditionalFormatting sqref="G84">
    <cfRule type="cellIs" dxfId="95" priority="3" operator="lessThan">
      <formula>0</formula>
    </cfRule>
  </conditionalFormatting>
  <conditionalFormatting sqref="G84">
    <cfRule type="cellIs" dxfId="94" priority="2" operator="lessThan">
      <formula>0</formula>
    </cfRule>
  </conditionalFormatting>
  <conditionalFormatting sqref="G84">
    <cfRule type="cellIs" dxfId="93" priority="1" operator="lessThan">
      <formula>0</formula>
    </cfRule>
  </conditionalFormatting>
  <pageMargins left="0.39370078740157483" right="0.39370078740157483" top="0.39370078740157483" bottom="0.39370078740157483" header="0" footer="0"/>
  <pageSetup paperSize="9" scale="62" fitToHeight="0" orientation="landscape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10</vt:i4>
      </vt:variant>
      <vt:variant>
        <vt:lpstr>Pojmenované oblasti</vt:lpstr>
      </vt:variant>
      <vt:variant>
        <vt:i4>7</vt:i4>
      </vt:variant>
    </vt:vector>
  </HeadingPairs>
  <TitlesOfParts>
    <vt:vector size="17" baseType="lpstr">
      <vt:lpstr>Rekapitulace stavby</vt:lpstr>
      <vt:lpstr>List1</vt:lpstr>
      <vt:lpstr>List2</vt:lpstr>
      <vt:lpstr>List3</vt:lpstr>
      <vt:lpstr>Povrchy - Komunikace II.tř</vt:lpstr>
      <vt:lpstr>R1 - Vodovodní řad R1</vt:lpstr>
      <vt:lpstr>R2 - Vodovodní řad R2</vt:lpstr>
      <vt:lpstr>R3 - Vodovodní řad R3</vt:lpstr>
      <vt:lpstr>P - Vodovodní přípojky</vt:lpstr>
      <vt:lpstr>VN - Vedlejší a ostatní n...</vt:lpstr>
      <vt:lpstr>'P - Vodovodní přípojky'!Oblast_tisku</vt:lpstr>
      <vt:lpstr>'Povrchy - Komunikace II.tř'!Oblast_tisku</vt:lpstr>
      <vt:lpstr>'R1 - Vodovodní řad R1'!Oblast_tisku</vt:lpstr>
      <vt:lpstr>'R2 - Vodovodní řad R2'!Oblast_tisku</vt:lpstr>
      <vt:lpstr>'R3 - Vodovodní řad R3'!Oblast_tisku</vt:lpstr>
      <vt:lpstr>'Rekapitulace stavby'!Oblast_tisku</vt:lpstr>
      <vt:lpstr>'VN - Vedlejší a ostatní n...'!Oblast_tisku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DELL-BOOK\Jiří</dc:creator>
  <cp:lastModifiedBy>ANTALOVÁ, Zdena</cp:lastModifiedBy>
  <cp:lastPrinted>2023-01-10T11:19:52Z</cp:lastPrinted>
  <dcterms:created xsi:type="dcterms:W3CDTF">2019-02-06T15:21:00Z</dcterms:created>
  <dcterms:modified xsi:type="dcterms:W3CDTF">2023-02-02T09:38:45Z</dcterms:modified>
</cp:coreProperties>
</file>