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6.1.2023\"/>
    </mc:Choice>
  </mc:AlternateContent>
  <xr:revisionPtr revIDLastSave="0" documentId="13_ncr:1_{AE0CED8F-6D68-4E27-9774-AFD6DA3EADAA}" xr6:coauthVersionLast="47" xr6:coauthVersionMax="47" xr10:uidLastSave="{00000000-0000-0000-0000-000000000000}"/>
  <bookViews>
    <workbookView xWindow="28680" yWindow="-120" windowWidth="29040" windowHeight="15840" firstSheet="1" activeTab="13" xr2:uid="{00000000-000D-0000-FFFF-FFFF00000000}"/>
  </bookViews>
  <sheets>
    <sheet name="Rekapitulace Celkem" sheetId="105" r:id="rId1"/>
    <sheet name="Rekapitulace" sheetId="95" r:id="rId2"/>
    <sheet name="úsek1" sheetId="83" r:id="rId3"/>
    <sheet name="úsek2" sheetId="103" r:id="rId4"/>
    <sheet name="úsek3 - 21" sheetId="106" r:id="rId5"/>
    <sheet name="úsek3 - 22" sheetId="101" r:id="rId6"/>
    <sheet name="úsek4" sheetId="96" r:id="rId7"/>
    <sheet name="úsek5" sheetId="97" r:id="rId8"/>
    <sheet name="úsek5 ACO" sheetId="107" r:id="rId9"/>
    <sheet name="úsek6" sheetId="98" r:id="rId10"/>
    <sheet name="úsek7" sheetId="99" r:id="rId11"/>
    <sheet name="úsek8" sheetId="104" state="hidden" r:id="rId12"/>
    <sheet name="úsek9" sheetId="108" r:id="rId13"/>
    <sheet name="obruby" sheetId="102" r:id="rId14"/>
  </sheets>
  <externalReferences>
    <externalReference r:id="rId15"/>
  </externalReferences>
  <definedNames>
    <definedName name="_xlnm._FilterDatabase" localSheetId="2" hidden="1">úsek1!$A$20:$I$38</definedName>
    <definedName name="_xlnm._FilterDatabase" localSheetId="8" hidden="1">'úsek5 ACO'!$A$20:$I$31</definedName>
    <definedName name="_xlnm.Print_Area" localSheetId="13">obruby!$A$1:$I$46</definedName>
    <definedName name="_xlnm.Print_Area" localSheetId="1">Rekapitulace!$A$1:$AR$38</definedName>
    <definedName name="_xlnm.Print_Area" localSheetId="0">'Rekapitulace Celkem'!$A$1:$AQ$29</definedName>
    <definedName name="_xlnm.Print_Area" localSheetId="2">úsek1!$A$1:$I$54</definedName>
    <definedName name="_xlnm.Print_Area" localSheetId="3">úsek2!$A$1:$I$44</definedName>
    <definedName name="_xlnm.Print_Area" localSheetId="4">'úsek3 - 21'!$A$1:$I$50</definedName>
    <definedName name="_xlnm.Print_Area" localSheetId="5">'úsek3 - 22'!$A$1:$I$51</definedName>
    <definedName name="_xlnm.Print_Area" localSheetId="6">úsek4!$A$1:$I$45</definedName>
    <definedName name="_xlnm.Print_Area" localSheetId="7">úsek5!$A$1:$I$44</definedName>
    <definedName name="_xlnm.Print_Area" localSheetId="8">'úsek5 ACO'!$A$1:$I$38</definedName>
    <definedName name="_xlnm.Print_Area" localSheetId="9">úsek6!$A$1:$I$43</definedName>
    <definedName name="_xlnm.Print_Area" localSheetId="10">úsek7!$A$1:$I$44</definedName>
    <definedName name="_xlnm.Print_Area" localSheetId="11">úsek8!$A$1:$I$37</definedName>
    <definedName name="_xlnm.Print_Area" localSheetId="12">úsek9!$A$1:$I$51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0" i="83" l="1"/>
  <c r="I41" i="83"/>
  <c r="I42" i="83"/>
  <c r="G26" i="99"/>
  <c r="I26" i="99" s="1"/>
  <c r="I21" i="99" s="1"/>
  <c r="I26" i="96"/>
  <c r="I21" i="96" s="1"/>
  <c r="I32" i="108"/>
  <c r="I27" i="108" s="1"/>
  <c r="I21" i="98"/>
  <c r="I26" i="98"/>
  <c r="I32" i="101"/>
  <c r="I27" i="101" s="1"/>
  <c r="I26" i="103"/>
  <c r="I21" i="103" s="1"/>
  <c r="I26" i="83"/>
  <c r="G25" i="103" l="1"/>
  <c r="G31" i="101"/>
  <c r="G25" i="96"/>
  <c r="G25" i="99" l="1"/>
  <c r="G31" i="108"/>
  <c r="G25" i="98"/>
  <c r="G22" i="101"/>
  <c r="G25" i="83" l="1"/>
  <c r="U39" i="101" l="1"/>
  <c r="U38" i="101"/>
  <c r="AR17" i="95" l="1"/>
  <c r="AR20" i="95"/>
  <c r="AR22" i="95"/>
  <c r="G22" i="108"/>
  <c r="G24" i="108" s="1"/>
  <c r="G34" i="106"/>
  <c r="AR31" i="95" l="1"/>
  <c r="I22" i="108"/>
  <c r="I24" i="108"/>
  <c r="I21" i="108" s="1"/>
  <c r="AQ17" i="95" l="1"/>
  <c r="C10" i="106"/>
  <c r="AQ21" i="95"/>
  <c r="AF21" i="95"/>
  <c r="AM21" i="95" s="1"/>
  <c r="C10" i="107"/>
  <c r="C10" i="108"/>
  <c r="I39" i="108"/>
  <c r="I38" i="108"/>
  <c r="E31" i="108"/>
  <c r="G30" i="108"/>
  <c r="I15" i="108"/>
  <c r="E15" i="108"/>
  <c r="E14" i="108"/>
  <c r="E12" i="108"/>
  <c r="C8" i="108"/>
  <c r="C4" i="108"/>
  <c r="AM21" i="105"/>
  <c r="AF21" i="105"/>
  <c r="G31" i="107"/>
  <c r="G30" i="107" s="1"/>
  <c r="I30" i="107" s="1"/>
  <c r="E31" i="107"/>
  <c r="G29" i="107"/>
  <c r="G28" i="107" s="1"/>
  <c r="E15" i="107"/>
  <c r="E14" i="107"/>
  <c r="I12" i="107"/>
  <c r="E12" i="107"/>
  <c r="C8" i="107"/>
  <c r="C4" i="107"/>
  <c r="A1" i="107"/>
  <c r="G17" i="107" s="1"/>
  <c r="I21" i="102"/>
  <c r="G33" i="102"/>
  <c r="I34" i="102"/>
  <c r="I29" i="102" s="1"/>
  <c r="O42" i="106"/>
  <c r="P42" i="106" s="1"/>
  <c r="M38" i="106"/>
  <c r="O38" i="106" s="1"/>
  <c r="P38" i="106" s="1"/>
  <c r="I38" i="106"/>
  <c r="O37" i="106"/>
  <c r="P37" i="106" s="1"/>
  <c r="M37" i="106"/>
  <c r="I37" i="106"/>
  <c r="M36" i="106"/>
  <c r="K36" i="106"/>
  <c r="M35" i="106"/>
  <c r="K35" i="106"/>
  <c r="O32" i="106"/>
  <c r="P32" i="106" s="1"/>
  <c r="O31" i="106"/>
  <c r="P31" i="106" s="1"/>
  <c r="E31" i="106"/>
  <c r="N30" i="106"/>
  <c r="N34" i="106" s="1"/>
  <c r="M30" i="106"/>
  <c r="G30" i="106"/>
  <c r="G33" i="106" s="1"/>
  <c r="N29" i="106"/>
  <c r="O29" i="106" s="1"/>
  <c r="N28" i="106"/>
  <c r="K28" i="106"/>
  <c r="M28" i="106" s="1"/>
  <c r="G24" i="106"/>
  <c r="I24" i="106" s="1"/>
  <c r="N22" i="106"/>
  <c r="N24" i="106" s="1"/>
  <c r="I22" i="106"/>
  <c r="I15" i="106"/>
  <c r="E15" i="106"/>
  <c r="E14" i="106"/>
  <c r="E12" i="106"/>
  <c r="C8" i="106"/>
  <c r="C4" i="106"/>
  <c r="I30" i="108" l="1"/>
  <c r="G35" i="108"/>
  <c r="I21" i="106"/>
  <c r="G28" i="108"/>
  <c r="I28" i="108" s="1"/>
  <c r="AQ25" i="95"/>
  <c r="AQ33" i="95" s="1"/>
  <c r="G34" i="108"/>
  <c r="G22" i="107"/>
  <c r="I28" i="107"/>
  <c r="I27" i="107" s="1"/>
  <c r="I30" i="106"/>
  <c r="G28" i="106"/>
  <c r="I28" i="106" s="1"/>
  <c r="I27" i="106" s="1"/>
  <c r="G35" i="106"/>
  <c r="I33" i="106"/>
  <c r="G39" i="106"/>
  <c r="N33" i="106"/>
  <c r="O34" i="106"/>
  <c r="P34" i="106" s="1"/>
  <c r="O28" i="106"/>
  <c r="O30" i="106"/>
  <c r="P30" i="106" s="1"/>
  <c r="K33" i="106"/>
  <c r="G40" i="108" l="1"/>
  <c r="AR25" i="95"/>
  <c r="AR33" i="95" s="1"/>
  <c r="G36" i="108"/>
  <c r="I36" i="108" s="1"/>
  <c r="I34" i="108"/>
  <c r="G29" i="108"/>
  <c r="I44" i="108"/>
  <c r="G42" i="108"/>
  <c r="I42" i="108" s="1"/>
  <c r="G41" i="108"/>
  <c r="I41" i="108" s="1"/>
  <c r="I40" i="108"/>
  <c r="G24" i="107"/>
  <c r="I24" i="107" s="1"/>
  <c r="I22" i="107"/>
  <c r="P28" i="106"/>
  <c r="G29" i="106"/>
  <c r="P29" i="106" s="1"/>
  <c r="I35" i="106"/>
  <c r="I32" i="106" s="1"/>
  <c r="I20" i="106" s="1"/>
  <c r="I19" i="106" s="1"/>
  <c r="G36" i="106"/>
  <c r="I36" i="106" s="1"/>
  <c r="N39" i="106"/>
  <c r="N35" i="106"/>
  <c r="K39" i="106"/>
  <c r="M33" i="106"/>
  <c r="O33" i="106" s="1"/>
  <c r="P33" i="106" s="1"/>
  <c r="K40" i="106"/>
  <c r="M40" i="106" s="1"/>
  <c r="I39" i="106"/>
  <c r="G43" i="106"/>
  <c r="I43" i="106" s="1"/>
  <c r="G40" i="106"/>
  <c r="I40" i="106" s="1"/>
  <c r="G41" i="106"/>
  <c r="I41" i="106" s="1"/>
  <c r="I33" i="108" l="1"/>
  <c r="G37" i="108"/>
  <c r="I37" i="108" s="1"/>
  <c r="AF17" i="105"/>
  <c r="AM17" i="105" s="1"/>
  <c r="AF17" i="95"/>
  <c r="I21" i="107"/>
  <c r="I20" i="107" s="1"/>
  <c r="I19" i="107" s="1"/>
  <c r="M39" i="106"/>
  <c r="O39" i="106" s="1"/>
  <c r="P39" i="106" s="1"/>
  <c r="K43" i="106"/>
  <c r="M43" i="106" s="1"/>
  <c r="K41" i="106"/>
  <c r="M41" i="106" s="1"/>
  <c r="N43" i="106"/>
  <c r="O43" i="106" s="1"/>
  <c r="P43" i="106" s="1"/>
  <c r="N40" i="106"/>
  <c r="O40" i="106" s="1"/>
  <c r="P40" i="106" s="1"/>
  <c r="N41" i="106"/>
  <c r="O41" i="106" s="1"/>
  <c r="P41" i="106" s="1"/>
  <c r="O35" i="106"/>
  <c r="P35" i="106" s="1"/>
  <c r="N36" i="106"/>
  <c r="O36" i="106" s="1"/>
  <c r="P36" i="106" s="1"/>
  <c r="I20" i="108" l="1"/>
  <c r="I19" i="108" s="1"/>
  <c r="AF25" i="95" s="1"/>
  <c r="AM17" i="95"/>
  <c r="I15" i="102"/>
  <c r="E15" i="102"/>
  <c r="I15" i="104"/>
  <c r="E15" i="104"/>
  <c r="I15" i="99"/>
  <c r="E15" i="99"/>
  <c r="I15" i="98"/>
  <c r="E15" i="98"/>
  <c r="I15" i="97"/>
  <c r="E15" i="97"/>
  <c r="I15" i="96"/>
  <c r="E15" i="96"/>
  <c r="I15" i="101"/>
  <c r="E15" i="101"/>
  <c r="I15" i="103"/>
  <c r="E15" i="103"/>
  <c r="I15" i="83"/>
  <c r="E15" i="83"/>
  <c r="AF24" i="105"/>
  <c r="AM24" i="105" s="1"/>
  <c r="AF10" i="105"/>
  <c r="O29" i="101"/>
  <c r="O30" i="101"/>
  <c r="O31" i="101"/>
  <c r="P31" i="101" s="1"/>
  <c r="O33" i="101"/>
  <c r="P33" i="101" s="1"/>
  <c r="O43" i="101"/>
  <c r="P43" i="101" s="1"/>
  <c r="N30" i="101"/>
  <c r="N28" i="101" s="1"/>
  <c r="N29" i="101" s="1"/>
  <c r="N22" i="101"/>
  <c r="N24" i="101" s="1"/>
  <c r="M39" i="101"/>
  <c r="O39" i="101" s="1"/>
  <c r="P39" i="101" s="1"/>
  <c r="M38" i="101"/>
  <c r="O38" i="101" s="1"/>
  <c r="P38" i="101" s="1"/>
  <c r="K37" i="101"/>
  <c r="M37" i="101" s="1"/>
  <c r="K36" i="101"/>
  <c r="M36" i="101" s="1"/>
  <c r="M30" i="101"/>
  <c r="K28" i="101"/>
  <c r="K34" i="101" s="1"/>
  <c r="K41" i="101" l="1"/>
  <c r="M41" i="101" s="1"/>
  <c r="M34" i="101"/>
  <c r="K40" i="101"/>
  <c r="M28" i="101"/>
  <c r="O28" i="101" s="1"/>
  <c r="AM25" i="95"/>
  <c r="AH33" i="95"/>
  <c r="I12" i="106"/>
  <c r="I12" i="108"/>
  <c r="N35" i="101"/>
  <c r="M40" i="101" l="1"/>
  <c r="K44" i="101"/>
  <c r="M44" i="101" s="1"/>
  <c r="K42" i="101"/>
  <c r="M42" i="101" s="1"/>
  <c r="N34" i="101"/>
  <c r="O35" i="101"/>
  <c r="N40" i="101"/>
  <c r="N41" i="101"/>
  <c r="O41" i="101" s="1"/>
  <c r="N44" i="101" l="1"/>
  <c r="O44" i="101" s="1"/>
  <c r="O40" i="101"/>
  <c r="N36" i="101"/>
  <c r="O34" i="101"/>
  <c r="N42" i="101"/>
  <c r="O42" i="101" s="1"/>
  <c r="N37" i="101" l="1"/>
  <c r="O37" i="101" s="1"/>
  <c r="O36" i="101"/>
  <c r="G38" i="102"/>
  <c r="I38" i="102" s="1"/>
  <c r="G26" i="102"/>
  <c r="I26" i="102" s="1"/>
  <c r="G24" i="102"/>
  <c r="I24" i="102" s="1"/>
  <c r="G32" i="102"/>
  <c r="C10" i="102"/>
  <c r="E14" i="102"/>
  <c r="I12" i="102"/>
  <c r="E12" i="102"/>
  <c r="C8" i="102"/>
  <c r="C4" i="102"/>
  <c r="C10" i="104"/>
  <c r="I32" i="104"/>
  <c r="I31" i="104"/>
  <c r="E25" i="104"/>
  <c r="G24" i="104"/>
  <c r="G28" i="104" s="1"/>
  <c r="G27" i="104" s="1"/>
  <c r="E14" i="104"/>
  <c r="I12" i="104"/>
  <c r="E12" i="104"/>
  <c r="C8" i="104"/>
  <c r="C4" i="104"/>
  <c r="C10" i="99"/>
  <c r="C10" i="98"/>
  <c r="C10" i="97"/>
  <c r="E31" i="101"/>
  <c r="C10" i="96"/>
  <c r="C10" i="101"/>
  <c r="C10" i="103"/>
  <c r="I33" i="103"/>
  <c r="I32" i="103"/>
  <c r="E25" i="103"/>
  <c r="G24" i="103"/>
  <c r="E14" i="103"/>
  <c r="I12" i="103"/>
  <c r="E12" i="103"/>
  <c r="C8" i="103"/>
  <c r="C4" i="103"/>
  <c r="A1" i="103"/>
  <c r="G17" i="103" s="1"/>
  <c r="E12" i="83"/>
  <c r="G29" i="103" l="1"/>
  <c r="G28" i="103" s="1"/>
  <c r="AR16" i="95" s="1"/>
  <c r="AQ16" i="95"/>
  <c r="G22" i="104"/>
  <c r="G23" i="104" s="1"/>
  <c r="I24" i="104"/>
  <c r="I32" i="102"/>
  <c r="I22" i="102"/>
  <c r="I36" i="102"/>
  <c r="I35" i="102" s="1"/>
  <c r="I30" i="102"/>
  <c r="G29" i="104"/>
  <c r="G33" i="104"/>
  <c r="I27" i="104"/>
  <c r="I22" i="104"/>
  <c r="I21" i="104" s="1"/>
  <c r="G34" i="103"/>
  <c r="G30" i="103"/>
  <c r="G22" i="103"/>
  <c r="I24" i="103"/>
  <c r="G30" i="101"/>
  <c r="I39" i="101"/>
  <c r="I38" i="101"/>
  <c r="G24" i="101"/>
  <c r="I24" i="101" s="1"/>
  <c r="I22" i="101"/>
  <c r="E14" i="101"/>
  <c r="I12" i="101"/>
  <c r="E12" i="101"/>
  <c r="C8" i="101"/>
  <c r="C4" i="101"/>
  <c r="I33" i="99"/>
  <c r="I32" i="99"/>
  <c r="E25" i="99"/>
  <c r="G24" i="99"/>
  <c r="E14" i="99"/>
  <c r="I12" i="99"/>
  <c r="E12" i="99"/>
  <c r="C8" i="99"/>
  <c r="C4" i="99"/>
  <c r="I33" i="98"/>
  <c r="I32" i="98"/>
  <c r="E25" i="98"/>
  <c r="G24" i="98"/>
  <c r="E14" i="98"/>
  <c r="I12" i="98"/>
  <c r="E12" i="98"/>
  <c r="C8" i="98"/>
  <c r="C4" i="98"/>
  <c r="G24" i="97"/>
  <c r="I32" i="97"/>
  <c r="I31" i="97"/>
  <c r="E25" i="97"/>
  <c r="E14" i="97"/>
  <c r="I12" i="97"/>
  <c r="E12" i="97"/>
  <c r="C8" i="97"/>
  <c r="C4" i="97"/>
  <c r="I21" i="101" l="1"/>
  <c r="I28" i="103"/>
  <c r="G29" i="99"/>
  <c r="G28" i="99" s="1"/>
  <c r="AQ23" i="95"/>
  <c r="AQ18" i="95"/>
  <c r="U30" i="101"/>
  <c r="G29" i="98"/>
  <c r="AQ22" i="95"/>
  <c r="I24" i="97"/>
  <c r="G28" i="97"/>
  <c r="AQ20" i="95"/>
  <c r="AQ31" i="95" s="1"/>
  <c r="I30" i="101"/>
  <c r="P30" i="101"/>
  <c r="I24" i="99"/>
  <c r="G37" i="104"/>
  <c r="I37" i="104" s="1"/>
  <c r="G34" i="104"/>
  <c r="I34" i="104" s="1"/>
  <c r="I33" i="104"/>
  <c r="G35" i="104"/>
  <c r="I35" i="104" s="1"/>
  <c r="I29" i="104"/>
  <c r="G30" i="104"/>
  <c r="I30" i="104" s="1"/>
  <c r="G22" i="99"/>
  <c r="G23" i="99" s="1"/>
  <c r="G23" i="103"/>
  <c r="I22" i="103"/>
  <c r="G31" i="103"/>
  <c r="I31" i="103" s="1"/>
  <c r="I30" i="103"/>
  <c r="I34" i="103"/>
  <c r="G38" i="103"/>
  <c r="I38" i="103" s="1"/>
  <c r="G36" i="103"/>
  <c r="I36" i="103" s="1"/>
  <c r="G35" i="103"/>
  <c r="I35" i="103" s="1"/>
  <c r="G35" i="101"/>
  <c r="G28" i="101"/>
  <c r="P28" i="101" s="1"/>
  <c r="G34" i="98"/>
  <c r="I28" i="98"/>
  <c r="G30" i="98"/>
  <c r="I24" i="98"/>
  <c r="G22" i="98"/>
  <c r="G27" i="97"/>
  <c r="G22" i="97"/>
  <c r="E25" i="96"/>
  <c r="G24" i="96"/>
  <c r="L24" i="96" s="1"/>
  <c r="E12" i="96"/>
  <c r="I33" i="96"/>
  <c r="I32" i="96"/>
  <c r="E14" i="96"/>
  <c r="I12" i="96"/>
  <c r="C8" i="96"/>
  <c r="C4" i="96"/>
  <c r="G24" i="83"/>
  <c r="AQ15" i="95" s="1"/>
  <c r="E25" i="83"/>
  <c r="E14" i="83"/>
  <c r="I12" i="83"/>
  <c r="AF10" i="95"/>
  <c r="C10" i="83"/>
  <c r="C8" i="83"/>
  <c r="C4" i="83"/>
  <c r="A1" i="83"/>
  <c r="AR23" i="95" l="1"/>
  <c r="I28" i="99"/>
  <c r="G34" i="99"/>
  <c r="G38" i="99" s="1"/>
  <c r="I38" i="99" s="1"/>
  <c r="G30" i="99"/>
  <c r="I30" i="99" s="1"/>
  <c r="I22" i="99"/>
  <c r="AH28" i="95"/>
  <c r="AQ19" i="95"/>
  <c r="AQ32" i="95" s="1"/>
  <c r="AQ34" i="95" s="1"/>
  <c r="AH27" i="105"/>
  <c r="A1" i="108"/>
  <c r="G17" i="108" s="1"/>
  <c r="A1" i="106"/>
  <c r="G17" i="106" s="1"/>
  <c r="G34" i="101"/>
  <c r="P35" i="101"/>
  <c r="I27" i="103"/>
  <c r="I20" i="103" s="1"/>
  <c r="I19" i="103" s="1"/>
  <c r="I26" i="104"/>
  <c r="I20" i="104" s="1"/>
  <c r="I19" i="104" s="1"/>
  <c r="AF24" i="95" s="1"/>
  <c r="A1" i="102"/>
  <c r="G17" i="102" s="1"/>
  <c r="A1" i="104"/>
  <c r="G17" i="104" s="1"/>
  <c r="I20" i="102"/>
  <c r="I24" i="83"/>
  <c r="A1" i="98"/>
  <c r="G17" i="98" s="1"/>
  <c r="A1" i="97"/>
  <c r="G17" i="97" s="1"/>
  <c r="A1" i="101"/>
  <c r="G17" i="101" s="1"/>
  <c r="A1" i="99"/>
  <c r="G17" i="99" s="1"/>
  <c r="I28" i="101"/>
  <c r="G29" i="101"/>
  <c r="P29" i="101" s="1"/>
  <c r="G31" i="98"/>
  <c r="I31" i="98" s="1"/>
  <c r="I30" i="98"/>
  <c r="G23" i="98"/>
  <c r="I22" i="98"/>
  <c r="I34" i="98"/>
  <c r="G38" i="98"/>
  <c r="I38" i="98" s="1"/>
  <c r="G35" i="98"/>
  <c r="I35" i="98" s="1"/>
  <c r="G36" i="98"/>
  <c r="I36" i="98" s="1"/>
  <c r="G23" i="97"/>
  <c r="I22" i="97"/>
  <c r="I21" i="97" s="1"/>
  <c r="G29" i="97"/>
  <c r="G33" i="97"/>
  <c r="I27" i="97"/>
  <c r="G22" i="83"/>
  <c r="G29" i="83"/>
  <c r="G28" i="83" s="1"/>
  <c r="AR15" i="95" s="1"/>
  <c r="A1" i="96"/>
  <c r="G17" i="96" s="1"/>
  <c r="I24" i="96"/>
  <c r="G29" i="96"/>
  <c r="G28" i="96" s="1"/>
  <c r="AR19" i="95" s="1"/>
  <c r="G22" i="96"/>
  <c r="G17" i="83"/>
  <c r="G36" i="99" l="1"/>
  <c r="I36" i="99" s="1"/>
  <c r="G31" i="99"/>
  <c r="I31" i="99" s="1"/>
  <c r="I34" i="99"/>
  <c r="G35" i="99"/>
  <c r="I35" i="99" s="1"/>
  <c r="AQ28" i="95"/>
  <c r="P34" i="101"/>
  <c r="AR18" i="95"/>
  <c r="AR32" i="95" s="1"/>
  <c r="AR34" i="95" s="1"/>
  <c r="I34" i="101"/>
  <c r="G40" i="101"/>
  <c r="P40" i="101" s="1"/>
  <c r="AH29" i="95"/>
  <c r="G36" i="101"/>
  <c r="P36" i="101" s="1"/>
  <c r="AF16" i="95"/>
  <c r="AF16" i="105"/>
  <c r="AH28" i="105"/>
  <c r="I27" i="99"/>
  <c r="I20" i="99" s="1"/>
  <c r="I19" i="99" s="1"/>
  <c r="G30" i="83"/>
  <c r="G31" i="83" s="1"/>
  <c r="G34" i="83"/>
  <c r="G38" i="83" s="1"/>
  <c r="I27" i="98"/>
  <c r="I20" i="98" s="1"/>
  <c r="I19" i="98" s="1"/>
  <c r="I19" i="102"/>
  <c r="G37" i="97"/>
  <c r="I37" i="97" s="1"/>
  <c r="G34" i="97"/>
  <c r="I34" i="97" s="1"/>
  <c r="I33" i="97"/>
  <c r="G35" i="97"/>
  <c r="I35" i="97" s="1"/>
  <c r="I29" i="97"/>
  <c r="I26" i="97" s="1"/>
  <c r="I20" i="97" s="1"/>
  <c r="I19" i="97" s="1"/>
  <c r="G30" i="97"/>
  <c r="I30" i="97" s="1"/>
  <c r="G23" i="83"/>
  <c r="I22" i="83"/>
  <c r="I21" i="83" s="1"/>
  <c r="G30" i="96"/>
  <c r="G34" i="96"/>
  <c r="I28" i="96"/>
  <c r="G23" i="96"/>
  <c r="I22" i="96"/>
  <c r="AR28" i="95" l="1"/>
  <c r="G42" i="101"/>
  <c r="I42" i="101" s="1"/>
  <c r="I40" i="101"/>
  <c r="G41" i="101"/>
  <c r="I41" i="101" s="1"/>
  <c r="G44" i="101"/>
  <c r="I44" i="101" s="1"/>
  <c r="G37" i="101"/>
  <c r="I37" i="101" s="1"/>
  <c r="G36" i="83"/>
  <c r="G35" i="83"/>
  <c r="AF20" i="95"/>
  <c r="AF20" i="105"/>
  <c r="AF26" i="95"/>
  <c r="AM26" i="95" s="1"/>
  <c r="AF25" i="105"/>
  <c r="AF23" i="95"/>
  <c r="AF23" i="105"/>
  <c r="AF22" i="95"/>
  <c r="AF22" i="105"/>
  <c r="P42" i="101"/>
  <c r="I36" i="101"/>
  <c r="AM16" i="105"/>
  <c r="G38" i="96"/>
  <c r="I38" i="96" s="1"/>
  <c r="G35" i="96"/>
  <c r="I35" i="96" s="1"/>
  <c r="I34" i="96"/>
  <c r="G36" i="96"/>
  <c r="I36" i="96" s="1"/>
  <c r="I30" i="96"/>
  <c r="G31" i="96"/>
  <c r="I31" i="96" s="1"/>
  <c r="P41" i="101" l="1"/>
  <c r="I33" i="101"/>
  <c r="I20" i="101" s="1"/>
  <c r="I19" i="101" s="1"/>
  <c r="AF18" i="95" s="1"/>
  <c r="P37" i="101"/>
  <c r="P44" i="101"/>
  <c r="AM20" i="95"/>
  <c r="AH31" i="95"/>
  <c r="AM20" i="105"/>
  <c r="AM25" i="105"/>
  <c r="AM23" i="105"/>
  <c r="AM22" i="105"/>
  <c r="I27" i="96"/>
  <c r="I20" i="96" s="1"/>
  <c r="I19" i="96" s="1"/>
  <c r="I38" i="83"/>
  <c r="I36" i="83"/>
  <c r="I35" i="83"/>
  <c r="I34" i="83"/>
  <c r="I33" i="83"/>
  <c r="I32" i="83"/>
  <c r="I31" i="83"/>
  <c r="I30" i="83"/>
  <c r="I28" i="83"/>
  <c r="I27" i="83" s="1"/>
  <c r="AF18" i="105" l="1"/>
  <c r="AM18" i="105" s="1"/>
  <c r="AF19" i="95"/>
  <c r="AF19" i="105"/>
  <c r="AM19" i="95" l="1"/>
  <c r="AM19" i="105"/>
  <c r="AM18" i="95"/>
  <c r="AM22" i="95" l="1"/>
  <c r="AM23" i="95"/>
  <c r="AM24" i="95"/>
  <c r="I20" i="83" l="1"/>
  <c r="I19" i="83" l="1"/>
  <c r="AF15" i="105" s="1"/>
  <c r="L20" i="83"/>
  <c r="AF15" i="95"/>
  <c r="AF13" i="95" l="1"/>
  <c r="AH32" i="95"/>
  <c r="AH34" i="95" s="1"/>
  <c r="AM15" i="105"/>
  <c r="AM13" i="105" s="1"/>
  <c r="AF13" i="105"/>
  <c r="AM15" i="95"/>
  <c r="AM16" i="95" l="1"/>
  <c r="AM13" i="95" s="1"/>
</calcChain>
</file>

<file path=xl/sharedStrings.xml><?xml version="1.0" encoding="utf-8"?>
<sst xmlns="http://schemas.openxmlformats.org/spreadsheetml/2006/main" count="1452" uniqueCount="170">
  <si>
    <t/>
  </si>
  <si>
    <t>Stavba:</t>
  </si>
  <si>
    <t>Místo:</t>
  </si>
  <si>
    <t>Datum:</t>
  </si>
  <si>
    <t>Zadavatel:</t>
  </si>
  <si>
    <t>Uchazeč:</t>
  </si>
  <si>
    <t>Zpracovatel:</t>
  </si>
  <si>
    <t>Kód</t>
  </si>
  <si>
    <t>Popis</t>
  </si>
  <si>
    <t>Typ</t>
  </si>
  <si>
    <t>D</t>
  </si>
  <si>
    <t>Objekt:</t>
  </si>
  <si>
    <t>Cena celkem [CZK]</t>
  </si>
  <si>
    <t>PČ</t>
  </si>
  <si>
    <t>MJ</t>
  </si>
  <si>
    <t>Množství</t>
  </si>
  <si>
    <t>J.cena [CZK]</t>
  </si>
  <si>
    <t>Náklady soupisu celkem</t>
  </si>
  <si>
    <t>HSV</t>
  </si>
  <si>
    <t>Práce a dodávky HSV</t>
  </si>
  <si>
    <t>Zemní práce</t>
  </si>
  <si>
    <t>K</t>
  </si>
  <si>
    <t>m2</t>
  </si>
  <si>
    <t>P</t>
  </si>
  <si>
    <t>VV</t>
  </si>
  <si>
    <t>5</t>
  </si>
  <si>
    <t>M</t>
  </si>
  <si>
    <t>- poplatek za uložení</t>
  </si>
  <si>
    <t>t</t>
  </si>
  <si>
    <t>kus</t>
  </si>
  <si>
    <t>Komunikace pozemní</t>
  </si>
  <si>
    <t>573211109</t>
  </si>
  <si>
    <t>Postřik spojovací PS bez posypu kamenivem z asfaltu silničního, v množství 0,50 kg/m2</t>
  </si>
  <si>
    <t>577144111</t>
  </si>
  <si>
    <t>Asfaltový beton vrstva obrusná ACO 11 (ABS)  s rozprostřením a se zhutněním z nemodifikovaného asfaltu v pruhu šířky do 3 m tř. I, po zhutnění tl. 50 mm</t>
  </si>
  <si>
    <t>997221551-R</t>
  </si>
  <si>
    <t>Likvidace suti v souladu s platnou legislativou o odpadech</t>
  </si>
  <si>
    <t xml:space="preserve">- vodorovný přesun </t>
  </si>
  <si>
    <t>Soupis:</t>
  </si>
  <si>
    <t>Úroveň 3:</t>
  </si>
  <si>
    <t>kg</t>
  </si>
  <si>
    <t>a</t>
  </si>
  <si>
    <t>Komunikace</t>
  </si>
  <si>
    <t>567532112</t>
  </si>
  <si>
    <t>567533111</t>
  </si>
  <si>
    <t>567541111</t>
  </si>
  <si>
    <t>899331111</t>
  </si>
  <si>
    <t xml:space="preserve">Výšková úprava uličního vstupu nebo vpusti do 200 mm zvýšením poklopu   </t>
  </si>
  <si>
    <t>899431111</t>
  </si>
  <si>
    <t xml:space="preserve">Výšková úprava uličního vstupu nebo vpusti do 200 mm zvýšením krycího hrnce, šoupěte nebo hydrantu   </t>
  </si>
  <si>
    <t>938908411</t>
  </si>
  <si>
    <t xml:space="preserve">Čištění vozovek splachováním vodou   </t>
  </si>
  <si>
    <t>938909311</t>
  </si>
  <si>
    <t xml:space="preserve">Čištění vozovek metením strojně podkladu nebo krytu betonového nebo živičného   </t>
  </si>
  <si>
    <t>24551310</t>
  </si>
  <si>
    <t xml:space="preserve">přísada do betonu na bázi zeolitů a minerálů   </t>
  </si>
  <si>
    <t>Pozn: 1,6 kg/m3</t>
  </si>
  <si>
    <t>58522150</t>
  </si>
  <si>
    <t>cement portlandský směsný CEM II 32,5MPa (25 kg/m2)</t>
  </si>
  <si>
    <t>Kód:</t>
  </si>
  <si>
    <t>Cena bez DPH [CZK]</t>
  </si>
  <si>
    <t>Cena s DPH [CZK]</t>
  </si>
  <si>
    <t>Náklady z rozpočtů</t>
  </si>
  <si>
    <t>STA</t>
  </si>
  <si>
    <t>Sektor 1</t>
  </si>
  <si>
    <t>Sektor 3</t>
  </si>
  <si>
    <t>Rozpočet stavby (výkaz výměr)</t>
  </si>
  <si>
    <t>Místní komunikace</t>
  </si>
  <si>
    <t>b</t>
  </si>
  <si>
    <t>MK Komunikace</t>
  </si>
  <si>
    <t>Celková suma ploch (asfalt):</t>
  </si>
  <si>
    <t>Celková suma ploch (RS):</t>
  </si>
  <si>
    <t>Vodovody a kanalizace Mladá Boleslav, a.s.</t>
  </si>
  <si>
    <t>Recyklace podkladu za studena na místě - rozpojení a reprofilace tl do 300 mm  (I. fáze Recyklace za studena)</t>
  </si>
  <si>
    <t>Recyklace podkladu za studena na místě-promísení s cementem, zeolitem, minerály tl 250 mm (III. fáze Recyklace za studena - finání)</t>
  </si>
  <si>
    <t>Recyklace podkladu za studena na místě - promísení s pojivem, kamenivem tl 250 mm a POWERCEM (II. fáze Recyklace za studena)</t>
  </si>
  <si>
    <t>113154353R</t>
  </si>
  <si>
    <r>
      <t>Frézování živičného podkladu nebo krytu  s naložením na dopravní prostředek plochy přes 1 000 do 10 000 m2 s překážkami v trase pruhu šířky do 1 m, tloušťky vrstvy</t>
    </r>
    <r>
      <rPr>
        <b/>
        <sz val="9"/>
        <rFont val="Arial CE"/>
        <family val="2"/>
        <charset val="238"/>
      </rPr>
      <t xml:space="preserve"> 50 - 100 mm (ve smyslu nezbytné snížení nivelety svávající komunikace)</t>
    </r>
  </si>
  <si>
    <t>Oprava MK Kolomuty</t>
  </si>
  <si>
    <t>Kolomuty</t>
  </si>
  <si>
    <t>úsek 1</t>
  </si>
  <si>
    <t>úsek 2</t>
  </si>
  <si>
    <t>úsek 4</t>
  </si>
  <si>
    <t>úsek 6</t>
  </si>
  <si>
    <t>úsek 7</t>
  </si>
  <si>
    <t>obruby na úseku 3</t>
  </si>
  <si>
    <t>1873*5% (nezbytné rozšíření recyklace za studena o 5 % vůči ACO 11)</t>
  </si>
  <si>
    <t>Poznámka k položce:
hmotnost sutě 0,128 t/m2 370 bm x 5,5 m</t>
  </si>
  <si>
    <t>683 m2 "místní asfalt</t>
  </si>
  <si>
    <t>683m2*5% (nezbytné rozšíření recyklace za studena o 5 % vůči ACO 11)</t>
  </si>
  <si>
    <t>845 m2 "místní asfalt</t>
  </si>
  <si>
    <t>845m2*5% (nezbytné rozšíření recyklace za studena o 5 % vůči ACO 11)</t>
  </si>
  <si>
    <t>113202111</t>
  </si>
  <si>
    <t>Vytrhání obrub krajníků obrubníků stojatých</t>
  </si>
  <si>
    <t>916131213</t>
  </si>
  <si>
    <t>Osazení silničního obrubníku betonového stojatého s boční opěrou do lože z betonu prostého</t>
  </si>
  <si>
    <t>obrubník betonový silniční 1000x150x250mm</t>
  </si>
  <si>
    <t>998225111</t>
  </si>
  <si>
    <t>Přesun hmot pro pozemní komunikace s krytem z kamene, monolitickým betonovým nebo živičným</t>
  </si>
  <si>
    <t>m</t>
  </si>
  <si>
    <t>m3</t>
  </si>
  <si>
    <t>Poznámka k položce:
hmotnost sutě (obrubníku):  80,6 kg/bm</t>
  </si>
  <si>
    <t>Poznámka k položce: vč. dodávky betonových směsí</t>
  </si>
  <si>
    <t>760 bm + 1% ztatné (cena vč. dopravy na stavbu)</t>
  </si>
  <si>
    <t>760 bm + 1% ztatné (rozvozy po stavbě)</t>
  </si>
  <si>
    <t>Poznámka k položce: výkop rýhy pro obrubník 0,2 * 0,4 m x 760</t>
  </si>
  <si>
    <t>- poplatek za uložení 760*0,2*0,4*2 + 760*80,6/1000</t>
  </si>
  <si>
    <t>132251103R</t>
  </si>
  <si>
    <t>Hloubení rýh nezapažených  š do 800 mm v hornině třídy těžitelnosti I, skupiny 3 objem do 100 m3 strojně/ručně</t>
  </si>
  <si>
    <t>Přesun hmot pro pozemní komunikace a práce ostatní</t>
  </si>
  <si>
    <t>R</t>
  </si>
  <si>
    <t>Vyplnění mezery mezi obrubou a recyklací za studeny betonovou směsí KSC II.</t>
  </si>
  <si>
    <t>760*0,2*0,1</t>
  </si>
  <si>
    <t>úsek 5 - provedeno v roce 2021</t>
  </si>
  <si>
    <t>úsek 5 dle nabídky</t>
  </si>
  <si>
    <t>Provedeno 2021</t>
  </si>
  <si>
    <t>úsek 3 odpočet 2021</t>
  </si>
  <si>
    <t>úsek 3 dle nabídky</t>
  </si>
  <si>
    <t>úsek 8 - vypuštěno provedeno dle PD</t>
  </si>
  <si>
    <t>VCES a.s</t>
  </si>
  <si>
    <t>VCES a.s.</t>
  </si>
  <si>
    <t>226,78 m2 "místní asfalt</t>
  </si>
  <si>
    <t>226,78*5% (nezbytné rozšíření recyklace za studena o 5 % vůči ACO 11)</t>
  </si>
  <si>
    <t>1979,88 m2 "místní asfalt</t>
  </si>
  <si>
    <t>úsek 3 - v roce 2021</t>
  </si>
  <si>
    <t>úsek 3 -  v roce 2022</t>
  </si>
  <si>
    <t>2712,22*5% (nezbytné rozšíření recyklace za studena o 5 % vůči ACO 11)</t>
  </si>
  <si>
    <t>487,2 "místní asfalt</t>
  </si>
  <si>
    <t>Dodávka a montáž obrubníkového odvodnění z polymerbetonu ACO KerbDrain KD 350 (dle EN1433/DIN19580) s třídou zatížení C250 vč. dopravy na místo určení a dodávyk betonových směsí pro montáž;           1 ks = 0,5 m.</t>
  </si>
  <si>
    <t>ks</t>
  </si>
  <si>
    <t>POHL cz, a.s.</t>
  </si>
  <si>
    <t>Poznámka k položce:
hmotnost sutě 0,128 t/m2 74 bm x 5,8 m</t>
  </si>
  <si>
    <t>73,1 * 5,0 "místní asfalt</t>
  </si>
  <si>
    <t>úsek 5 - v roce 2021</t>
  </si>
  <si>
    <t>úsek 5 - ACO 50 mm v roce 2021</t>
  </si>
  <si>
    <t>úsek 9</t>
  </si>
  <si>
    <t>851,55 m2 "místní asfalt</t>
  </si>
  <si>
    <t>851,55 m2*5% (nezbytné rozšíření recyklace za studena o 5 % vůči ACO 11)</t>
  </si>
  <si>
    <t>úsek 3  v roce 2022</t>
  </si>
  <si>
    <t>540,03 m2 "místní asfalt</t>
  </si>
  <si>
    <t>540,03 m2 *5% (nezbytné rozšíření recyklace za studena o 5 % vůči ACO 11)</t>
  </si>
  <si>
    <t>1177,5 "místní asfalt</t>
  </si>
  <si>
    <t>1177,5 *5% (nezbytné rozšíření recyklace za studena o 5 % vůči ACO 11)</t>
  </si>
  <si>
    <t>2688,08 m2 "místní asfalt</t>
  </si>
  <si>
    <t>2688,08*5% (nezbytné rozšíření recyklace za studena o 5 % vůči ACO 11)</t>
  </si>
  <si>
    <t>349,59 m2 "místní asfalt</t>
  </si>
  <si>
    <t>341m2*5% (nezbytné rozšíření recyklace za studena o 5 % vůči ACO 11)</t>
  </si>
  <si>
    <t>Asfalt</t>
  </si>
  <si>
    <t>recyklace</t>
  </si>
  <si>
    <t>Provedeno v roce 2021</t>
  </si>
  <si>
    <t>Původní rozsah 2022</t>
  </si>
  <si>
    <t xml:space="preserve">Navýčení o stoky BA 1-1, 2, 3 </t>
  </si>
  <si>
    <t>V3</t>
  </si>
  <si>
    <t>12</t>
  </si>
  <si>
    <t>574A04</t>
  </si>
  <si>
    <t>Vyrovnávka ACO 11+</t>
  </si>
  <si>
    <t>Rozdílový výkaz výněr změny č. 009-01</t>
  </si>
  <si>
    <t>Asfaltový beton vrstva obrusná ACO 11 (ABS) s rozprostřením a se zhutněním z nemodifikovaného asfaltu v pruhu šířky do 3 m tř. I, po zhutnění tl. 50 mm</t>
  </si>
  <si>
    <t>47</t>
  </si>
  <si>
    <t>46</t>
  </si>
  <si>
    <t>kpl</t>
  </si>
  <si>
    <t xml:space="preserve">přípravné práce - řezání, odtěžení, skládkovné, práce </t>
  </si>
  <si>
    <t>45</t>
  </si>
  <si>
    <t>Zhotovitel:</t>
  </si>
  <si>
    <t>Autorský dozor:</t>
  </si>
  <si>
    <t>Objednatel:</t>
  </si>
  <si>
    <t>Dne:</t>
  </si>
  <si>
    <t>Správce stávby:</t>
  </si>
  <si>
    <t>Správce stavby:</t>
  </si>
  <si>
    <t xml:space="preserve">Dne: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</si>
</sst>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\.mm\.yyyy"/>
  </numFmts>
  <fonts count="33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Arial CE"/>
      <family val="2"/>
    </font>
    <font>
      <sz val="12"/>
      <name val="Arial CE"/>
      <family val="2"/>
    </font>
    <font>
      <sz val="11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b/>
      <sz val="10"/>
      <color rgb="FF003366"/>
      <name val="Arial CE"/>
      <family val="2"/>
      <charset val="238"/>
    </font>
    <font>
      <sz val="10"/>
      <name val="Arial CE"/>
      <family val="2"/>
    </font>
    <font>
      <sz val="15"/>
      <name val="Arial CE"/>
      <family val="2"/>
    </font>
    <font>
      <b/>
      <sz val="9"/>
      <name val="Arial CE"/>
      <family val="2"/>
      <charset val="238"/>
    </font>
    <font>
      <sz val="11"/>
      <name val="Arial CE"/>
      <family val="2"/>
    </font>
    <font>
      <b/>
      <sz val="8"/>
      <name val="Arial CE"/>
      <charset val="238"/>
    </font>
    <font>
      <b/>
      <sz val="11"/>
      <name val="Arial CE"/>
      <charset val="238"/>
    </font>
    <font>
      <b/>
      <sz val="15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</patternFill>
    </fill>
  </fills>
  <borders count="35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rgb="FF969696"/>
      </bottom>
      <diagonal/>
    </border>
    <border>
      <left/>
      <right/>
      <top style="medium">
        <color indexed="64"/>
      </top>
      <bottom style="hair">
        <color rgb="FF969696"/>
      </bottom>
      <diagonal/>
    </border>
    <border>
      <left/>
      <right style="medium">
        <color indexed="64"/>
      </right>
      <top style="medium">
        <color indexed="64"/>
      </top>
      <bottom style="hair">
        <color rgb="FF969696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/>
      <top style="hair">
        <color rgb="FF969696"/>
      </top>
      <bottom style="medium">
        <color indexed="64"/>
      </bottom>
      <diagonal/>
    </border>
    <border>
      <left/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medium">
        <color indexed="64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medium">
        <color indexed="64"/>
      </right>
      <top style="hair">
        <color rgb="FF969696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medium">
        <color indexed="64"/>
      </right>
      <top style="medium">
        <color indexed="64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0" fillId="0" borderId="0"/>
    <xf numFmtId="0" fontId="20" fillId="0" borderId="0"/>
    <xf numFmtId="0" fontId="20" fillId="0" borderId="0"/>
  </cellStyleXfs>
  <cellXfs count="276">
    <xf numFmtId="0" fontId="0" fillId="0" borderId="0" xfId="0"/>
    <xf numFmtId="0" fontId="0" fillId="2" borderId="0" xfId="2" applyFont="1" applyFill="1"/>
    <xf numFmtId="0" fontId="0" fillId="2" borderId="0" xfId="2" applyFont="1" applyFill="1" applyProtection="1">
      <protection locked="0"/>
    </xf>
    <xf numFmtId="0" fontId="0" fillId="2" borderId="0" xfId="0" applyFill="1"/>
    <xf numFmtId="0" fontId="0" fillId="2" borderId="0" xfId="2" applyFont="1" applyFill="1" applyAlignment="1">
      <alignment vertical="center"/>
    </xf>
    <xf numFmtId="0" fontId="0" fillId="2" borderId="0" xfId="2" applyFont="1" applyFill="1" applyAlignment="1">
      <alignment horizontal="center" vertical="center" wrapText="1"/>
    </xf>
    <xf numFmtId="0" fontId="14" fillId="2" borderId="4" xfId="2" applyFont="1" applyFill="1" applyBorder="1" applyAlignment="1">
      <alignment horizontal="center" vertical="center" wrapText="1"/>
    </xf>
    <xf numFmtId="0" fontId="14" fillId="2" borderId="5" xfId="2" applyFont="1" applyFill="1" applyBorder="1" applyAlignment="1">
      <alignment horizontal="center" vertical="center" wrapText="1"/>
    </xf>
    <xf numFmtId="0" fontId="8" fillId="2" borderId="0" xfId="2" applyFont="1" applyFill="1"/>
    <xf numFmtId="0" fontId="14" fillId="2" borderId="6" xfId="2" applyFont="1" applyFill="1" applyBorder="1" applyAlignment="1">
      <alignment horizontal="center" vertical="center"/>
    </xf>
    <xf numFmtId="49" fontId="14" fillId="2" borderId="6" xfId="2" applyNumberFormat="1" applyFont="1" applyFill="1" applyBorder="1" applyAlignment="1">
      <alignment horizontal="left" vertical="center" wrapText="1"/>
    </xf>
    <xf numFmtId="0" fontId="14" fillId="2" borderId="6" xfId="2" applyFont="1" applyFill="1" applyBorder="1" applyAlignment="1">
      <alignment horizontal="left" vertical="center" wrapText="1"/>
    </xf>
    <xf numFmtId="0" fontId="14" fillId="2" borderId="6" xfId="2" applyFont="1" applyFill="1" applyBorder="1" applyAlignment="1">
      <alignment horizontal="center" vertical="center" wrapText="1"/>
    </xf>
    <xf numFmtId="4" fontId="14" fillId="2" borderId="6" xfId="2" applyNumberFormat="1" applyFont="1" applyFill="1" applyBorder="1" applyAlignment="1" applyProtection="1">
      <alignment vertical="center"/>
      <protection locked="0"/>
    </xf>
    <xf numFmtId="0" fontId="10" fillId="2" borderId="0" xfId="2" applyFont="1" applyFill="1" applyAlignment="1">
      <alignment vertical="center"/>
    </xf>
    <xf numFmtId="0" fontId="18" fillId="2" borderId="6" xfId="2" applyFont="1" applyFill="1" applyBorder="1" applyAlignment="1">
      <alignment horizontal="center" vertical="center"/>
    </xf>
    <xf numFmtId="49" fontId="18" fillId="2" borderId="6" xfId="2" applyNumberFormat="1" applyFont="1" applyFill="1" applyBorder="1" applyAlignment="1">
      <alignment horizontal="left" vertical="center" wrapText="1"/>
    </xf>
    <xf numFmtId="0" fontId="18" fillId="2" borderId="6" xfId="2" applyFont="1" applyFill="1" applyBorder="1" applyAlignment="1">
      <alignment horizontal="left" vertical="center" wrapText="1"/>
    </xf>
    <xf numFmtId="0" fontId="14" fillId="2" borderId="13" xfId="2" applyFont="1" applyFill="1" applyBorder="1" applyAlignment="1">
      <alignment horizontal="center" vertical="center" wrapText="1"/>
    </xf>
    <xf numFmtId="0" fontId="14" fillId="2" borderId="14" xfId="2" applyFont="1" applyFill="1" applyBorder="1" applyAlignment="1" applyProtection="1">
      <alignment horizontal="center" vertical="center" wrapText="1"/>
      <protection locked="0"/>
    </xf>
    <xf numFmtId="0" fontId="0" fillId="2" borderId="16" xfId="2" applyFont="1" applyFill="1" applyBorder="1" applyAlignment="1">
      <alignment vertical="center"/>
    </xf>
    <xf numFmtId="0" fontId="0" fillId="2" borderId="0" xfId="2" applyFont="1" applyFill="1" applyBorder="1" applyAlignment="1" applyProtection="1">
      <alignment vertical="center"/>
      <protection locked="0"/>
    </xf>
    <xf numFmtId="0" fontId="0" fillId="2" borderId="17" xfId="2" applyFont="1" applyFill="1" applyBorder="1" applyAlignment="1">
      <alignment vertical="center"/>
    </xf>
    <xf numFmtId="0" fontId="2" fillId="2" borderId="16" xfId="2" applyFont="1" applyFill="1" applyBorder="1" applyAlignment="1">
      <alignment horizontal="left" vertical="center"/>
    </xf>
    <xf numFmtId="0" fontId="0" fillId="2" borderId="0" xfId="2" applyFont="1" applyFill="1" applyBorder="1" applyProtection="1">
      <protection locked="0"/>
    </xf>
    <xf numFmtId="0" fontId="0" fillId="2" borderId="17" xfId="2" applyFont="1" applyFill="1" applyBorder="1"/>
    <xf numFmtId="0" fontId="0" fillId="2" borderId="16" xfId="2" applyFont="1" applyFill="1" applyBorder="1"/>
    <xf numFmtId="0" fontId="3" fillId="2" borderId="0" xfId="2" applyFont="1" applyFill="1" applyBorder="1" applyAlignment="1">
      <alignment horizontal="left" vertical="center"/>
    </xf>
    <xf numFmtId="0" fontId="2" fillId="2" borderId="0" xfId="2" applyFont="1" applyFill="1" applyBorder="1" applyAlignment="1" applyProtection="1">
      <alignment horizontal="left" vertical="center"/>
      <protection locked="0"/>
    </xf>
    <xf numFmtId="0" fontId="14" fillId="2" borderId="18" xfId="2" applyFont="1" applyFill="1" applyBorder="1" applyAlignment="1">
      <alignment horizontal="center" vertical="center" wrapText="1"/>
    </xf>
    <xf numFmtId="0" fontId="15" fillId="2" borderId="16" xfId="2" applyFont="1" applyFill="1" applyBorder="1" applyAlignment="1">
      <alignment horizontal="left" vertical="center"/>
    </xf>
    <xf numFmtId="4" fontId="15" fillId="2" borderId="17" xfId="2" applyNumberFormat="1" applyFont="1" applyFill="1" applyBorder="1"/>
    <xf numFmtId="0" fontId="8" fillId="2" borderId="16" xfId="2" applyFont="1" applyFill="1" applyBorder="1"/>
    <xf numFmtId="0" fontId="8" fillId="2" borderId="0" xfId="2" applyFont="1" applyFill="1" applyBorder="1" applyAlignment="1">
      <alignment horizontal="left"/>
    </xf>
    <xf numFmtId="0" fontId="6" fillId="2" borderId="0" xfId="2" applyFont="1" applyFill="1" applyBorder="1" applyAlignment="1">
      <alignment horizontal="left"/>
    </xf>
    <xf numFmtId="0" fontId="8" fillId="2" borderId="0" xfId="2" applyFont="1" applyFill="1" applyBorder="1"/>
    <xf numFmtId="0" fontId="8" fillId="2" borderId="0" xfId="2" applyFont="1" applyFill="1" applyBorder="1" applyProtection="1">
      <protection locked="0"/>
    </xf>
    <xf numFmtId="4" fontId="6" fillId="2" borderId="17" xfId="2" applyNumberFormat="1" applyFont="1" applyFill="1" applyBorder="1"/>
    <xf numFmtId="0" fontId="7" fillId="2" borderId="0" xfId="2" applyFont="1" applyFill="1" applyBorder="1" applyAlignment="1">
      <alignment horizontal="left"/>
    </xf>
    <xf numFmtId="4" fontId="7" fillId="2" borderId="17" xfId="2" applyNumberFormat="1" applyFont="1" applyFill="1" applyBorder="1"/>
    <xf numFmtId="0" fontId="14" fillId="2" borderId="19" xfId="2" applyFont="1" applyFill="1" applyBorder="1" applyAlignment="1">
      <alignment horizontal="center" vertical="center"/>
    </xf>
    <xf numFmtId="4" fontId="14" fillId="2" borderId="20" xfId="2" applyNumberFormat="1" applyFont="1" applyFill="1" applyBorder="1" applyAlignment="1">
      <alignment vertical="center"/>
    </xf>
    <xf numFmtId="0" fontId="16" fillId="2" borderId="0" xfId="2" applyFont="1" applyFill="1" applyBorder="1" applyAlignment="1">
      <alignment horizontal="left" vertical="center"/>
    </xf>
    <xf numFmtId="0" fontId="17" fillId="2" borderId="0" xfId="2" applyFont="1" applyFill="1" applyBorder="1" applyAlignment="1">
      <alignment vertical="center" wrapText="1"/>
    </xf>
    <xf numFmtId="0" fontId="9" fillId="2" borderId="16" xfId="2" applyFont="1" applyFill="1" applyBorder="1" applyAlignment="1">
      <alignment vertical="center"/>
    </xf>
    <xf numFmtId="0" fontId="9" fillId="2" borderId="0" xfId="2" applyFont="1" applyFill="1" applyBorder="1" applyAlignment="1">
      <alignment horizontal="left" vertical="center"/>
    </xf>
    <xf numFmtId="0" fontId="9" fillId="2" borderId="0" xfId="2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vertical="center"/>
    </xf>
    <xf numFmtId="0" fontId="9" fillId="2" borderId="0" xfId="2" applyFont="1" applyFill="1" applyBorder="1" applyAlignment="1" applyProtection="1">
      <alignment vertical="center"/>
      <protection locked="0"/>
    </xf>
    <xf numFmtId="0" fontId="10" fillId="2" borderId="16" xfId="2" applyFont="1" applyFill="1" applyBorder="1" applyAlignment="1">
      <alignment vertical="center"/>
    </xf>
    <xf numFmtId="0" fontId="10" fillId="2" borderId="0" xfId="2" applyFont="1" applyFill="1" applyBorder="1" applyAlignment="1">
      <alignment horizontal="left" vertical="center"/>
    </xf>
    <xf numFmtId="0" fontId="10" fillId="2" borderId="0" xfId="2" applyFont="1" applyFill="1" applyBorder="1" applyAlignment="1">
      <alignment horizontal="left" vertical="center" wrapText="1"/>
    </xf>
    <xf numFmtId="0" fontId="10" fillId="2" borderId="0" xfId="2" applyFont="1" applyFill="1" applyBorder="1" applyAlignment="1">
      <alignment vertical="center"/>
    </xf>
    <xf numFmtId="0" fontId="10" fillId="2" borderId="0" xfId="2" applyFont="1" applyFill="1" applyBorder="1" applyAlignment="1" applyProtection="1">
      <alignment vertical="center"/>
      <protection locked="0"/>
    </xf>
    <xf numFmtId="0" fontId="18" fillId="2" borderId="19" xfId="2" applyFont="1" applyFill="1" applyBorder="1" applyAlignment="1">
      <alignment horizontal="center" vertical="center"/>
    </xf>
    <xf numFmtId="0" fontId="10" fillId="2" borderId="17" xfId="2" applyFont="1" applyFill="1" applyBorder="1" applyAlignment="1">
      <alignment vertical="center"/>
    </xf>
    <xf numFmtId="0" fontId="9" fillId="2" borderId="17" xfId="2" applyFont="1" applyFill="1" applyBorder="1" applyAlignment="1">
      <alignment vertical="center"/>
    </xf>
    <xf numFmtId="0" fontId="18" fillId="2" borderId="4" xfId="2" applyFont="1" applyFill="1" applyBorder="1" applyAlignment="1">
      <alignment horizontal="center" vertical="center" wrapText="1"/>
    </xf>
    <xf numFmtId="4" fontId="14" fillId="2" borderId="19" xfId="2" applyNumberFormat="1" applyFont="1" applyFill="1" applyBorder="1" applyAlignment="1">
      <alignment vertical="center"/>
    </xf>
    <xf numFmtId="0" fontId="9" fillId="2" borderId="16" xfId="2" applyFont="1" applyFill="1" applyBorder="1" applyAlignment="1">
      <alignment horizontal="left" vertical="center"/>
    </xf>
    <xf numFmtId="4" fontId="10" fillId="2" borderId="16" xfId="2" applyNumberFormat="1" applyFont="1" applyFill="1" applyBorder="1" applyAlignment="1">
      <alignment vertical="center"/>
    </xf>
    <xf numFmtId="4" fontId="18" fillId="2" borderId="19" xfId="2" applyNumberFormat="1" applyFont="1" applyFill="1" applyBorder="1" applyAlignment="1">
      <alignment vertical="center"/>
    </xf>
    <xf numFmtId="0" fontId="0" fillId="2" borderId="0" xfId="2" applyFont="1" applyFill="1" applyBorder="1" applyAlignment="1">
      <alignment horizontal="center" vertical="center"/>
    </xf>
    <xf numFmtId="0" fontId="0" fillId="2" borderId="0" xfId="2" applyFont="1" applyFill="1" applyBorder="1" applyAlignment="1">
      <alignment horizontal="center"/>
    </xf>
    <xf numFmtId="0" fontId="0" fillId="2" borderId="0" xfId="2" applyFont="1" applyFill="1" applyAlignment="1">
      <alignment horizontal="center"/>
    </xf>
    <xf numFmtId="0" fontId="6" fillId="2" borderId="0" xfId="2" applyFont="1" applyFill="1" applyBorder="1" applyAlignment="1">
      <alignment horizontal="center"/>
    </xf>
    <xf numFmtId="0" fontId="7" fillId="2" borderId="0" xfId="2" applyFont="1" applyFill="1" applyBorder="1" applyAlignment="1">
      <alignment horizontal="center"/>
    </xf>
    <xf numFmtId="49" fontId="14" fillId="2" borderId="6" xfId="2" applyNumberFormat="1" applyFont="1" applyFill="1" applyBorder="1" applyAlignment="1">
      <alignment horizontal="center" vertical="center" wrapText="1"/>
    </xf>
    <xf numFmtId="0" fontId="9" fillId="2" borderId="0" xfId="2" applyFont="1" applyFill="1" applyBorder="1" applyAlignment="1">
      <alignment horizontal="center" vertical="center"/>
    </xf>
    <xf numFmtId="0" fontId="10" fillId="2" borderId="0" xfId="2" applyFont="1" applyFill="1" applyBorder="1" applyAlignment="1">
      <alignment horizontal="center" vertical="center"/>
    </xf>
    <xf numFmtId="49" fontId="18" fillId="2" borderId="6" xfId="2" applyNumberFormat="1" applyFont="1" applyFill="1" applyBorder="1" applyAlignment="1">
      <alignment horizontal="center" vertical="center" wrapText="1"/>
    </xf>
    <xf numFmtId="0" fontId="8" fillId="2" borderId="7" xfId="2" applyFont="1" applyFill="1" applyBorder="1"/>
    <xf numFmtId="0" fontId="8" fillId="2" borderId="8" xfId="2" applyFont="1" applyFill="1" applyBorder="1" applyAlignment="1">
      <alignment horizontal="left"/>
    </xf>
    <xf numFmtId="0" fontId="7" fillId="2" borderId="8" xfId="2" applyFont="1" applyFill="1" applyBorder="1" applyAlignment="1">
      <alignment horizontal="left"/>
    </xf>
    <xf numFmtId="0" fontId="7" fillId="2" borderId="8" xfId="2" applyFont="1" applyFill="1" applyBorder="1" applyAlignment="1">
      <alignment horizontal="center"/>
    </xf>
    <xf numFmtId="0" fontId="8" fillId="2" borderId="8" xfId="2" applyFont="1" applyFill="1" applyBorder="1"/>
    <xf numFmtId="0" fontId="8" fillId="2" borderId="8" xfId="2" applyFont="1" applyFill="1" applyBorder="1" applyProtection="1">
      <protection locked="0"/>
    </xf>
    <xf numFmtId="4" fontId="7" fillId="2" borderId="9" xfId="2" applyNumberFormat="1" applyFont="1" applyFill="1" applyBorder="1"/>
    <xf numFmtId="4" fontId="14" fillId="2" borderId="4" xfId="2" applyNumberFormat="1" applyFont="1" applyFill="1" applyBorder="1" applyAlignment="1" applyProtection="1">
      <alignment vertical="center"/>
      <protection locked="0"/>
    </xf>
    <xf numFmtId="4" fontId="18" fillId="2" borderId="4" xfId="2" applyNumberFormat="1" applyFont="1" applyFill="1" applyBorder="1" applyAlignment="1" applyProtection="1">
      <alignment vertical="center"/>
      <protection locked="0"/>
    </xf>
    <xf numFmtId="4" fontId="18" fillId="2" borderId="20" xfId="2" applyNumberFormat="1" applyFont="1" applyFill="1" applyBorder="1" applyAlignment="1">
      <alignment vertical="center"/>
    </xf>
    <xf numFmtId="0" fontId="18" fillId="2" borderId="18" xfId="2" applyFont="1" applyFill="1" applyBorder="1" applyAlignment="1">
      <alignment vertical="center"/>
    </xf>
    <xf numFmtId="0" fontId="18" fillId="2" borderId="5" xfId="2" applyFont="1" applyFill="1" applyBorder="1" applyAlignment="1">
      <alignment vertical="center"/>
    </xf>
    <xf numFmtId="0" fontId="18" fillId="2" borderId="5" xfId="2" applyFont="1" applyFill="1" applyBorder="1" applyAlignment="1">
      <alignment horizontal="center" vertical="center"/>
    </xf>
    <xf numFmtId="0" fontId="18" fillId="2" borderId="25" xfId="2" applyFont="1" applyFill="1" applyBorder="1" applyAlignment="1">
      <alignment vertical="center"/>
    </xf>
    <xf numFmtId="4" fontId="18" fillId="2" borderId="26" xfId="2" applyNumberFormat="1" applyFont="1" applyFill="1" applyBorder="1" applyAlignment="1">
      <alignment vertical="center"/>
    </xf>
    <xf numFmtId="4" fontId="18" fillId="2" borderId="3" xfId="2" applyNumberFormat="1" applyFont="1" applyFill="1" applyBorder="1" applyAlignment="1" applyProtection="1">
      <alignment vertical="center"/>
      <protection locked="0"/>
    </xf>
    <xf numFmtId="4" fontId="18" fillId="2" borderId="27" xfId="2" applyNumberFormat="1" applyFont="1" applyFill="1" applyBorder="1" applyAlignment="1">
      <alignment vertical="center"/>
    </xf>
    <xf numFmtId="4" fontId="18" fillId="2" borderId="21" xfId="2" applyNumberFormat="1" applyFont="1" applyFill="1" applyBorder="1" applyAlignment="1">
      <alignment vertical="center"/>
    </xf>
    <xf numFmtId="4" fontId="18" fillId="2" borderId="24" xfId="2" applyNumberFormat="1" applyFont="1" applyFill="1" applyBorder="1" applyAlignment="1" applyProtection="1">
      <alignment vertical="center"/>
      <protection locked="0"/>
    </xf>
    <xf numFmtId="4" fontId="18" fillId="2" borderId="23" xfId="2" applyNumberFormat="1" applyFont="1" applyFill="1" applyBorder="1" applyAlignment="1">
      <alignment vertical="center"/>
    </xf>
    <xf numFmtId="0" fontId="18" fillId="2" borderId="21" xfId="2" applyFont="1" applyFill="1" applyBorder="1" applyAlignment="1">
      <alignment horizontal="center" vertical="center"/>
    </xf>
    <xf numFmtId="0" fontId="18" fillId="2" borderId="22" xfId="2" applyFont="1" applyFill="1" applyBorder="1" applyAlignment="1">
      <alignment horizontal="center" vertical="center"/>
    </xf>
    <xf numFmtId="49" fontId="18" fillId="2" borderId="22" xfId="2" applyNumberFormat="1" applyFont="1" applyFill="1" applyBorder="1" applyAlignment="1">
      <alignment horizontal="left" vertical="center" wrapText="1"/>
    </xf>
    <xf numFmtId="49" fontId="18" fillId="2" borderId="22" xfId="2" applyNumberFormat="1" applyFont="1" applyFill="1" applyBorder="1" applyAlignment="1">
      <alignment horizontal="center" vertical="center" wrapText="1"/>
    </xf>
    <xf numFmtId="0" fontId="18" fillId="2" borderId="24" xfId="2" applyFont="1" applyFill="1" applyBorder="1" applyAlignment="1">
      <alignment horizontal="center" vertical="center" wrapText="1"/>
    </xf>
    <xf numFmtId="0" fontId="14" fillId="2" borderId="15" xfId="2" applyFont="1" applyFill="1" applyBorder="1" applyAlignment="1">
      <alignment horizontal="center" vertical="center" wrapText="1"/>
    </xf>
    <xf numFmtId="0" fontId="19" fillId="2" borderId="22" xfId="2" applyFont="1" applyFill="1" applyBorder="1" applyAlignment="1">
      <alignment horizontal="left" vertical="center" wrapText="1"/>
    </xf>
    <xf numFmtId="0" fontId="0" fillId="2" borderId="2" xfId="2" applyFont="1" applyFill="1" applyBorder="1" applyAlignment="1">
      <alignment vertical="center"/>
    </xf>
    <xf numFmtId="0" fontId="0" fillId="2" borderId="7" xfId="2" applyFont="1" applyFill="1" applyBorder="1" applyAlignment="1">
      <alignment vertical="center"/>
    </xf>
    <xf numFmtId="0" fontId="0" fillId="2" borderId="8" xfId="2" applyFont="1" applyFill="1" applyBorder="1" applyAlignment="1">
      <alignment vertical="center"/>
    </xf>
    <xf numFmtId="0" fontId="0" fillId="2" borderId="9" xfId="2" applyFont="1" applyFill="1" applyBorder="1" applyAlignment="1">
      <alignment vertical="center"/>
    </xf>
    <xf numFmtId="0" fontId="3" fillId="2" borderId="16" xfId="2" applyFont="1" applyFill="1" applyBorder="1" applyAlignment="1">
      <alignment vertical="center"/>
    </xf>
    <xf numFmtId="0" fontId="3" fillId="2" borderId="0" xfId="2" applyFont="1" applyFill="1" applyAlignment="1">
      <alignment vertical="center"/>
    </xf>
    <xf numFmtId="0" fontId="3" fillId="2" borderId="17" xfId="2" applyFont="1" applyFill="1" applyBorder="1" applyAlignment="1">
      <alignment vertical="center"/>
    </xf>
    <xf numFmtId="0" fontId="4" fillId="2" borderId="16" xfId="2" applyFont="1" applyFill="1" applyBorder="1" applyAlignment="1">
      <alignment vertical="center"/>
    </xf>
    <xf numFmtId="0" fontId="4" fillId="2" borderId="0" xfId="2" applyFont="1" applyFill="1" applyAlignment="1">
      <alignment vertical="center"/>
    </xf>
    <xf numFmtId="0" fontId="4" fillId="2" borderId="17" xfId="2" applyFont="1" applyFill="1" applyBorder="1" applyAlignment="1">
      <alignment vertical="center"/>
    </xf>
    <xf numFmtId="0" fontId="0" fillId="4" borderId="16" xfId="2" applyFont="1" applyFill="1" applyBorder="1" applyAlignment="1">
      <alignment vertical="center"/>
    </xf>
    <xf numFmtId="0" fontId="0" fillId="4" borderId="17" xfId="2" applyFont="1" applyFill="1" applyBorder="1" applyAlignment="1">
      <alignment vertical="center"/>
    </xf>
    <xf numFmtId="0" fontId="5" fillId="2" borderId="16" xfId="2" applyFont="1" applyFill="1" applyBorder="1" applyAlignment="1">
      <alignment vertical="center"/>
    </xf>
    <xf numFmtId="0" fontId="5" fillId="2" borderId="0" xfId="2" applyFont="1" applyFill="1" applyAlignment="1">
      <alignment vertical="center"/>
    </xf>
    <xf numFmtId="0" fontId="22" fillId="2" borderId="16" xfId="2" applyFont="1" applyFill="1" applyBorder="1" applyAlignment="1">
      <alignment vertical="center"/>
    </xf>
    <xf numFmtId="0" fontId="22" fillId="2" borderId="0" xfId="2" applyFont="1" applyFill="1" applyAlignment="1">
      <alignment vertical="center"/>
    </xf>
    <xf numFmtId="4" fontId="3" fillId="2" borderId="0" xfId="2" applyNumberFormat="1" applyFont="1" applyFill="1" applyAlignment="1">
      <alignment vertical="center"/>
    </xf>
    <xf numFmtId="4" fontId="0" fillId="2" borderId="0" xfId="0" applyNumberFormat="1" applyFill="1"/>
    <xf numFmtId="4" fontId="26" fillId="2" borderId="0" xfId="2" applyNumberFormat="1" applyFont="1" applyFill="1" applyAlignment="1">
      <alignment vertical="center"/>
    </xf>
    <xf numFmtId="0" fontId="0" fillId="4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horizontal="left" vertical="center"/>
    </xf>
    <xf numFmtId="0" fontId="12" fillId="2" borderId="0" xfId="2" applyFont="1" applyFill="1" applyBorder="1" applyAlignment="1">
      <alignment vertical="center"/>
    </xf>
    <xf numFmtId="0" fontId="14" fillId="2" borderId="9" xfId="2" applyFont="1" applyFill="1" applyBorder="1" applyAlignment="1">
      <alignment horizontal="center" vertical="center"/>
    </xf>
    <xf numFmtId="0" fontId="15" fillId="2" borderId="0" xfId="2" applyFont="1" applyFill="1" applyBorder="1" applyAlignment="1">
      <alignment horizontal="left" vertical="center"/>
    </xf>
    <xf numFmtId="0" fontId="15" fillId="2" borderId="0" xfId="2" applyFont="1" applyFill="1" applyBorder="1" applyAlignment="1">
      <alignment vertical="center"/>
    </xf>
    <xf numFmtId="0" fontId="5" fillId="2" borderId="17" xfId="2" applyFont="1" applyFill="1" applyBorder="1" applyAlignment="1">
      <alignment horizontal="center" vertical="center"/>
    </xf>
    <xf numFmtId="0" fontId="23" fillId="2" borderId="0" xfId="2" applyFont="1" applyFill="1" applyBorder="1" applyAlignment="1">
      <alignment vertical="center"/>
    </xf>
    <xf numFmtId="0" fontId="24" fillId="2" borderId="0" xfId="2" applyFont="1" applyFill="1" applyBorder="1" applyAlignment="1">
      <alignment vertical="center"/>
    </xf>
    <xf numFmtId="0" fontId="4" fillId="2" borderId="17" xfId="2" applyFont="1" applyFill="1" applyBorder="1" applyAlignment="1">
      <alignment horizontal="center" vertical="center"/>
    </xf>
    <xf numFmtId="0" fontId="7" fillId="2" borderId="0" xfId="2" applyFont="1" applyFill="1" applyBorder="1" applyAlignment="1">
      <alignment vertical="center"/>
    </xf>
    <xf numFmtId="0" fontId="3" fillId="2" borderId="17" xfId="2" applyFont="1" applyFill="1" applyBorder="1" applyAlignment="1">
      <alignment horizontal="center" vertical="center"/>
    </xf>
    <xf numFmtId="0" fontId="3" fillId="2" borderId="30" xfId="2" applyFont="1" applyFill="1" applyBorder="1" applyAlignment="1">
      <alignment vertical="center"/>
    </xf>
    <xf numFmtId="0" fontId="7" fillId="2" borderId="28" xfId="2" applyFont="1" applyFill="1" applyBorder="1" applyAlignment="1">
      <alignment vertical="center"/>
    </xf>
    <xf numFmtId="0" fontId="3" fillId="2" borderId="29" xfId="2" applyFont="1" applyFill="1" applyBorder="1" applyAlignment="1">
      <alignment horizontal="center" vertical="center"/>
    </xf>
    <xf numFmtId="0" fontId="0" fillId="2" borderId="0" xfId="2" applyFont="1" applyFill="1" applyBorder="1"/>
    <xf numFmtId="0" fontId="0" fillId="2" borderId="0" xfId="2" applyFont="1" applyFill="1" applyBorder="1" applyAlignment="1">
      <alignment vertical="center"/>
    </xf>
    <xf numFmtId="0" fontId="0" fillId="2" borderId="0" xfId="2" applyFont="1" applyFill="1" applyBorder="1"/>
    <xf numFmtId="0" fontId="0" fillId="2" borderId="0" xfId="2" applyFont="1" applyFill="1" applyBorder="1" applyAlignment="1">
      <alignment vertical="center"/>
    </xf>
    <xf numFmtId="164" fontId="3" fillId="2" borderId="17" xfId="2" applyNumberFormat="1" applyFont="1" applyFill="1" applyBorder="1" applyAlignment="1">
      <alignment horizontal="left" vertical="center"/>
    </xf>
    <xf numFmtId="0" fontId="3" fillId="2" borderId="17" xfId="2" applyFont="1" applyFill="1" applyBorder="1" applyAlignment="1">
      <alignment horizontal="left" vertical="center" wrapText="1"/>
    </xf>
    <xf numFmtId="0" fontId="27" fillId="2" borderId="0" xfId="2" applyFont="1" applyFill="1"/>
    <xf numFmtId="4" fontId="27" fillId="2" borderId="0" xfId="2" applyNumberFormat="1" applyFont="1" applyFill="1"/>
    <xf numFmtId="4" fontId="8" fillId="2" borderId="0" xfId="2" applyNumberFormat="1" applyFont="1" applyFill="1"/>
    <xf numFmtId="0" fontId="3" fillId="2" borderId="0" xfId="2" applyFont="1" applyFill="1" applyBorder="1" applyAlignment="1">
      <alignment horizontal="left" vertical="center"/>
    </xf>
    <xf numFmtId="0" fontId="0" fillId="2" borderId="0" xfId="2" applyFont="1" applyFill="1" applyBorder="1"/>
    <xf numFmtId="0" fontId="0" fillId="2" borderId="0" xfId="2" applyFont="1" applyFill="1" applyBorder="1" applyAlignment="1">
      <alignment vertical="center"/>
    </xf>
    <xf numFmtId="0" fontId="4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horizontal="left" vertical="center"/>
    </xf>
    <xf numFmtId="0" fontId="25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/>
    <xf numFmtId="0" fontId="0" fillId="2" borderId="0" xfId="2" applyFont="1" applyFill="1" applyBorder="1" applyAlignment="1">
      <alignment vertical="center"/>
    </xf>
    <xf numFmtId="0" fontId="2" fillId="2" borderId="0" xfId="2" applyFont="1" applyFill="1" applyBorder="1" applyAlignment="1">
      <alignment horizontal="left" vertical="center"/>
    </xf>
    <xf numFmtId="49" fontId="9" fillId="2" borderId="0" xfId="2" applyNumberFormat="1" applyFont="1" applyFill="1" applyBorder="1" applyAlignment="1">
      <alignment horizontal="left" vertical="center" wrapText="1"/>
    </xf>
    <xf numFmtId="0" fontId="0" fillId="2" borderId="30" xfId="2" applyFont="1" applyFill="1" applyBorder="1"/>
    <xf numFmtId="0" fontId="0" fillId="2" borderId="28" xfId="2" applyFont="1" applyFill="1" applyBorder="1" applyProtection="1">
      <protection locked="0"/>
    </xf>
    <xf numFmtId="0" fontId="0" fillId="2" borderId="29" xfId="2" applyFont="1" applyFill="1" applyBorder="1"/>
    <xf numFmtId="4" fontId="0" fillId="5" borderId="6" xfId="0" applyNumberFormat="1" applyFill="1" applyBorder="1" applyAlignment="1" applyProtection="1">
      <alignment vertical="center"/>
      <protection locked="0"/>
    </xf>
    <xf numFmtId="0" fontId="10" fillId="2" borderId="0" xfId="2" applyFont="1" applyFill="1" applyAlignment="1" applyProtection="1">
      <alignment vertical="center"/>
      <protection locked="0"/>
    </xf>
    <xf numFmtId="0" fontId="0" fillId="2" borderId="0" xfId="2" applyFont="1" applyFill="1" applyAlignment="1" applyProtection="1">
      <alignment vertical="center"/>
      <protection locked="0"/>
    </xf>
    <xf numFmtId="0" fontId="4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vertical="center"/>
    </xf>
    <xf numFmtId="0" fontId="3" fillId="2" borderId="0" xfId="2" applyFont="1" applyFill="1" applyBorder="1" applyAlignment="1">
      <alignment horizontal="left" vertical="center"/>
    </xf>
    <xf numFmtId="0" fontId="25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 applyAlignment="1">
      <alignment vertical="center"/>
    </xf>
    <xf numFmtId="0" fontId="2" fillId="2" borderId="0" xfId="2" applyFont="1" applyFill="1" applyBorder="1" applyAlignment="1">
      <alignment horizontal="left" vertical="center"/>
    </xf>
    <xf numFmtId="0" fontId="8" fillId="2" borderId="0" xfId="2" applyFont="1" applyFill="1" applyAlignment="1">
      <alignment horizontal="center" vertical="center" wrapText="1"/>
    </xf>
    <xf numFmtId="4" fontId="0" fillId="2" borderId="0" xfId="2" applyNumberFormat="1" applyFont="1" applyFill="1" applyAlignment="1">
      <alignment vertical="center"/>
    </xf>
    <xf numFmtId="4" fontId="10" fillId="2" borderId="0" xfId="2" applyNumberFormat="1" applyFont="1" applyFill="1" applyAlignment="1">
      <alignment vertical="center"/>
    </xf>
    <xf numFmtId="0" fontId="8" fillId="2" borderId="0" xfId="2" applyFont="1" applyFill="1" applyAlignment="1">
      <alignment vertical="center"/>
    </xf>
    <xf numFmtId="4" fontId="0" fillId="2" borderId="0" xfId="0" applyNumberFormat="1" applyFill="1" applyAlignment="1">
      <alignment vertical="center"/>
    </xf>
    <xf numFmtId="0" fontId="0" fillId="2" borderId="0" xfId="0" applyFill="1" applyAlignment="1">
      <alignment vertical="center"/>
    </xf>
    <xf numFmtId="0" fontId="25" fillId="2" borderId="0" xfId="2" applyFont="1" applyFill="1" applyBorder="1" applyAlignment="1">
      <alignment horizontal="left" vertical="center" wrapText="1"/>
    </xf>
    <xf numFmtId="0" fontId="3" fillId="2" borderId="0" xfId="2" applyFont="1" applyFill="1" applyBorder="1" applyAlignment="1">
      <alignment horizontal="left" vertical="center"/>
    </xf>
    <xf numFmtId="0" fontId="0" fillId="2" borderId="0" xfId="2" applyFont="1" applyFill="1" applyBorder="1"/>
    <xf numFmtId="0" fontId="0" fillId="2" borderId="0" xfId="2" applyFont="1" applyFill="1" applyBorder="1" applyAlignment="1">
      <alignment vertical="center"/>
    </xf>
    <xf numFmtId="0" fontId="16" fillId="2" borderId="0" xfId="2" applyFont="1" applyFill="1" applyAlignment="1">
      <alignment horizontal="left" vertical="center"/>
    </xf>
    <xf numFmtId="0" fontId="10" fillId="2" borderId="0" xfId="2" applyFont="1" applyFill="1" applyAlignment="1">
      <alignment horizontal="left" vertical="center"/>
    </xf>
    <xf numFmtId="0" fontId="10" fillId="2" borderId="0" xfId="2" applyFont="1" applyFill="1" applyAlignment="1">
      <alignment horizontal="center" vertical="center"/>
    </xf>
    <xf numFmtId="0" fontId="10" fillId="2" borderId="0" xfId="2" applyFont="1" applyFill="1" applyAlignment="1">
      <alignment horizontal="left" vertical="center" wrapText="1"/>
    </xf>
    <xf numFmtId="0" fontId="0" fillId="2" borderId="0" xfId="2" applyFont="1" applyFill="1" applyAlignment="1">
      <alignment horizontal="center" vertical="center"/>
    </xf>
    <xf numFmtId="0" fontId="0" fillId="2" borderId="0" xfId="2" applyFont="1" applyFill="1" applyAlignment="1">
      <alignment vertical="center"/>
    </xf>
    <xf numFmtId="0" fontId="3" fillId="2" borderId="0" xfId="2" applyFont="1" applyFill="1" applyAlignment="1">
      <alignment horizontal="left" vertical="center"/>
    </xf>
    <xf numFmtId="0" fontId="2" fillId="2" borderId="0" xfId="2" applyFont="1" applyFill="1" applyAlignment="1" applyProtection="1">
      <alignment horizontal="left" vertical="center"/>
      <protection locked="0"/>
    </xf>
    <xf numFmtId="0" fontId="8" fillId="2" borderId="0" xfId="2" applyFont="1" applyFill="1" applyAlignment="1">
      <alignment horizontal="left"/>
    </xf>
    <xf numFmtId="0" fontId="6" fillId="2" borderId="0" xfId="2" applyFont="1" applyFill="1" applyAlignment="1">
      <alignment horizontal="left"/>
    </xf>
    <xf numFmtId="0" fontId="6" fillId="2" borderId="0" xfId="2" applyFont="1" applyFill="1" applyAlignment="1">
      <alignment horizontal="center"/>
    </xf>
    <xf numFmtId="0" fontId="8" fillId="2" borderId="0" xfId="2" applyFont="1" applyFill="1" applyProtection="1">
      <protection locked="0"/>
    </xf>
    <xf numFmtId="0" fontId="7" fillId="2" borderId="0" xfId="2" applyFont="1" applyFill="1" applyAlignment="1">
      <alignment horizontal="left"/>
    </xf>
    <xf numFmtId="0" fontId="7" fillId="2" borderId="0" xfId="2" applyFont="1" applyFill="1" applyAlignment="1">
      <alignment horizontal="center"/>
    </xf>
    <xf numFmtId="0" fontId="17" fillId="2" borderId="0" xfId="2" applyFont="1" applyFill="1" applyAlignment="1">
      <alignment vertical="center" wrapText="1"/>
    </xf>
    <xf numFmtId="0" fontId="9" fillId="2" borderId="0" xfId="2" applyFont="1" applyFill="1" applyAlignment="1">
      <alignment horizontal="left" vertical="center"/>
    </xf>
    <xf numFmtId="0" fontId="9" fillId="2" borderId="0" xfId="2" applyFont="1" applyFill="1" applyAlignment="1">
      <alignment horizontal="center" vertical="center"/>
    </xf>
    <xf numFmtId="0" fontId="9" fillId="2" borderId="0" xfId="2" applyFont="1" applyFill="1" applyAlignment="1">
      <alignment horizontal="left" vertical="center" wrapText="1"/>
    </xf>
    <xf numFmtId="0" fontId="9" fillId="2" borderId="0" xfId="2" applyFont="1" applyFill="1" applyAlignment="1">
      <alignment vertical="center"/>
    </xf>
    <xf numFmtId="0" fontId="9" fillId="2" borderId="0" xfId="2" applyFont="1" applyFill="1" applyAlignment="1" applyProtection="1">
      <alignment vertical="center"/>
      <protection locked="0"/>
    </xf>
    <xf numFmtId="0" fontId="29" fillId="2" borderId="0" xfId="2" applyFont="1" applyFill="1"/>
    <xf numFmtId="4" fontId="29" fillId="2" borderId="0" xfId="2" applyNumberFormat="1" applyFont="1" applyFill="1"/>
    <xf numFmtId="0" fontId="30" fillId="2" borderId="0" xfId="2" applyFont="1" applyFill="1"/>
    <xf numFmtId="0" fontId="31" fillId="2" borderId="0" xfId="2" applyFont="1" applyFill="1"/>
    <xf numFmtId="4" fontId="31" fillId="2" borderId="0" xfId="2" applyNumberFormat="1" applyFont="1" applyFill="1"/>
    <xf numFmtId="0" fontId="32" fillId="2" borderId="0" xfId="2" applyFont="1" applyFill="1"/>
    <xf numFmtId="0" fontId="30" fillId="2" borderId="0" xfId="0" applyFont="1" applyFill="1"/>
    <xf numFmtId="4" fontId="20" fillId="0" borderId="34" xfId="3" applyNumberFormat="1" applyBorder="1" applyAlignment="1">
      <alignment vertical="center"/>
    </xf>
    <xf numFmtId="4" fontId="5" fillId="2" borderId="0" xfId="2" applyNumberFormat="1" applyFont="1" applyFill="1" applyAlignment="1">
      <alignment vertical="center"/>
    </xf>
    <xf numFmtId="0" fontId="0" fillId="2" borderId="0" xfId="2" applyFont="1" applyFill="1"/>
    <xf numFmtId="0" fontId="4" fillId="2" borderId="0" xfId="2" applyFont="1" applyFill="1" applyAlignment="1"/>
    <xf numFmtId="0" fontId="4" fillId="2" borderId="0" xfId="2" applyFont="1" applyFill="1"/>
    <xf numFmtId="0" fontId="12" fillId="2" borderId="0" xfId="2" applyFont="1" applyFill="1"/>
    <xf numFmtId="0" fontId="12" fillId="2" borderId="0" xfId="2" applyFont="1" applyFill="1" applyAlignment="1">
      <alignment horizontal="center"/>
    </xf>
    <xf numFmtId="0" fontId="12" fillId="2" borderId="0" xfId="2" applyFont="1" applyFill="1" applyAlignment="1">
      <alignment horizontal="left"/>
    </xf>
    <xf numFmtId="0" fontId="12" fillId="2" borderId="0" xfId="2" applyFont="1" applyFill="1" applyAlignment="1" applyProtection="1">
      <alignment horizontal="right"/>
      <protection locked="0"/>
    </xf>
    <xf numFmtId="0" fontId="12" fillId="2" borderId="0" xfId="2" applyFont="1" applyFill="1" applyProtection="1">
      <protection locked="0"/>
    </xf>
    <xf numFmtId="0" fontId="25" fillId="2" borderId="0" xfId="2" applyFont="1" applyFill="1" applyBorder="1" applyAlignment="1">
      <alignment horizontal="left" vertical="center" wrapText="1"/>
    </xf>
    <xf numFmtId="0" fontId="25" fillId="2" borderId="0" xfId="2" applyFont="1" applyFill="1" applyBorder="1" applyAlignment="1">
      <alignment horizontal="right" vertical="center" wrapText="1"/>
    </xf>
    <xf numFmtId="4" fontId="7" fillId="4" borderId="16" xfId="2" applyNumberFormat="1" applyFont="1" applyFill="1" applyBorder="1" applyAlignment="1">
      <alignment vertical="center"/>
    </xf>
    <xf numFmtId="4" fontId="7" fillId="4" borderId="0" xfId="2" applyNumberFormat="1" applyFont="1" applyFill="1" applyBorder="1" applyAlignment="1">
      <alignment vertical="center"/>
    </xf>
    <xf numFmtId="0" fontId="7" fillId="4" borderId="0" xfId="2" applyFont="1" applyFill="1" applyBorder="1" applyAlignment="1">
      <alignment vertical="center"/>
    </xf>
    <xf numFmtId="0" fontId="7" fillId="4" borderId="17" xfId="2" applyFont="1" applyFill="1" applyBorder="1" applyAlignment="1">
      <alignment vertical="center"/>
    </xf>
    <xf numFmtId="0" fontId="27" fillId="2" borderId="0" xfId="2" applyFont="1" applyFill="1" applyAlignment="1">
      <alignment horizontal="right"/>
    </xf>
    <xf numFmtId="0" fontId="25" fillId="2" borderId="28" xfId="2" applyFont="1" applyFill="1" applyBorder="1" applyAlignment="1">
      <alignment horizontal="left" vertical="center" wrapText="1"/>
    </xf>
    <xf numFmtId="0" fontId="25" fillId="2" borderId="28" xfId="2" applyFont="1" applyFill="1" applyBorder="1" applyAlignment="1">
      <alignment horizontal="right" vertical="center" wrapText="1"/>
    </xf>
    <xf numFmtId="4" fontId="7" fillId="4" borderId="30" xfId="2" applyNumberFormat="1" applyFont="1" applyFill="1" applyBorder="1" applyAlignment="1">
      <alignment vertical="center"/>
    </xf>
    <xf numFmtId="4" fontId="7" fillId="4" borderId="28" xfId="2" applyNumberFormat="1" applyFont="1" applyFill="1" applyBorder="1" applyAlignment="1">
      <alignment vertical="center"/>
    </xf>
    <xf numFmtId="0" fontId="7" fillId="4" borderId="28" xfId="2" applyFont="1" applyFill="1" applyBorder="1" applyAlignment="1">
      <alignment vertical="center"/>
    </xf>
    <xf numFmtId="0" fontId="7" fillId="4" borderId="29" xfId="2" applyFont="1" applyFill="1" applyBorder="1" applyAlignment="1">
      <alignment vertical="center"/>
    </xf>
    <xf numFmtId="4" fontId="7" fillId="4" borderId="16" xfId="2" applyNumberFormat="1" applyFont="1" applyFill="1" applyBorder="1" applyAlignment="1">
      <alignment horizontal="right" vertical="center"/>
    </xf>
    <xf numFmtId="4" fontId="7" fillId="4" borderId="0" xfId="2" applyNumberFormat="1" applyFont="1" applyFill="1" applyBorder="1" applyAlignment="1">
      <alignment horizontal="right" vertical="center"/>
    </xf>
    <xf numFmtId="0" fontId="23" fillId="2" borderId="0" xfId="2" applyFont="1" applyFill="1" applyBorder="1" applyAlignment="1">
      <alignment horizontal="left" vertical="center" wrapText="1"/>
    </xf>
    <xf numFmtId="4" fontId="24" fillId="4" borderId="16" xfId="2" applyNumberFormat="1" applyFont="1" applyFill="1" applyBorder="1" applyAlignment="1">
      <alignment horizontal="right" vertical="center"/>
    </xf>
    <xf numFmtId="4" fontId="24" fillId="4" borderId="0" xfId="2" applyNumberFormat="1" applyFont="1" applyFill="1" applyBorder="1" applyAlignment="1">
      <alignment horizontal="right" vertical="center"/>
    </xf>
    <xf numFmtId="4" fontId="24" fillId="4" borderId="0" xfId="2" applyNumberFormat="1" applyFont="1" applyFill="1" applyBorder="1" applyAlignment="1">
      <alignment vertical="center"/>
    </xf>
    <xf numFmtId="0" fontId="24" fillId="4" borderId="0" xfId="2" applyFont="1" applyFill="1" applyBorder="1" applyAlignment="1">
      <alignment vertical="center"/>
    </xf>
    <xf numFmtId="0" fontId="24" fillId="4" borderId="17" xfId="2" applyFont="1" applyFill="1" applyBorder="1" applyAlignment="1">
      <alignment vertical="center"/>
    </xf>
    <xf numFmtId="4" fontId="15" fillId="4" borderId="16" xfId="2" applyNumberFormat="1" applyFont="1" applyFill="1" applyBorder="1" applyAlignment="1">
      <alignment horizontal="right" vertical="center"/>
    </xf>
    <xf numFmtId="4" fontId="15" fillId="4" borderId="0" xfId="2" applyNumberFormat="1" applyFont="1" applyFill="1" applyBorder="1" applyAlignment="1">
      <alignment horizontal="right" vertical="center"/>
    </xf>
    <xf numFmtId="4" fontId="15" fillId="4" borderId="0" xfId="2" applyNumberFormat="1" applyFont="1" applyFill="1" applyBorder="1" applyAlignment="1">
      <alignment vertical="center"/>
    </xf>
    <xf numFmtId="4" fontId="15" fillId="4" borderId="17" xfId="2" applyNumberFormat="1" applyFont="1" applyFill="1" applyBorder="1" applyAlignment="1">
      <alignment vertical="center"/>
    </xf>
    <xf numFmtId="0" fontId="11" fillId="2" borderId="16" xfId="2" applyFont="1" applyFill="1" applyBorder="1" applyAlignment="1">
      <alignment horizontal="center" vertical="center"/>
    </xf>
    <xf numFmtId="0" fontId="11" fillId="2" borderId="0" xfId="2" applyFont="1" applyFill="1" applyBorder="1" applyAlignment="1">
      <alignment horizontal="center" vertical="center"/>
    </xf>
    <xf numFmtId="0" fontId="11" fillId="2" borderId="17" xfId="2" applyFont="1" applyFill="1" applyBorder="1" applyAlignment="1">
      <alignment horizontal="center" vertical="center"/>
    </xf>
    <xf numFmtId="0" fontId="3" fillId="2" borderId="0" xfId="2" applyFont="1" applyFill="1" applyBorder="1" applyAlignment="1">
      <alignment horizontal="left" vertical="center"/>
    </xf>
    <xf numFmtId="0" fontId="4" fillId="2" borderId="0" xfId="2" applyFont="1" applyFill="1" applyBorder="1" applyAlignment="1">
      <alignment horizontal="left" vertical="center" wrapText="1"/>
    </xf>
    <xf numFmtId="0" fontId="4" fillId="2" borderId="0" xfId="2" applyFont="1" applyFill="1" applyBorder="1" applyAlignment="1">
      <alignment vertical="center"/>
    </xf>
    <xf numFmtId="164" fontId="3" fillId="2" borderId="0" xfId="2" applyNumberFormat="1" applyFont="1" applyFill="1" applyBorder="1" applyAlignment="1">
      <alignment horizontal="left" vertical="center"/>
    </xf>
    <xf numFmtId="0" fontId="3" fillId="2" borderId="0" xfId="2" applyFont="1" applyFill="1" applyBorder="1" applyAlignment="1">
      <alignment vertical="center" wrapText="1"/>
    </xf>
    <xf numFmtId="0" fontId="3" fillId="2" borderId="0" xfId="2" applyFont="1" applyFill="1" applyBorder="1" applyAlignment="1">
      <alignment vertical="center"/>
    </xf>
    <xf numFmtId="0" fontId="21" fillId="4" borderId="7" xfId="2" applyFont="1" applyFill="1" applyBorder="1" applyAlignment="1">
      <alignment horizontal="center" vertical="center"/>
    </xf>
    <xf numFmtId="0" fontId="21" fillId="4" borderId="8" xfId="2" applyFont="1" applyFill="1" applyBorder="1" applyAlignment="1">
      <alignment horizontal="center" vertical="center"/>
    </xf>
    <xf numFmtId="0" fontId="21" fillId="4" borderId="9" xfId="2" applyFont="1" applyFill="1" applyBorder="1" applyAlignment="1">
      <alignment horizontal="center" vertical="center"/>
    </xf>
    <xf numFmtId="0" fontId="14" fillId="2" borderId="1" xfId="2" applyFont="1" applyFill="1" applyBorder="1" applyAlignment="1">
      <alignment horizontal="center" vertical="center"/>
    </xf>
    <xf numFmtId="0" fontId="14" fillId="2" borderId="2" xfId="2" applyFont="1" applyFill="1" applyBorder="1" applyAlignment="1">
      <alignment horizontal="left" vertical="center"/>
    </xf>
    <xf numFmtId="0" fontId="14" fillId="2" borderId="2" xfId="2" applyFont="1" applyFill="1" applyBorder="1" applyAlignment="1">
      <alignment horizontal="center" vertical="center"/>
    </xf>
    <xf numFmtId="0" fontId="14" fillId="4" borderId="31" xfId="2" applyFont="1" applyFill="1" applyBorder="1" applyAlignment="1">
      <alignment horizontal="right" vertical="center"/>
    </xf>
    <xf numFmtId="0" fontId="14" fillId="4" borderId="32" xfId="2" applyFont="1" applyFill="1" applyBorder="1" applyAlignment="1">
      <alignment horizontal="left" vertical="center"/>
    </xf>
    <xf numFmtId="0" fontId="14" fillId="4" borderId="32" xfId="2" applyFont="1" applyFill="1" applyBorder="1" applyAlignment="1">
      <alignment horizontal="center" vertical="center"/>
    </xf>
    <xf numFmtId="0" fontId="14" fillId="4" borderId="33" xfId="2" applyFont="1" applyFill="1" applyBorder="1" applyAlignment="1">
      <alignment horizontal="left" vertical="center"/>
    </xf>
    <xf numFmtId="0" fontId="29" fillId="2" borderId="0" xfId="2" applyFont="1" applyFill="1" applyAlignment="1">
      <alignment horizontal="right"/>
    </xf>
    <xf numFmtId="0" fontId="31" fillId="2" borderId="0" xfId="2" applyFont="1" applyFill="1" applyAlignment="1">
      <alignment horizontal="right"/>
    </xf>
    <xf numFmtId="0" fontId="11" fillId="2" borderId="7" xfId="2" applyFont="1" applyFill="1" applyBorder="1" applyAlignment="1">
      <alignment horizontal="center" vertical="center"/>
    </xf>
    <xf numFmtId="0" fontId="11" fillId="2" borderId="8" xfId="2" applyFont="1" applyFill="1" applyBorder="1" applyAlignment="1">
      <alignment horizontal="center" vertical="center"/>
    </xf>
    <xf numFmtId="0" fontId="11" fillId="2" borderId="9" xfId="2" applyFont="1" applyFill="1" applyBorder="1" applyAlignment="1">
      <alignment horizontal="center" vertical="center"/>
    </xf>
    <xf numFmtId="0" fontId="2" fillId="2" borderId="0" xfId="2" applyFont="1" applyFill="1" applyBorder="1" applyAlignment="1">
      <alignment horizontal="left" vertical="center" wrapText="1"/>
    </xf>
    <xf numFmtId="0" fontId="0" fillId="2" borderId="0" xfId="2" applyFont="1" applyFill="1" applyBorder="1"/>
    <xf numFmtId="0" fontId="13" fillId="2" borderId="0" xfId="2" applyFont="1" applyFill="1" applyBorder="1" applyAlignment="1">
      <alignment horizontal="left" vertical="center"/>
    </xf>
    <xf numFmtId="0" fontId="0" fillId="2" borderId="0" xfId="2" applyFont="1" applyFill="1" applyBorder="1" applyAlignment="1">
      <alignment vertical="center"/>
    </xf>
    <xf numFmtId="0" fontId="12" fillId="3" borderId="10" xfId="2" applyFont="1" applyFill="1" applyBorder="1" applyAlignment="1">
      <alignment horizontal="center" vertical="center"/>
    </xf>
    <xf numFmtId="0" fontId="12" fillId="3" borderId="11" xfId="2" applyFont="1" applyFill="1" applyBorder="1" applyAlignment="1">
      <alignment horizontal="center" vertical="center"/>
    </xf>
    <xf numFmtId="0" fontId="12" fillId="3" borderId="12" xfId="2" applyFont="1" applyFill="1" applyBorder="1" applyAlignment="1">
      <alignment horizontal="center" vertical="center"/>
    </xf>
    <xf numFmtId="0" fontId="2" fillId="2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left" vertical="center" wrapText="1"/>
    </xf>
    <xf numFmtId="0" fontId="2" fillId="2" borderId="0" xfId="2" applyFont="1" applyFill="1" applyAlignment="1">
      <alignment horizontal="left" vertical="center"/>
    </xf>
    <xf numFmtId="0" fontId="0" fillId="2" borderId="0" xfId="2" applyFont="1" applyFill="1"/>
    <xf numFmtId="0" fontId="13" fillId="2" borderId="0" xfId="2" applyFont="1" applyFill="1" applyAlignment="1">
      <alignment horizontal="left" vertical="center"/>
    </xf>
    <xf numFmtId="0" fontId="0" fillId="2" borderId="0" xfId="2" applyFont="1" applyFill="1" applyAlignment="1">
      <alignment vertical="center"/>
    </xf>
    <xf numFmtId="0" fontId="4" fillId="2" borderId="0" xfId="2" applyFont="1" applyFill="1" applyAlignment="1">
      <alignment horizontal="left" vertical="center" wrapText="1"/>
    </xf>
  </cellXfs>
  <cellStyles count="5">
    <cellStyle name="Normal" xfId="2" xr:uid="{00000000-0005-0000-0000-000000000000}"/>
    <cellStyle name="Normální" xfId="0" builtinId="0" customBuiltin="1"/>
    <cellStyle name="Normální 2" xfId="1" xr:uid="{00000000-0005-0000-0000-000002000000}"/>
    <cellStyle name="Normální 3" xfId="3" xr:uid="{C7090DE1-336A-4AA7-973D-66228CD88526}"/>
    <cellStyle name="Normální 96" xfId="4" xr:uid="{0662F40A-5242-4745-BA99-B30DFB7722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.HNILICKA\Documents\6003_Povod&#237;%20Jizery%20B\6003_Zm&#283;ny\6003_Kolomuty\6003_Zm&#283;na_m&#237;stn&#237;%20komunikace_Kolomuty_2021\6003-CN-Kolomuty-POHL_Powercem%202021_v&#269;%20prodlou&#382;en&#237;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úsek5-a-část-úsek3"/>
      <sheetName val="úsek5 bez kanalizace"/>
    </sheetNames>
    <sheetDataSet>
      <sheetData sheetId="0">
        <row r="2">
          <cell r="A2" t="str">
            <v>Rozpočet stavby (výkaz výměr)</v>
          </cell>
        </row>
        <row r="4">
          <cell r="K4" t="str">
            <v>Oprava MK Kolomuty 2021</v>
          </cell>
        </row>
        <row r="5">
          <cell r="K5" t="str">
            <v>Kolomuty</v>
          </cell>
          <cell r="AL5">
            <v>44514</v>
          </cell>
        </row>
        <row r="7">
          <cell r="K7" t="str">
            <v>Vodovody a kanalizace Mladá Boleslav, a.s.</v>
          </cell>
        </row>
      </sheetData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C7C004-2320-4F28-BC30-447D951C425D}">
  <sheetPr>
    <tabColor rgb="FF92D050"/>
    <pageSetUpPr fitToPage="1"/>
  </sheetPr>
  <dimension ref="A1:AQ75"/>
  <sheetViews>
    <sheetView topLeftCell="A7" zoomScale="110" zoomScaleNormal="110" zoomScaleSheetLayoutView="100" workbookViewId="0">
      <selection activeCell="AF22" sqref="AF22:AL22"/>
    </sheetView>
  </sheetViews>
  <sheetFormatPr defaultColWidth="9.1640625" defaultRowHeight="11.25" x14ac:dyDescent="0.2"/>
  <cols>
    <col min="1" max="1" width="1.6640625" style="1" customWidth="1"/>
    <col min="2" max="2" width="4.1640625" style="1" customWidth="1"/>
    <col min="3" max="32" width="2.6640625" style="1" customWidth="1"/>
    <col min="33" max="33" width="3.33203125" style="1" customWidth="1"/>
    <col min="34" max="34" width="31.6640625" style="1" customWidth="1"/>
    <col min="35" max="36" width="2.5" style="1" customWidth="1"/>
    <col min="37" max="37" width="8.33203125" style="1" customWidth="1"/>
    <col min="38" max="38" width="3.33203125" style="1" customWidth="1"/>
    <col min="39" max="39" width="13.33203125" style="1" customWidth="1"/>
    <col min="40" max="40" width="7.5" style="1" customWidth="1"/>
    <col min="41" max="41" width="4.1640625" style="1" customWidth="1"/>
    <col min="42" max="42" width="15.6640625" style="1" hidden="1" customWidth="1"/>
    <col min="43" max="43" width="5.83203125" style="3" customWidth="1"/>
    <col min="44" max="16384" width="9.1640625" style="3"/>
  </cols>
  <sheetData>
    <row r="1" spans="1:43" s="4" customFormat="1" ht="6.95" customHeight="1" x14ac:dyDescent="0.2">
      <c r="A1" s="99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1"/>
    </row>
    <row r="2" spans="1:43" s="4" customFormat="1" ht="24.95" customHeight="1" x14ac:dyDescent="0.2">
      <c r="A2" s="238" t="s">
        <v>66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40"/>
    </row>
    <row r="3" spans="1:43" s="103" customFormat="1" ht="12" customHeight="1" x14ac:dyDescent="0.2">
      <c r="A3" s="102"/>
      <c r="B3" s="165" t="s">
        <v>59</v>
      </c>
      <c r="C3" s="161"/>
      <c r="D3" s="161"/>
      <c r="E3" s="161"/>
      <c r="F3" s="161"/>
      <c r="G3" s="161"/>
      <c r="H3" s="161"/>
      <c r="I3" s="161"/>
      <c r="J3" s="161"/>
      <c r="K3" s="241">
        <v>4121</v>
      </c>
      <c r="L3" s="241"/>
      <c r="M3" s="241"/>
      <c r="N3" s="241"/>
      <c r="O3" s="241"/>
      <c r="P3" s="241"/>
      <c r="Q3" s="241"/>
      <c r="R3" s="241"/>
      <c r="S3" s="241"/>
      <c r="T3" s="241"/>
      <c r="U3" s="161"/>
      <c r="V3" s="161"/>
      <c r="W3" s="161"/>
      <c r="X3" s="161"/>
      <c r="Y3" s="161"/>
      <c r="Z3" s="161"/>
      <c r="AA3" s="161"/>
      <c r="AB3" s="161"/>
      <c r="AC3" s="161"/>
      <c r="AD3" s="161"/>
      <c r="AE3" s="161"/>
      <c r="AF3" s="161"/>
      <c r="AG3" s="161"/>
      <c r="AH3" s="161"/>
      <c r="AI3" s="161"/>
      <c r="AJ3" s="161"/>
      <c r="AK3" s="161"/>
      <c r="AL3" s="161"/>
      <c r="AM3" s="161"/>
      <c r="AN3" s="161"/>
      <c r="AO3" s="161"/>
      <c r="AP3" s="104"/>
    </row>
    <row r="4" spans="1:43" s="106" customFormat="1" ht="19.899999999999999" customHeight="1" x14ac:dyDescent="0.2">
      <c r="A4" s="105"/>
      <c r="B4" s="118" t="s">
        <v>1</v>
      </c>
      <c r="C4" s="159"/>
      <c r="D4" s="159"/>
      <c r="E4" s="159"/>
      <c r="F4" s="159"/>
      <c r="G4" s="159"/>
      <c r="H4" s="159"/>
      <c r="I4" s="159"/>
      <c r="J4" s="159"/>
      <c r="K4" s="242" t="s">
        <v>78</v>
      </c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243"/>
      <c r="AM4" s="243"/>
      <c r="AN4" s="243"/>
      <c r="AO4" s="159"/>
      <c r="AP4" s="107"/>
    </row>
    <row r="5" spans="1:43" s="4" customFormat="1" ht="12" customHeight="1" x14ac:dyDescent="0.2">
      <c r="A5" s="20"/>
      <c r="B5" s="165" t="s">
        <v>2</v>
      </c>
      <c r="C5" s="164"/>
      <c r="D5" s="164"/>
      <c r="E5" s="164"/>
      <c r="F5" s="164"/>
      <c r="G5" s="164"/>
      <c r="H5" s="164"/>
      <c r="I5" s="164"/>
      <c r="J5" s="164"/>
      <c r="K5" s="119" t="s">
        <v>79</v>
      </c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5" t="s">
        <v>3</v>
      </c>
      <c r="AI5" s="164"/>
      <c r="AJ5" s="164"/>
      <c r="AK5" s="164"/>
      <c r="AL5" s="244">
        <v>44574</v>
      </c>
      <c r="AM5" s="244"/>
      <c r="AN5" s="164"/>
      <c r="AO5" s="164"/>
      <c r="AP5" s="22"/>
    </row>
    <row r="6" spans="1:43" s="4" customFormat="1" ht="6.95" customHeight="1" x14ac:dyDescent="0.2">
      <c r="A6" s="20"/>
      <c r="B6" s="164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  <c r="AL6" s="164"/>
      <c r="AM6" s="164"/>
      <c r="AN6" s="164"/>
      <c r="AO6" s="164"/>
      <c r="AP6" s="22"/>
    </row>
    <row r="7" spans="1:43" s="4" customFormat="1" ht="15.2" customHeight="1" x14ac:dyDescent="0.2">
      <c r="A7" s="20"/>
      <c r="B7" s="165" t="s">
        <v>4</v>
      </c>
      <c r="C7" s="164"/>
      <c r="D7" s="164"/>
      <c r="E7" s="164"/>
      <c r="F7" s="164"/>
      <c r="G7" s="164"/>
      <c r="H7" s="164"/>
      <c r="I7" s="164"/>
      <c r="J7" s="164"/>
      <c r="K7" s="161" t="s">
        <v>72</v>
      </c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5"/>
      <c r="AI7" s="164"/>
      <c r="AJ7" s="164"/>
      <c r="AK7" s="164"/>
      <c r="AL7" s="245"/>
      <c r="AM7" s="246"/>
      <c r="AN7" s="246"/>
      <c r="AO7" s="246"/>
      <c r="AP7" s="22"/>
    </row>
    <row r="8" spans="1:43" s="4" customFormat="1" ht="15.2" customHeight="1" x14ac:dyDescent="0.2">
      <c r="A8" s="20"/>
      <c r="B8" s="165" t="s">
        <v>5</v>
      </c>
      <c r="C8" s="164"/>
      <c r="D8" s="164"/>
      <c r="E8" s="164"/>
      <c r="F8" s="164"/>
      <c r="G8" s="164"/>
      <c r="H8" s="164"/>
      <c r="I8" s="164"/>
      <c r="J8" s="164"/>
      <c r="K8" s="161" t="s">
        <v>120</v>
      </c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5" t="s">
        <v>6</v>
      </c>
      <c r="AI8" s="164"/>
      <c r="AJ8" s="164"/>
      <c r="AK8" s="164"/>
      <c r="AL8" s="245" t="s">
        <v>119</v>
      </c>
      <c r="AM8" s="246"/>
      <c r="AN8" s="246"/>
      <c r="AO8" s="246"/>
      <c r="AP8" s="22"/>
    </row>
    <row r="9" spans="1:43" s="4" customFormat="1" ht="15.2" customHeight="1" thickBot="1" x14ac:dyDescent="0.25">
      <c r="A9" s="20"/>
      <c r="B9" s="165"/>
      <c r="C9" s="164"/>
      <c r="D9" s="164"/>
      <c r="E9" s="164"/>
      <c r="F9" s="164"/>
      <c r="G9" s="164"/>
      <c r="H9" s="164"/>
      <c r="I9" s="164"/>
      <c r="J9" s="164"/>
      <c r="K9" s="161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5"/>
      <c r="AI9" s="164"/>
      <c r="AJ9" s="164"/>
      <c r="AK9" s="164"/>
      <c r="AL9" s="160"/>
      <c r="AM9" s="161"/>
      <c r="AN9" s="161"/>
      <c r="AO9" s="161"/>
      <c r="AP9" s="22"/>
    </row>
    <row r="10" spans="1:43" s="4" customFormat="1" ht="29.45" customHeight="1" thickBot="1" x14ac:dyDescent="0.25">
      <c r="A10" s="20"/>
      <c r="B10" s="164"/>
      <c r="C10" s="164"/>
      <c r="D10" s="164"/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247" t="str">
        <f>A2</f>
        <v>Rozpočet stavby (výkaz výměr)</v>
      </c>
      <c r="AG10" s="248"/>
      <c r="AH10" s="248"/>
      <c r="AI10" s="248"/>
      <c r="AJ10" s="248"/>
      <c r="AK10" s="248"/>
      <c r="AL10" s="248"/>
      <c r="AM10" s="248"/>
      <c r="AN10" s="248"/>
      <c r="AO10" s="249"/>
      <c r="AP10" s="22"/>
    </row>
    <row r="11" spans="1:43" s="4" customFormat="1" ht="29.25" customHeight="1" x14ac:dyDescent="0.2">
      <c r="A11" s="20"/>
      <c r="B11" s="250" t="s">
        <v>7</v>
      </c>
      <c r="C11" s="251"/>
      <c r="D11" s="251"/>
      <c r="E11" s="251"/>
      <c r="F11" s="251"/>
      <c r="G11" s="98"/>
      <c r="H11" s="252" t="s">
        <v>8</v>
      </c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3" t="s">
        <v>60</v>
      </c>
      <c r="AG11" s="254"/>
      <c r="AH11" s="254"/>
      <c r="AI11" s="254"/>
      <c r="AJ11" s="254"/>
      <c r="AK11" s="254"/>
      <c r="AL11" s="254"/>
      <c r="AM11" s="255" t="s">
        <v>61</v>
      </c>
      <c r="AN11" s="254"/>
      <c r="AO11" s="256"/>
      <c r="AP11" s="120" t="s">
        <v>9</v>
      </c>
    </row>
    <row r="12" spans="1:43" s="4" customFormat="1" ht="10.9" customHeight="1" x14ac:dyDescent="0.2">
      <c r="A12" s="20"/>
      <c r="B12" s="164"/>
      <c r="C12" s="164"/>
      <c r="D12" s="164"/>
      <c r="E12" s="164"/>
      <c r="F12" s="164"/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08"/>
      <c r="AG12" s="117"/>
      <c r="AH12" s="117"/>
      <c r="AI12" s="117"/>
      <c r="AJ12" s="117"/>
      <c r="AK12" s="117"/>
      <c r="AL12" s="117"/>
      <c r="AM12" s="117"/>
      <c r="AN12" s="117"/>
      <c r="AO12" s="109"/>
      <c r="AP12" s="22"/>
    </row>
    <row r="13" spans="1:43" s="111" customFormat="1" ht="32.450000000000003" customHeight="1" x14ac:dyDescent="0.2">
      <c r="A13" s="110"/>
      <c r="B13" s="121" t="s">
        <v>62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234">
        <f>SUM(AF15:AL25)</f>
        <v>9697108.0100000016</v>
      </c>
      <c r="AG13" s="235"/>
      <c r="AH13" s="235"/>
      <c r="AI13" s="235"/>
      <c r="AJ13" s="235"/>
      <c r="AK13" s="235"/>
      <c r="AL13" s="235"/>
      <c r="AM13" s="236">
        <f>SUM(AM15:AO25)</f>
        <v>11733500.6921</v>
      </c>
      <c r="AN13" s="236"/>
      <c r="AO13" s="237"/>
      <c r="AP13" s="123" t="s">
        <v>0</v>
      </c>
    </row>
    <row r="14" spans="1:43" s="113" customFormat="1" ht="16.5" customHeight="1" x14ac:dyDescent="0.2">
      <c r="A14" s="112"/>
      <c r="B14" s="124"/>
      <c r="C14" s="228">
        <v>1</v>
      </c>
      <c r="D14" s="228"/>
      <c r="E14" s="228"/>
      <c r="F14" s="228"/>
      <c r="G14" s="228"/>
      <c r="H14" s="125"/>
      <c r="I14" s="228" t="s">
        <v>67</v>
      </c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9"/>
      <c r="AG14" s="230"/>
      <c r="AH14" s="230"/>
      <c r="AI14" s="230"/>
      <c r="AJ14" s="230"/>
      <c r="AK14" s="230"/>
      <c r="AL14" s="230"/>
      <c r="AM14" s="231"/>
      <c r="AN14" s="232"/>
      <c r="AO14" s="233"/>
      <c r="AP14" s="126" t="s">
        <v>63</v>
      </c>
    </row>
    <row r="15" spans="1:43" s="103" customFormat="1" ht="25.5" customHeight="1" x14ac:dyDescent="0.2">
      <c r="A15" s="102"/>
      <c r="B15" s="127"/>
      <c r="C15" s="127"/>
      <c r="D15" s="127"/>
      <c r="E15" s="213"/>
      <c r="F15" s="213"/>
      <c r="G15" s="213"/>
      <c r="H15" s="213"/>
      <c r="I15" s="213"/>
      <c r="J15" s="127"/>
      <c r="K15" s="214" t="s">
        <v>80</v>
      </c>
      <c r="L15" s="214"/>
      <c r="M15" s="214"/>
      <c r="N15" s="214"/>
      <c r="O15" s="214"/>
      <c r="P15" s="214"/>
      <c r="Q15" s="214"/>
      <c r="R15" s="214"/>
      <c r="S15" s="214"/>
      <c r="T15" s="214"/>
      <c r="U15" s="214"/>
      <c r="V15" s="214"/>
      <c r="W15" s="214"/>
      <c r="X15" s="214"/>
      <c r="Y15" s="214"/>
      <c r="Z15" s="214"/>
      <c r="AA15" s="214"/>
      <c r="AB15" s="214"/>
      <c r="AC15" s="214"/>
      <c r="AD15" s="214"/>
      <c r="AE15" s="214"/>
      <c r="AF15" s="215">
        <f>úsek1!I19</f>
        <v>470739.69999999995</v>
      </c>
      <c r="AG15" s="216"/>
      <c r="AH15" s="216"/>
      <c r="AI15" s="216"/>
      <c r="AJ15" s="216"/>
      <c r="AK15" s="216"/>
      <c r="AL15" s="216"/>
      <c r="AM15" s="216">
        <f t="shared" ref="AM15:AM25" si="0">1.21*AF15</f>
        <v>569595.03699999989</v>
      </c>
      <c r="AN15" s="217"/>
      <c r="AO15" s="218"/>
      <c r="AP15" s="128"/>
      <c r="AQ15" s="114"/>
    </row>
    <row r="16" spans="1:43" s="103" customFormat="1" ht="25.5" customHeight="1" x14ac:dyDescent="0.2">
      <c r="A16" s="102"/>
      <c r="B16" s="127"/>
      <c r="C16" s="127"/>
      <c r="D16" s="127"/>
      <c r="E16" s="213"/>
      <c r="F16" s="213"/>
      <c r="G16" s="213"/>
      <c r="H16" s="213"/>
      <c r="I16" s="213"/>
      <c r="J16" s="127"/>
      <c r="K16" s="214" t="s">
        <v>81</v>
      </c>
      <c r="L16" s="214"/>
      <c r="M16" s="214"/>
      <c r="N16" s="214"/>
      <c r="O16" s="214"/>
      <c r="P16" s="214"/>
      <c r="Q16" s="214"/>
      <c r="R16" s="214"/>
      <c r="S16" s="214"/>
      <c r="T16" s="214"/>
      <c r="U16" s="214"/>
      <c r="V16" s="214"/>
      <c r="W16" s="214"/>
      <c r="X16" s="214"/>
      <c r="Y16" s="214"/>
      <c r="Z16" s="214"/>
      <c r="AA16" s="214"/>
      <c r="AB16" s="214"/>
      <c r="AC16" s="214"/>
      <c r="AD16" s="214"/>
      <c r="AE16" s="214"/>
      <c r="AF16" s="215">
        <f>úsek2!I19</f>
        <v>1932193.99</v>
      </c>
      <c r="AG16" s="216"/>
      <c r="AH16" s="216"/>
      <c r="AI16" s="216"/>
      <c r="AJ16" s="216"/>
      <c r="AK16" s="216"/>
      <c r="AL16" s="216"/>
      <c r="AM16" s="216">
        <f t="shared" si="0"/>
        <v>2337954.7278999998</v>
      </c>
      <c r="AN16" s="217"/>
      <c r="AO16" s="218"/>
      <c r="AP16" s="128"/>
      <c r="AQ16" s="114"/>
    </row>
    <row r="17" spans="1:43" s="103" customFormat="1" ht="25.5" customHeight="1" x14ac:dyDescent="0.2">
      <c r="A17" s="102"/>
      <c r="B17" s="127"/>
      <c r="C17" s="127"/>
      <c r="D17" s="127"/>
      <c r="E17" s="172"/>
      <c r="F17" s="172"/>
      <c r="G17" s="172"/>
      <c r="H17" s="172"/>
      <c r="I17" s="172"/>
      <c r="J17" s="127"/>
      <c r="K17" s="214" t="s">
        <v>124</v>
      </c>
      <c r="L17" s="214"/>
      <c r="M17" s="214"/>
      <c r="N17" s="214"/>
      <c r="O17" s="214"/>
      <c r="P17" s="214"/>
      <c r="Q17" s="214"/>
      <c r="R17" s="214"/>
      <c r="S17" s="214"/>
      <c r="T17" s="214"/>
      <c r="U17" s="214"/>
      <c r="V17" s="214"/>
      <c r="W17" s="214"/>
      <c r="X17" s="214"/>
      <c r="Y17" s="214"/>
      <c r="Z17" s="214"/>
      <c r="AA17" s="214"/>
      <c r="AB17" s="214"/>
      <c r="AC17" s="214"/>
      <c r="AD17" s="214"/>
      <c r="AE17" s="214"/>
      <c r="AF17" s="226">
        <f>+'úsek3 - 21'!I19</f>
        <v>713118.04</v>
      </c>
      <c r="AG17" s="227"/>
      <c r="AH17" s="227"/>
      <c r="AI17" s="227"/>
      <c r="AJ17" s="227"/>
      <c r="AK17" s="227"/>
      <c r="AL17" s="227"/>
      <c r="AM17" s="216">
        <f t="shared" ref="AM17" si="1">1.21*AF17</f>
        <v>862872.8284</v>
      </c>
      <c r="AN17" s="217"/>
      <c r="AO17" s="218"/>
      <c r="AP17" s="128"/>
      <c r="AQ17" s="114"/>
    </row>
    <row r="18" spans="1:43" s="103" customFormat="1" ht="25.5" customHeight="1" x14ac:dyDescent="0.2">
      <c r="A18" s="102"/>
      <c r="B18" s="127"/>
      <c r="C18" s="127"/>
      <c r="D18" s="127"/>
      <c r="E18" s="213"/>
      <c r="F18" s="213"/>
      <c r="G18" s="213"/>
      <c r="H18" s="213"/>
      <c r="I18" s="213"/>
      <c r="J18" s="127"/>
      <c r="K18" s="214" t="s">
        <v>125</v>
      </c>
      <c r="L18" s="214"/>
      <c r="M18" s="214"/>
      <c r="N18" s="214"/>
      <c r="O18" s="214"/>
      <c r="P18" s="214"/>
      <c r="Q18" s="214"/>
      <c r="R18" s="214"/>
      <c r="S18" s="214"/>
      <c r="T18" s="214"/>
      <c r="U18" s="214"/>
      <c r="V18" s="214"/>
      <c r="W18" s="214"/>
      <c r="X18" s="214"/>
      <c r="Y18" s="214"/>
      <c r="Z18" s="214"/>
      <c r="AA18" s="214"/>
      <c r="AB18" s="214"/>
      <c r="AC18" s="214"/>
      <c r="AD18" s="214"/>
      <c r="AE18" s="214"/>
      <c r="AF18" s="215">
        <f>'úsek3 - 22'!I19</f>
        <v>2522537.92</v>
      </c>
      <c r="AG18" s="216"/>
      <c r="AH18" s="216"/>
      <c r="AI18" s="216"/>
      <c r="AJ18" s="216"/>
      <c r="AK18" s="216"/>
      <c r="AL18" s="216"/>
      <c r="AM18" s="216">
        <f t="shared" si="0"/>
        <v>3052270.8832</v>
      </c>
      <c r="AN18" s="217"/>
      <c r="AO18" s="218"/>
      <c r="AP18" s="128"/>
      <c r="AQ18" s="114"/>
    </row>
    <row r="19" spans="1:43" s="103" customFormat="1" ht="25.5" customHeight="1" x14ac:dyDescent="0.2">
      <c r="A19" s="102"/>
      <c r="B19" s="127"/>
      <c r="C19" s="127"/>
      <c r="D19" s="127"/>
      <c r="E19" s="163"/>
      <c r="F19" s="163"/>
      <c r="G19" s="163"/>
      <c r="H19" s="163"/>
      <c r="I19" s="163"/>
      <c r="J19" s="127"/>
      <c r="K19" s="214" t="s">
        <v>82</v>
      </c>
      <c r="L19" s="214"/>
      <c r="M19" s="214"/>
      <c r="N19" s="214"/>
      <c r="O19" s="214"/>
      <c r="P19" s="214"/>
      <c r="Q19" s="214"/>
      <c r="R19" s="214"/>
      <c r="S19" s="214"/>
      <c r="T19" s="214"/>
      <c r="U19" s="214"/>
      <c r="V19" s="214"/>
      <c r="W19" s="214"/>
      <c r="X19" s="214"/>
      <c r="Y19" s="214"/>
      <c r="Z19" s="214"/>
      <c r="AA19" s="214"/>
      <c r="AB19" s="214"/>
      <c r="AC19" s="214"/>
      <c r="AD19" s="214"/>
      <c r="AE19" s="214"/>
      <c r="AF19" s="215">
        <f>úsek4!I19</f>
        <v>317672.57999999996</v>
      </c>
      <c r="AG19" s="216"/>
      <c r="AH19" s="216"/>
      <c r="AI19" s="216"/>
      <c r="AJ19" s="216"/>
      <c r="AK19" s="216"/>
      <c r="AL19" s="216"/>
      <c r="AM19" s="216">
        <f t="shared" si="0"/>
        <v>384383.82179999992</v>
      </c>
      <c r="AN19" s="217"/>
      <c r="AO19" s="218"/>
      <c r="AP19" s="128"/>
      <c r="AQ19" s="114"/>
    </row>
    <row r="20" spans="1:43" s="103" customFormat="1" ht="25.5" customHeight="1" x14ac:dyDescent="0.2">
      <c r="A20" s="102"/>
      <c r="B20" s="127"/>
      <c r="C20" s="127"/>
      <c r="D20" s="127"/>
      <c r="E20" s="163"/>
      <c r="F20" s="163"/>
      <c r="G20" s="163"/>
      <c r="H20" s="163"/>
      <c r="I20" s="163"/>
      <c r="J20" s="127"/>
      <c r="K20" s="214" t="s">
        <v>133</v>
      </c>
      <c r="L20" s="214"/>
      <c r="M20" s="214"/>
      <c r="N20" s="214"/>
      <c r="O20" s="214"/>
      <c r="P20" s="214"/>
      <c r="Q20" s="214"/>
      <c r="R20" s="214"/>
      <c r="S20" s="214"/>
      <c r="T20" s="214"/>
      <c r="U20" s="214"/>
      <c r="V20" s="214"/>
      <c r="W20" s="214"/>
      <c r="X20" s="214"/>
      <c r="Y20" s="214"/>
      <c r="Z20" s="214"/>
      <c r="AA20" s="214"/>
      <c r="AB20" s="214"/>
      <c r="AC20" s="214"/>
      <c r="AD20" s="214"/>
      <c r="AE20" s="214"/>
      <c r="AF20" s="215">
        <f>úsek5!I19</f>
        <v>1601608.34</v>
      </c>
      <c r="AG20" s="216"/>
      <c r="AH20" s="216"/>
      <c r="AI20" s="216"/>
      <c r="AJ20" s="216"/>
      <c r="AK20" s="216"/>
      <c r="AL20" s="216"/>
      <c r="AM20" s="216">
        <f t="shared" si="0"/>
        <v>1937946.0914</v>
      </c>
      <c r="AN20" s="217"/>
      <c r="AO20" s="218"/>
      <c r="AP20" s="128"/>
      <c r="AQ20" s="114"/>
    </row>
    <row r="21" spans="1:43" s="103" customFormat="1" ht="25.5" customHeight="1" x14ac:dyDescent="0.2">
      <c r="A21" s="102"/>
      <c r="B21" s="127"/>
      <c r="C21" s="127"/>
      <c r="D21" s="127"/>
      <c r="E21" s="172"/>
      <c r="F21" s="172"/>
      <c r="G21" s="172"/>
      <c r="H21" s="172"/>
      <c r="I21" s="172"/>
      <c r="J21" s="127"/>
      <c r="K21" s="214" t="s">
        <v>134</v>
      </c>
      <c r="L21" s="214"/>
      <c r="M21" s="214"/>
      <c r="N21" s="214"/>
      <c r="O21" s="214"/>
      <c r="P21" s="214"/>
      <c r="Q21" s="214"/>
      <c r="R21" s="214"/>
      <c r="S21" s="214"/>
      <c r="T21" s="214"/>
      <c r="U21" s="214"/>
      <c r="V21" s="214"/>
      <c r="W21" s="214"/>
      <c r="X21" s="214"/>
      <c r="Y21" s="214"/>
      <c r="Z21" s="214"/>
      <c r="AA21" s="214"/>
      <c r="AB21" s="214"/>
      <c r="AC21" s="214"/>
      <c r="AD21" s="214"/>
      <c r="AE21" s="214"/>
      <c r="AF21" s="215">
        <f>+'úsek5 ACO'!I19</f>
        <v>189730.32</v>
      </c>
      <c r="AG21" s="216"/>
      <c r="AH21" s="216"/>
      <c r="AI21" s="216"/>
      <c r="AJ21" s="216"/>
      <c r="AK21" s="216"/>
      <c r="AL21" s="216"/>
      <c r="AM21" s="216">
        <f t="shared" ref="AM21" si="2">1.21*AF21</f>
        <v>229573.68720000001</v>
      </c>
      <c r="AN21" s="217"/>
      <c r="AO21" s="218"/>
      <c r="AP21" s="128"/>
      <c r="AQ21" s="114"/>
    </row>
    <row r="22" spans="1:43" s="103" customFormat="1" ht="25.5" customHeight="1" x14ac:dyDescent="0.2">
      <c r="A22" s="102"/>
      <c r="B22" s="127"/>
      <c r="C22" s="127"/>
      <c r="D22" s="127"/>
      <c r="E22" s="213"/>
      <c r="F22" s="213"/>
      <c r="G22" s="213"/>
      <c r="H22" s="213"/>
      <c r="I22" s="213"/>
      <c r="J22" s="127"/>
      <c r="K22" s="214" t="s">
        <v>83</v>
      </c>
      <c r="L22" s="214"/>
      <c r="M22" s="214"/>
      <c r="N22" s="214"/>
      <c r="O22" s="214"/>
      <c r="P22" s="214"/>
      <c r="Q22" s="214"/>
      <c r="R22" s="214"/>
      <c r="S22" s="214"/>
      <c r="T22" s="214"/>
      <c r="U22" s="214"/>
      <c r="V22" s="214"/>
      <c r="W22" s="214"/>
      <c r="X22" s="214"/>
      <c r="Y22" s="214"/>
      <c r="Z22" s="214"/>
      <c r="AA22" s="214"/>
      <c r="AB22" s="214"/>
      <c r="AC22" s="214"/>
      <c r="AD22" s="214"/>
      <c r="AE22" s="214"/>
      <c r="AF22" s="215">
        <f>úsek6!I19</f>
        <v>418236.38</v>
      </c>
      <c r="AG22" s="216"/>
      <c r="AH22" s="216"/>
      <c r="AI22" s="216"/>
      <c r="AJ22" s="216"/>
      <c r="AK22" s="216"/>
      <c r="AL22" s="216"/>
      <c r="AM22" s="216">
        <f t="shared" si="0"/>
        <v>506066.01980000001</v>
      </c>
      <c r="AN22" s="217"/>
      <c r="AO22" s="218"/>
      <c r="AP22" s="128"/>
      <c r="AQ22" s="114"/>
    </row>
    <row r="23" spans="1:43" s="103" customFormat="1" ht="25.5" customHeight="1" x14ac:dyDescent="0.2">
      <c r="A23" s="102"/>
      <c r="B23" s="127"/>
      <c r="C23" s="127"/>
      <c r="D23" s="127"/>
      <c r="E23" s="213"/>
      <c r="F23" s="213"/>
      <c r="G23" s="213"/>
      <c r="H23" s="213"/>
      <c r="I23" s="213"/>
      <c r="J23" s="127"/>
      <c r="K23" s="214" t="s">
        <v>84</v>
      </c>
      <c r="L23" s="214"/>
      <c r="M23" s="214"/>
      <c r="N23" s="214"/>
      <c r="O23" s="214"/>
      <c r="P23" s="214"/>
      <c r="Q23" s="214"/>
      <c r="R23" s="214"/>
      <c r="S23" s="214"/>
      <c r="T23" s="214"/>
      <c r="U23" s="214"/>
      <c r="V23" s="214"/>
      <c r="W23" s="214"/>
      <c r="X23" s="214"/>
      <c r="Y23" s="214"/>
      <c r="Z23" s="214"/>
      <c r="AA23" s="214"/>
      <c r="AB23" s="214"/>
      <c r="AC23" s="214"/>
      <c r="AD23" s="214"/>
      <c r="AE23" s="214"/>
      <c r="AF23" s="215">
        <f>úsek7!I19</f>
        <v>686701.34000000008</v>
      </c>
      <c r="AG23" s="216"/>
      <c r="AH23" s="216"/>
      <c r="AI23" s="216"/>
      <c r="AJ23" s="216"/>
      <c r="AK23" s="216"/>
      <c r="AL23" s="216"/>
      <c r="AM23" s="216">
        <f t="shared" si="0"/>
        <v>830908.62140000006</v>
      </c>
      <c r="AN23" s="217"/>
      <c r="AO23" s="218"/>
      <c r="AP23" s="128"/>
      <c r="AQ23" s="114"/>
    </row>
    <row r="24" spans="1:43" s="103" customFormat="1" ht="25.5" customHeight="1" x14ac:dyDescent="0.2">
      <c r="A24" s="102"/>
      <c r="B24" s="127"/>
      <c r="C24" s="127"/>
      <c r="D24" s="127"/>
      <c r="E24" s="213"/>
      <c r="F24" s="213"/>
      <c r="G24" s="213"/>
      <c r="H24" s="213"/>
      <c r="I24" s="213"/>
      <c r="J24" s="127"/>
      <c r="K24" s="214" t="s">
        <v>118</v>
      </c>
      <c r="L24" s="214"/>
      <c r="M24" s="214"/>
      <c r="N24" s="214"/>
      <c r="O24" s="214"/>
      <c r="P24" s="214"/>
      <c r="Q24" s="214"/>
      <c r="R24" s="214"/>
      <c r="S24" s="214"/>
      <c r="T24" s="214"/>
      <c r="U24" s="214"/>
      <c r="V24" s="214"/>
      <c r="W24" s="214"/>
      <c r="X24" s="214"/>
      <c r="Y24" s="214"/>
      <c r="Z24" s="214"/>
      <c r="AA24" s="214"/>
      <c r="AB24" s="214"/>
      <c r="AC24" s="214"/>
      <c r="AD24" s="214"/>
      <c r="AE24" s="214"/>
      <c r="AF24" s="215">
        <f>úsek8!I19</f>
        <v>0</v>
      </c>
      <c r="AG24" s="216"/>
      <c r="AH24" s="216"/>
      <c r="AI24" s="216"/>
      <c r="AJ24" s="216"/>
      <c r="AK24" s="216"/>
      <c r="AL24" s="216"/>
      <c r="AM24" s="216">
        <f t="shared" si="0"/>
        <v>0</v>
      </c>
      <c r="AN24" s="217"/>
      <c r="AO24" s="218"/>
      <c r="AP24" s="128"/>
      <c r="AQ24" s="114"/>
    </row>
    <row r="25" spans="1:43" s="103" customFormat="1" ht="25.5" customHeight="1" thickBot="1" x14ac:dyDescent="0.25">
      <c r="A25" s="129"/>
      <c r="B25" s="130"/>
      <c r="C25" s="130"/>
      <c r="D25" s="130"/>
      <c r="E25" s="220"/>
      <c r="F25" s="220"/>
      <c r="G25" s="220"/>
      <c r="H25" s="220"/>
      <c r="I25" s="220"/>
      <c r="J25" s="130"/>
      <c r="K25" s="221" t="s">
        <v>85</v>
      </c>
      <c r="L25" s="221"/>
      <c r="M25" s="221"/>
      <c r="N25" s="221"/>
      <c r="O25" s="221"/>
      <c r="P25" s="221"/>
      <c r="Q25" s="221"/>
      <c r="R25" s="221"/>
      <c r="S25" s="221"/>
      <c r="T25" s="221"/>
      <c r="U25" s="221"/>
      <c r="V25" s="221"/>
      <c r="W25" s="221"/>
      <c r="X25" s="221"/>
      <c r="Y25" s="221"/>
      <c r="Z25" s="221"/>
      <c r="AA25" s="221"/>
      <c r="AB25" s="221"/>
      <c r="AC25" s="221"/>
      <c r="AD25" s="221"/>
      <c r="AE25" s="221"/>
      <c r="AF25" s="222">
        <f>obruby!I19</f>
        <v>844569.4</v>
      </c>
      <c r="AG25" s="223"/>
      <c r="AH25" s="223"/>
      <c r="AI25" s="223"/>
      <c r="AJ25" s="223"/>
      <c r="AK25" s="223"/>
      <c r="AL25" s="223"/>
      <c r="AM25" s="223">
        <f t="shared" si="0"/>
        <v>1021928.974</v>
      </c>
      <c r="AN25" s="224"/>
      <c r="AO25" s="225"/>
      <c r="AP25" s="131"/>
      <c r="AQ25" s="114"/>
    </row>
    <row r="27" spans="1:43" ht="25.15" customHeight="1" x14ac:dyDescent="0.25">
      <c r="O27" s="219" t="s">
        <v>70</v>
      </c>
      <c r="P27" s="219"/>
      <c r="Q27" s="219"/>
      <c r="R27" s="219"/>
      <c r="S27" s="219"/>
      <c r="T27" s="219"/>
      <c r="U27" s="219"/>
      <c r="V27" s="219"/>
      <c r="W27" s="219"/>
      <c r="X27" s="219"/>
      <c r="Y27" s="219"/>
      <c r="Z27" s="219"/>
      <c r="AA27" s="219"/>
      <c r="AB27" s="219"/>
      <c r="AC27" s="219"/>
      <c r="AD27" s="219"/>
      <c r="AE27" s="219"/>
      <c r="AF27" s="138"/>
      <c r="AG27" s="138"/>
      <c r="AH27" s="139">
        <f>úsek1!G24+úsek2!G24+'úsek3 - 22'!G30+úsek4!G24+úsek5!G24+úsek6!G24+úsek7!G24+úsek8!G24</f>
        <v>4773.8900000000003</v>
      </c>
      <c r="AI27" s="138" t="s">
        <v>22</v>
      </c>
    </row>
    <row r="28" spans="1:43" ht="25.15" customHeight="1" x14ac:dyDescent="0.25">
      <c r="O28" s="219" t="s">
        <v>71</v>
      </c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19"/>
      <c r="AB28" s="219"/>
      <c r="AC28" s="219"/>
      <c r="AD28" s="219"/>
      <c r="AE28" s="219"/>
      <c r="AF28" s="138"/>
      <c r="AG28" s="138"/>
      <c r="AH28" s="139">
        <f>úsek1!G28+úsek2!G28+'úsek3 - 22'!G34+úsek4!G28+úsek5!G27+úsek6!G28+úsek7!G28+úsek8!G27</f>
        <v>5175.4074999999993</v>
      </c>
      <c r="AI28" s="138" t="s">
        <v>22</v>
      </c>
    </row>
    <row r="29" spans="1:43" ht="15" customHeight="1" x14ac:dyDescent="0.2"/>
    <row r="30" spans="1:43" ht="15" customHeight="1" x14ac:dyDescent="0.2"/>
    <row r="31" spans="1:43" ht="15" customHeight="1" x14ac:dyDescent="0.2"/>
    <row r="32" spans="1:43" ht="15" customHeight="1" x14ac:dyDescent="0.2"/>
    <row r="33" spans="34:36" ht="15" customHeight="1" x14ac:dyDescent="0.2">
      <c r="AH33" s="116"/>
      <c r="AI33" s="116"/>
      <c r="AJ33" s="116"/>
    </row>
    <row r="34" spans="34:36" ht="15" customHeight="1" x14ac:dyDescent="0.2"/>
    <row r="35" spans="34:36" ht="15" customHeight="1" x14ac:dyDescent="0.2"/>
    <row r="36" spans="34:36" ht="15" customHeight="1" x14ac:dyDescent="0.2"/>
    <row r="37" spans="34:36" ht="24" customHeight="1" x14ac:dyDescent="0.2"/>
    <row r="38" spans="34:36" ht="15" customHeight="1" x14ac:dyDescent="0.2"/>
    <row r="39" spans="34:36" ht="15" customHeight="1" x14ac:dyDescent="0.2"/>
    <row r="40" spans="34:36" ht="15" customHeight="1" x14ac:dyDescent="0.2"/>
    <row r="41" spans="34:36" ht="15" customHeight="1" x14ac:dyDescent="0.2"/>
    <row r="42" spans="34:36" ht="15" customHeight="1" x14ac:dyDescent="0.2"/>
    <row r="43" spans="34:36" ht="15" customHeight="1" x14ac:dyDescent="0.2"/>
    <row r="44" spans="34:36" ht="15" customHeight="1" x14ac:dyDescent="0.2"/>
    <row r="45" spans="34:36" ht="15" customHeight="1" x14ac:dyDescent="0.2"/>
    <row r="46" spans="34:36" ht="15" customHeight="1" x14ac:dyDescent="0.2"/>
    <row r="47" spans="34:36" ht="15" customHeight="1" x14ac:dyDescent="0.2"/>
    <row r="48" spans="34:36" ht="15" customHeight="1" x14ac:dyDescent="0.2"/>
    <row r="49" spans="1:43" ht="15" customHeight="1" x14ac:dyDescent="0.2"/>
    <row r="50" spans="1:43" ht="15" customHeight="1" x14ac:dyDescent="0.2"/>
    <row r="51" spans="1:43" ht="15" customHeight="1" x14ac:dyDescent="0.2">
      <c r="AQ51" s="115"/>
    </row>
    <row r="52" spans="1:43" ht="15" customHeight="1" x14ac:dyDescent="0.2"/>
    <row r="53" spans="1:43" ht="15" customHeight="1" x14ac:dyDescent="0.2"/>
    <row r="54" spans="1:43" ht="15" customHeight="1" x14ac:dyDescent="0.2"/>
    <row r="55" spans="1:43" ht="15" customHeight="1" x14ac:dyDescent="0.2"/>
    <row r="56" spans="1:43" ht="15" customHeight="1" x14ac:dyDescent="0.2"/>
    <row r="58" spans="1:43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</row>
    <row r="59" spans="1:43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1:43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1:43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1:43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1:43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1:43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1:4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71" spans="1:42" ht="25.9" customHeight="1" x14ac:dyDescent="0.2">
      <c r="A71" s="1" t="s">
        <v>64</v>
      </c>
    </row>
    <row r="75" spans="1:42" x14ac:dyDescent="0.2">
      <c r="A75" s="1" t="s">
        <v>65</v>
      </c>
    </row>
  </sheetData>
  <mergeCells count="59">
    <mergeCell ref="AF13:AL13"/>
    <mergeCell ref="AM13:AO13"/>
    <mergeCell ref="A2:AP2"/>
    <mergeCell ref="K3:T3"/>
    <mergeCell ref="K4:AN4"/>
    <mergeCell ref="AL5:AM5"/>
    <mergeCell ref="AL7:AO7"/>
    <mergeCell ref="AL8:AO8"/>
    <mergeCell ref="AF10:AO10"/>
    <mergeCell ref="B11:F11"/>
    <mergeCell ref="H11:AE11"/>
    <mergeCell ref="AF11:AL11"/>
    <mergeCell ref="AM11:AO11"/>
    <mergeCell ref="C14:G14"/>
    <mergeCell ref="I14:AE14"/>
    <mergeCell ref="AF14:AL14"/>
    <mergeCell ref="AM14:AO14"/>
    <mergeCell ref="E15:I15"/>
    <mergeCell ref="K15:AE15"/>
    <mergeCell ref="AF15:AL15"/>
    <mergeCell ref="AM15:AO15"/>
    <mergeCell ref="E16:I16"/>
    <mergeCell ref="K16:AE16"/>
    <mergeCell ref="AF16:AL16"/>
    <mergeCell ref="AM16:AO16"/>
    <mergeCell ref="E18:I18"/>
    <mergeCell ref="K18:AE18"/>
    <mergeCell ref="AF18:AL18"/>
    <mergeCell ref="AM18:AO18"/>
    <mergeCell ref="K17:AE17"/>
    <mergeCell ref="AF17:AL17"/>
    <mergeCell ref="AM17:AO17"/>
    <mergeCell ref="AM19:AO19"/>
    <mergeCell ref="K20:AE20"/>
    <mergeCell ref="AF20:AL20"/>
    <mergeCell ref="AM20:AO20"/>
    <mergeCell ref="O27:AE27"/>
    <mergeCell ref="K21:AE21"/>
    <mergeCell ref="AF21:AL21"/>
    <mergeCell ref="AM21:AO21"/>
    <mergeCell ref="K19:AE19"/>
    <mergeCell ref="AF19:AL19"/>
    <mergeCell ref="O28:AE28"/>
    <mergeCell ref="E24:I24"/>
    <mergeCell ref="K24:AE24"/>
    <mergeCell ref="AF24:AL24"/>
    <mergeCell ref="AM24:AO24"/>
    <mergeCell ref="E25:I25"/>
    <mergeCell ref="K25:AE25"/>
    <mergeCell ref="AF25:AL25"/>
    <mergeCell ref="AM25:AO25"/>
    <mergeCell ref="E22:I22"/>
    <mergeCell ref="K22:AE22"/>
    <mergeCell ref="AF22:AL22"/>
    <mergeCell ref="AM22:AO22"/>
    <mergeCell ref="E23:I23"/>
    <mergeCell ref="K23:AE23"/>
    <mergeCell ref="AF23:AL23"/>
    <mergeCell ref="AM23:AO23"/>
  </mergeCells>
  <phoneticPr fontId="0" type="noConversion"/>
  <pageMargins left="0.7" right="0.7" top="0.78740157499999996" bottom="0.78740157499999996" header="0.3" footer="0.3"/>
  <pageSetup paperSize="9" scale="71" fitToHeight="0" orientation="landscape" r:id="rId1"/>
  <rowBreaks count="1" manualBreakCount="1">
    <brk id="25" max="4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67B8B-6E6D-4478-BE82-ADC907A9CE16}">
  <sheetPr>
    <pageSetUpPr fitToPage="1"/>
  </sheetPr>
  <dimension ref="A1:K42"/>
  <sheetViews>
    <sheetView view="pageBreakPreview" topLeftCell="A24" zoomScaleNormal="100" zoomScaleSheetLayoutView="100" workbookViewId="0">
      <selection activeCell="E42" sqref="E42:E43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35"/>
      <c r="C2" s="135"/>
      <c r="D2" s="62"/>
      <c r="E2" s="135"/>
      <c r="F2" s="135"/>
      <c r="G2" s="135"/>
      <c r="H2" s="21"/>
      <c r="I2" s="22"/>
    </row>
    <row r="3" spans="1:9" s="4" customFormat="1" ht="12" customHeight="1" x14ac:dyDescent="0.2">
      <c r="A3" s="23" t="s">
        <v>1</v>
      </c>
      <c r="B3" s="135"/>
      <c r="C3" s="135"/>
      <c r="D3" s="62"/>
      <c r="E3" s="135"/>
      <c r="F3" s="135"/>
      <c r="G3" s="135"/>
      <c r="H3" s="21"/>
      <c r="I3" s="22"/>
    </row>
    <row r="4" spans="1:9" s="4" customFormat="1" ht="16.5" customHeight="1" x14ac:dyDescent="0.2">
      <c r="A4" s="20"/>
      <c r="B4" s="135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34"/>
      <c r="C5" s="134"/>
      <c r="D5" s="63"/>
      <c r="E5" s="134"/>
      <c r="F5" s="134"/>
      <c r="G5" s="134"/>
      <c r="H5" s="24"/>
      <c r="I5" s="25"/>
    </row>
    <row r="6" spans="1:9" s="1" customFormat="1" ht="16.5" customHeight="1" x14ac:dyDescent="0.2">
      <c r="A6" s="26"/>
      <c r="B6" s="134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34"/>
      <c r="C7" s="134"/>
      <c r="D7" s="63"/>
      <c r="E7" s="134"/>
      <c r="F7" s="134"/>
      <c r="G7" s="134"/>
      <c r="H7" s="24"/>
      <c r="I7" s="25"/>
    </row>
    <row r="8" spans="1:9" s="4" customFormat="1" ht="16.5" customHeight="1" x14ac:dyDescent="0.2">
      <c r="A8" s="20"/>
      <c r="B8" s="135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35"/>
      <c r="C9" s="135"/>
      <c r="D9" s="62"/>
      <c r="E9" s="135"/>
      <c r="F9" s="135"/>
      <c r="G9" s="135"/>
      <c r="H9" s="21"/>
      <c r="I9" s="22"/>
    </row>
    <row r="10" spans="1:9" s="4" customFormat="1" ht="16.5" customHeight="1" x14ac:dyDescent="0.2">
      <c r="A10" s="20"/>
      <c r="B10" s="135"/>
      <c r="C10" s="242" t="str">
        <f>Rekapitulace!K22</f>
        <v>úsek 6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35"/>
      <c r="C11" s="135"/>
      <c r="D11" s="62"/>
      <c r="E11" s="135"/>
      <c r="F11" s="135"/>
      <c r="G11" s="135"/>
      <c r="H11" s="21"/>
      <c r="I11" s="22"/>
    </row>
    <row r="12" spans="1:9" s="4" customFormat="1" ht="12" customHeight="1" x14ac:dyDescent="0.2">
      <c r="A12" s="23" t="s">
        <v>2</v>
      </c>
      <c r="B12" s="135"/>
      <c r="C12" s="135"/>
      <c r="D12" s="62"/>
      <c r="E12" s="27" t="str">
        <f>Rekapitulace!K5</f>
        <v>Kolomuty</v>
      </c>
      <c r="F12" s="135"/>
      <c r="G12" s="135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35"/>
      <c r="C13" s="135"/>
      <c r="D13" s="62"/>
      <c r="E13" s="135"/>
      <c r="F13" s="135"/>
      <c r="G13" s="135"/>
      <c r="H13" s="21"/>
      <c r="I13" s="22"/>
    </row>
    <row r="14" spans="1:9" s="4" customFormat="1" ht="15.2" customHeight="1" x14ac:dyDescent="0.2">
      <c r="A14" s="23" t="s">
        <v>4</v>
      </c>
      <c r="B14" s="135"/>
      <c r="C14" s="135"/>
      <c r="D14" s="62"/>
      <c r="E14" s="27" t="str">
        <f>Rekapitulace!K7</f>
        <v>Vodovody a kanalizace Mladá Boleslav, a.s.</v>
      </c>
      <c r="F14" s="135"/>
      <c r="G14" s="135"/>
      <c r="H14" s="28"/>
      <c r="I14" s="137"/>
    </row>
    <row r="15" spans="1:9" s="4" customFormat="1" ht="15.2" customHeight="1" x14ac:dyDescent="0.2">
      <c r="A15" s="23" t="s">
        <v>5</v>
      </c>
      <c r="B15" s="135"/>
      <c r="C15" s="135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35"/>
      <c r="C16" s="135"/>
      <c r="D16" s="62"/>
      <c r="E16" s="27"/>
      <c r="F16" s="135"/>
      <c r="G16" s="135"/>
      <c r="H16" s="28"/>
      <c r="I16" s="137"/>
    </row>
    <row r="17" spans="1:11" s="4" customFormat="1" ht="31.35" customHeight="1" thickBot="1" x14ac:dyDescent="0.25">
      <c r="A17" s="20"/>
      <c r="B17" s="135"/>
      <c r="C17" s="135"/>
      <c r="D17" s="62"/>
      <c r="E17" s="135"/>
      <c r="F17" s="135"/>
      <c r="G17" s="266" t="str">
        <f>A1</f>
        <v>Rozpočet stavby (výkaz výměr)</v>
      </c>
      <c r="H17" s="267"/>
      <c r="I17" s="268"/>
    </row>
    <row r="18" spans="1:11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1" s="4" customFormat="1" ht="22.9" customHeight="1" x14ac:dyDescent="0.25">
      <c r="A19" s="30" t="s">
        <v>17</v>
      </c>
      <c r="B19" s="135"/>
      <c r="C19" s="135"/>
      <c r="D19" s="62"/>
      <c r="E19" s="135"/>
      <c r="F19" s="135"/>
      <c r="G19" s="20"/>
      <c r="H19" s="21"/>
      <c r="I19" s="31">
        <f>I20</f>
        <v>418236.38</v>
      </c>
    </row>
    <row r="20" spans="1:11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I21+I27</f>
        <v>418236.38</v>
      </c>
    </row>
    <row r="21" spans="1:11" s="8" customFormat="1" ht="22.9" customHeight="1" x14ac:dyDescent="0.2">
      <c r="A21" s="32"/>
      <c r="B21" s="33" t="s">
        <v>10</v>
      </c>
      <c r="C21" s="38" t="s">
        <v>25</v>
      </c>
      <c r="D21" s="66" t="s">
        <v>68</v>
      </c>
      <c r="E21" s="38" t="s">
        <v>30</v>
      </c>
      <c r="F21" s="35"/>
      <c r="G21" s="32"/>
      <c r="H21" s="36"/>
      <c r="I21" s="39">
        <f>I22+I24+I26</f>
        <v>81744.399999999994</v>
      </c>
    </row>
    <row r="22" spans="1:11" s="4" customFormat="1" ht="24" customHeight="1" x14ac:dyDescent="0.2">
      <c r="A22" s="40">
        <v>1</v>
      </c>
      <c r="B22" s="9" t="s">
        <v>21</v>
      </c>
      <c r="C22" s="10" t="s">
        <v>31</v>
      </c>
      <c r="D22" s="67" t="s">
        <v>68</v>
      </c>
      <c r="E22" s="11" t="s">
        <v>32</v>
      </c>
      <c r="F22" s="6" t="s">
        <v>22</v>
      </c>
      <c r="G22" s="58">
        <f>G24</f>
        <v>149.58999999999997</v>
      </c>
      <c r="H22" s="156">
        <v>20.62</v>
      </c>
      <c r="I22" s="41">
        <f>ROUND(H22*G22,2)</f>
        <v>3084.55</v>
      </c>
    </row>
    <row r="23" spans="1:11" s="14" customFormat="1" outlineLevel="1" x14ac:dyDescent="0.2">
      <c r="A23" s="49"/>
      <c r="B23" s="42" t="s">
        <v>24</v>
      </c>
      <c r="C23" s="50" t="s">
        <v>0</v>
      </c>
      <c r="D23" s="69" t="s">
        <v>41</v>
      </c>
      <c r="E23" s="51" t="s">
        <v>145</v>
      </c>
      <c r="F23" s="52"/>
      <c r="G23" s="60">
        <f>G22</f>
        <v>149.58999999999997</v>
      </c>
      <c r="H23" s="157"/>
      <c r="I23" s="55"/>
    </row>
    <row r="24" spans="1:11" s="4" customFormat="1" ht="36" customHeight="1" x14ac:dyDescent="0.2">
      <c r="A24" s="40">
        <v>2</v>
      </c>
      <c r="B24" s="9" t="s">
        <v>21</v>
      </c>
      <c r="C24" s="10" t="s">
        <v>33</v>
      </c>
      <c r="D24" s="67" t="s">
        <v>68</v>
      </c>
      <c r="E24" s="11" t="s">
        <v>34</v>
      </c>
      <c r="F24" s="6" t="s">
        <v>22</v>
      </c>
      <c r="G24" s="58">
        <f>G25</f>
        <v>149.58999999999997</v>
      </c>
      <c r="H24" s="156">
        <v>396.71</v>
      </c>
      <c r="I24" s="41">
        <f>ROUND(H24*G24,2)</f>
        <v>59343.85</v>
      </c>
    </row>
    <row r="25" spans="1:11" s="14" customFormat="1" outlineLevel="1" x14ac:dyDescent="0.2">
      <c r="A25" s="49"/>
      <c r="B25" s="42" t="s">
        <v>24</v>
      </c>
      <c r="C25" s="50" t="s">
        <v>0</v>
      </c>
      <c r="D25" s="69" t="s">
        <v>41</v>
      </c>
      <c r="E25" s="51" t="str">
        <f>E23</f>
        <v>349,59 m2 "místní asfalt</v>
      </c>
      <c r="F25" s="52"/>
      <c r="G25" s="60">
        <f>349.59-200</f>
        <v>149.58999999999997</v>
      </c>
      <c r="H25" s="53"/>
      <c r="I25" s="55"/>
    </row>
    <row r="26" spans="1:11" s="181" customFormat="1" ht="27" customHeight="1" thickBot="1" x14ac:dyDescent="0.25">
      <c r="A26" s="40" t="s">
        <v>153</v>
      </c>
      <c r="B26" s="9"/>
      <c r="C26" s="10" t="s">
        <v>154</v>
      </c>
      <c r="D26" s="67"/>
      <c r="E26" s="11" t="s">
        <v>155</v>
      </c>
      <c r="F26" s="6" t="s">
        <v>100</v>
      </c>
      <c r="G26" s="58">
        <v>4</v>
      </c>
      <c r="H26" s="156">
        <v>4829</v>
      </c>
      <c r="I26" s="41">
        <f t="shared" ref="I26" si="0">ROUND(H26*G26,2)</f>
        <v>19316</v>
      </c>
    </row>
    <row r="27" spans="1:11" ht="12.75" x14ac:dyDescent="0.2">
      <c r="A27" s="71"/>
      <c r="B27" s="72" t="s">
        <v>10</v>
      </c>
      <c r="C27" s="73">
        <v>6</v>
      </c>
      <c r="D27" s="74" t="s">
        <v>68</v>
      </c>
      <c r="E27" s="73" t="s">
        <v>42</v>
      </c>
      <c r="F27" s="75"/>
      <c r="G27" s="71"/>
      <c r="H27" s="76"/>
      <c r="I27" s="77">
        <f>SUBTOTAL(9,I28:I38)</f>
        <v>336491.98</v>
      </c>
    </row>
    <row r="28" spans="1:11" ht="24" customHeight="1" x14ac:dyDescent="0.2">
      <c r="A28" s="40">
        <v>3</v>
      </c>
      <c r="B28" s="9" t="s">
        <v>21</v>
      </c>
      <c r="C28" s="11" t="s">
        <v>43</v>
      </c>
      <c r="D28" s="12" t="s">
        <v>68</v>
      </c>
      <c r="E28" s="11" t="s">
        <v>75</v>
      </c>
      <c r="F28" s="11" t="s">
        <v>22</v>
      </c>
      <c r="G28" s="58">
        <v>341</v>
      </c>
      <c r="H28" s="78">
        <v>257</v>
      </c>
      <c r="I28" s="41">
        <f>ROUND(H28*G28,2)</f>
        <v>87637</v>
      </c>
    </row>
    <row r="29" spans="1:11" ht="10.9" customHeigh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146</v>
      </c>
      <c r="F29" s="52"/>
      <c r="G29" s="60">
        <f>G24*1.05</f>
        <v>157.06949999999998</v>
      </c>
      <c r="H29" s="157"/>
      <c r="I29" s="55"/>
    </row>
    <row r="30" spans="1:11" ht="24" customHeight="1" x14ac:dyDescent="0.2">
      <c r="A30" s="40">
        <v>4</v>
      </c>
      <c r="B30" s="9" t="s">
        <v>21</v>
      </c>
      <c r="C30" s="11" t="s">
        <v>44</v>
      </c>
      <c r="D30" s="12" t="s">
        <v>68</v>
      </c>
      <c r="E30" s="11" t="s">
        <v>74</v>
      </c>
      <c r="F30" s="11" t="s">
        <v>22</v>
      </c>
      <c r="G30" s="58">
        <f>G28</f>
        <v>341</v>
      </c>
      <c r="H30" s="78">
        <v>333</v>
      </c>
      <c r="I30" s="41">
        <f t="shared" ref="I30:I38" si="1">ROUND(H30*G30,2)</f>
        <v>113553</v>
      </c>
    </row>
    <row r="31" spans="1:11" ht="24" customHeight="1" x14ac:dyDescent="0.2">
      <c r="A31" s="40">
        <v>5</v>
      </c>
      <c r="B31" s="9" t="s">
        <v>21</v>
      </c>
      <c r="C31" s="11" t="s">
        <v>45</v>
      </c>
      <c r="D31" s="12" t="s">
        <v>68</v>
      </c>
      <c r="E31" s="11" t="s">
        <v>73</v>
      </c>
      <c r="F31" s="11" t="s">
        <v>22</v>
      </c>
      <c r="G31" s="58">
        <f>G30</f>
        <v>341</v>
      </c>
      <c r="H31" s="78">
        <v>125</v>
      </c>
      <c r="I31" s="41">
        <f t="shared" si="1"/>
        <v>42625</v>
      </c>
    </row>
    <row r="32" spans="1:11" ht="24" customHeight="1" x14ac:dyDescent="0.2">
      <c r="A32" s="40">
        <v>6</v>
      </c>
      <c r="B32" s="9" t="s">
        <v>21</v>
      </c>
      <c r="C32" s="11" t="s">
        <v>46</v>
      </c>
      <c r="D32" s="12" t="s">
        <v>68</v>
      </c>
      <c r="E32" s="11" t="s">
        <v>47</v>
      </c>
      <c r="F32" s="11" t="s">
        <v>29</v>
      </c>
      <c r="G32" s="58">
        <v>0</v>
      </c>
      <c r="H32" s="78">
        <v>2150</v>
      </c>
      <c r="I32" s="41">
        <f t="shared" si="1"/>
        <v>0</v>
      </c>
      <c r="K32" s="58">
        <v>2</v>
      </c>
    </row>
    <row r="33" spans="1:11" ht="24" customHeight="1" x14ac:dyDescent="0.2">
      <c r="A33" s="40">
        <v>7</v>
      </c>
      <c r="B33" s="9" t="s">
        <v>21</v>
      </c>
      <c r="C33" s="11" t="s">
        <v>48</v>
      </c>
      <c r="D33" s="12" t="s">
        <v>68</v>
      </c>
      <c r="E33" s="11" t="s">
        <v>49</v>
      </c>
      <c r="F33" s="11" t="s">
        <v>29</v>
      </c>
      <c r="G33" s="58">
        <v>0</v>
      </c>
      <c r="H33" s="78">
        <v>1200</v>
      </c>
      <c r="I33" s="41">
        <f t="shared" si="1"/>
        <v>0</v>
      </c>
      <c r="K33" s="58">
        <v>4</v>
      </c>
    </row>
    <row r="34" spans="1:11" ht="24" customHeight="1" x14ac:dyDescent="0.2">
      <c r="A34" s="40">
        <v>8</v>
      </c>
      <c r="B34" s="9" t="s">
        <v>21</v>
      </c>
      <c r="C34" s="11" t="s">
        <v>50</v>
      </c>
      <c r="D34" s="12" t="s">
        <v>68</v>
      </c>
      <c r="E34" s="11" t="s">
        <v>51</v>
      </c>
      <c r="F34" s="11" t="s">
        <v>22</v>
      </c>
      <c r="G34" s="58">
        <f>G28</f>
        <v>341</v>
      </c>
      <c r="H34" s="78">
        <v>6.88</v>
      </c>
      <c r="I34" s="41">
        <f t="shared" si="1"/>
        <v>2346.08</v>
      </c>
    </row>
    <row r="35" spans="1:11" ht="24" customHeight="1" x14ac:dyDescent="0.2">
      <c r="A35" s="40">
        <v>9</v>
      </c>
      <c r="B35" s="9" t="s">
        <v>21</v>
      </c>
      <c r="C35" s="11" t="s">
        <v>52</v>
      </c>
      <c r="D35" s="12" t="s">
        <v>68</v>
      </c>
      <c r="E35" s="11" t="s">
        <v>53</v>
      </c>
      <c r="F35" s="11" t="s">
        <v>22</v>
      </c>
      <c r="G35" s="58">
        <f>G34</f>
        <v>341</v>
      </c>
      <c r="H35" s="78">
        <v>0.8</v>
      </c>
      <c r="I35" s="41">
        <f t="shared" si="1"/>
        <v>272.8</v>
      </c>
    </row>
    <row r="36" spans="1:11" ht="24" customHeight="1" x14ac:dyDescent="0.2">
      <c r="A36" s="54">
        <v>10</v>
      </c>
      <c r="B36" s="15" t="s">
        <v>26</v>
      </c>
      <c r="C36" s="16" t="s">
        <v>54</v>
      </c>
      <c r="D36" s="70" t="s">
        <v>68</v>
      </c>
      <c r="E36" s="17" t="s">
        <v>55</v>
      </c>
      <c r="F36" s="57" t="s">
        <v>40</v>
      </c>
      <c r="G36" s="61">
        <f>G34*0.25*1.6</f>
        <v>136.4</v>
      </c>
      <c r="H36" s="79">
        <v>429</v>
      </c>
      <c r="I36" s="80">
        <f t="shared" si="1"/>
        <v>58515.6</v>
      </c>
    </row>
    <row r="37" spans="1:11" ht="24" customHeight="1" x14ac:dyDescent="0.2">
      <c r="A37" s="81" t="s">
        <v>56</v>
      </c>
      <c r="B37" s="82"/>
      <c r="C37" s="82"/>
      <c r="D37" s="83" t="s">
        <v>68</v>
      </c>
      <c r="E37" s="82"/>
      <c r="F37" s="84"/>
      <c r="G37" s="85"/>
      <c r="H37" s="86"/>
      <c r="I37" s="87"/>
    </row>
    <row r="38" spans="1:11" ht="24" customHeight="1" thickBot="1" x14ac:dyDescent="0.25">
      <c r="A38" s="91">
        <v>11</v>
      </c>
      <c r="B38" s="92" t="s">
        <v>26</v>
      </c>
      <c r="C38" s="93" t="s">
        <v>57</v>
      </c>
      <c r="D38" s="94" t="s">
        <v>68</v>
      </c>
      <c r="E38" s="97" t="s">
        <v>58</v>
      </c>
      <c r="F38" s="95" t="s">
        <v>28</v>
      </c>
      <c r="G38" s="88">
        <f>G34*25/1000</f>
        <v>8.5250000000000004</v>
      </c>
      <c r="H38" s="89">
        <v>3700</v>
      </c>
      <c r="I38" s="90">
        <f t="shared" si="1"/>
        <v>31542.5</v>
      </c>
    </row>
    <row r="40" spans="1:11" ht="12.75" x14ac:dyDescent="0.2">
      <c r="B40" s="208" t="s">
        <v>163</v>
      </c>
      <c r="C40" s="209"/>
      <c r="D40" s="208" t="s">
        <v>168</v>
      </c>
      <c r="E40" s="205"/>
      <c r="F40" s="210" t="s">
        <v>164</v>
      </c>
      <c r="G40" s="208"/>
      <c r="H40" s="211" t="s">
        <v>165</v>
      </c>
    </row>
    <row r="41" spans="1:11" ht="12.75" x14ac:dyDescent="0.2">
      <c r="B41" s="208"/>
      <c r="C41" s="209"/>
      <c r="D41" s="208"/>
      <c r="E41" s="205"/>
      <c r="F41" s="208"/>
      <c r="G41" s="208"/>
      <c r="H41" s="212"/>
    </row>
    <row r="42" spans="1:11" ht="12.75" x14ac:dyDescent="0.2">
      <c r="B42" s="208" t="s">
        <v>166</v>
      </c>
      <c r="C42" s="209"/>
      <c r="D42" s="208" t="s">
        <v>166</v>
      </c>
      <c r="E42" s="205"/>
      <c r="F42" s="208" t="s">
        <v>166</v>
      </c>
      <c r="G42" s="208"/>
      <c r="H42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DC498E-C709-46BC-9542-1D9A3A290C62}">
  <sheetPr>
    <pageSetUpPr fitToPage="1"/>
  </sheetPr>
  <dimension ref="A1:K43"/>
  <sheetViews>
    <sheetView view="pageBreakPreview" topLeftCell="A24" zoomScale="90" zoomScaleNormal="100" zoomScaleSheetLayoutView="90" workbookViewId="0">
      <selection activeCell="B41" sqref="B41:H43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35"/>
      <c r="C2" s="135"/>
      <c r="D2" s="62"/>
      <c r="E2" s="135"/>
      <c r="F2" s="135"/>
      <c r="G2" s="135"/>
      <c r="H2" s="21"/>
      <c r="I2" s="22"/>
    </row>
    <row r="3" spans="1:9" s="4" customFormat="1" ht="12" customHeight="1" x14ac:dyDescent="0.2">
      <c r="A3" s="23" t="s">
        <v>1</v>
      </c>
      <c r="B3" s="135"/>
      <c r="C3" s="135"/>
      <c r="D3" s="62"/>
      <c r="E3" s="135"/>
      <c r="F3" s="135"/>
      <c r="G3" s="135"/>
      <c r="H3" s="21"/>
      <c r="I3" s="22"/>
    </row>
    <row r="4" spans="1:9" s="4" customFormat="1" ht="16.5" customHeight="1" x14ac:dyDescent="0.2">
      <c r="A4" s="20"/>
      <c r="B4" s="135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34"/>
      <c r="C5" s="134"/>
      <c r="D5" s="63"/>
      <c r="E5" s="134"/>
      <c r="F5" s="134"/>
      <c r="G5" s="134"/>
      <c r="H5" s="24"/>
      <c r="I5" s="25"/>
    </row>
    <row r="6" spans="1:9" s="1" customFormat="1" ht="16.5" customHeight="1" x14ac:dyDescent="0.2">
      <c r="A6" s="26"/>
      <c r="B6" s="134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34"/>
      <c r="C7" s="134"/>
      <c r="D7" s="63"/>
      <c r="E7" s="134"/>
      <c r="F7" s="134"/>
      <c r="G7" s="134"/>
      <c r="H7" s="24"/>
      <c r="I7" s="25"/>
    </row>
    <row r="8" spans="1:9" s="4" customFormat="1" ht="16.5" customHeight="1" x14ac:dyDescent="0.2">
      <c r="A8" s="20"/>
      <c r="B8" s="135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35"/>
      <c r="C9" s="135"/>
      <c r="D9" s="62"/>
      <c r="E9" s="135"/>
      <c r="F9" s="135"/>
      <c r="G9" s="135"/>
      <c r="H9" s="21"/>
      <c r="I9" s="22"/>
    </row>
    <row r="10" spans="1:9" s="4" customFormat="1" ht="16.5" customHeight="1" x14ac:dyDescent="0.2">
      <c r="A10" s="20"/>
      <c r="B10" s="135"/>
      <c r="C10" s="242" t="str">
        <f>Rekapitulace!K23</f>
        <v>úsek 7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35"/>
      <c r="C11" s="135"/>
      <c r="D11" s="62"/>
      <c r="E11" s="135"/>
      <c r="F11" s="135"/>
      <c r="G11" s="135"/>
      <c r="H11" s="21"/>
      <c r="I11" s="22"/>
    </row>
    <row r="12" spans="1:9" s="4" customFormat="1" ht="12" customHeight="1" x14ac:dyDescent="0.2">
      <c r="A12" s="23" t="s">
        <v>2</v>
      </c>
      <c r="B12" s="135"/>
      <c r="C12" s="135"/>
      <c r="D12" s="62"/>
      <c r="E12" s="27" t="str">
        <f>Rekapitulace!K5</f>
        <v>Kolomuty</v>
      </c>
      <c r="F12" s="135"/>
      <c r="G12" s="135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35"/>
      <c r="C13" s="135"/>
      <c r="D13" s="62"/>
      <c r="E13" s="135"/>
      <c r="F13" s="135"/>
      <c r="G13" s="135"/>
      <c r="H13" s="21"/>
      <c r="I13" s="22"/>
    </row>
    <row r="14" spans="1:9" s="4" customFormat="1" ht="15.2" customHeight="1" x14ac:dyDescent="0.2">
      <c r="A14" s="23" t="s">
        <v>4</v>
      </c>
      <c r="B14" s="135"/>
      <c r="C14" s="135"/>
      <c r="D14" s="62"/>
      <c r="E14" s="27" t="str">
        <f>Rekapitulace!K7</f>
        <v>Vodovody a kanalizace Mladá Boleslav, a.s.</v>
      </c>
      <c r="F14" s="135"/>
      <c r="G14" s="135"/>
      <c r="H14" s="28"/>
      <c r="I14" s="137"/>
    </row>
    <row r="15" spans="1:9" s="4" customFormat="1" ht="15.2" customHeight="1" x14ac:dyDescent="0.2">
      <c r="A15" s="23" t="s">
        <v>5</v>
      </c>
      <c r="B15" s="135"/>
      <c r="C15" s="135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35"/>
      <c r="C16" s="135"/>
      <c r="D16" s="62"/>
      <c r="E16" s="27"/>
      <c r="F16" s="135"/>
      <c r="G16" s="135"/>
      <c r="H16" s="28"/>
      <c r="I16" s="137"/>
    </row>
    <row r="17" spans="1:11" s="4" customFormat="1" ht="31.35" customHeight="1" thickBot="1" x14ac:dyDescent="0.25">
      <c r="A17" s="20"/>
      <c r="B17" s="135"/>
      <c r="C17" s="135"/>
      <c r="D17" s="62"/>
      <c r="E17" s="135"/>
      <c r="F17" s="135"/>
      <c r="G17" s="266" t="str">
        <f>A1</f>
        <v>Rozpočet stavby (výkaz výměr)</v>
      </c>
      <c r="H17" s="267"/>
      <c r="I17" s="268"/>
    </row>
    <row r="18" spans="1:11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1" s="4" customFormat="1" ht="22.9" customHeight="1" x14ac:dyDescent="0.25">
      <c r="A19" s="30" t="s">
        <v>17</v>
      </c>
      <c r="B19" s="135"/>
      <c r="C19" s="135"/>
      <c r="D19" s="62"/>
      <c r="E19" s="135"/>
      <c r="F19" s="135"/>
      <c r="G19" s="20"/>
      <c r="H19" s="21"/>
      <c r="I19" s="31">
        <f>I20</f>
        <v>686701.34000000008</v>
      </c>
    </row>
    <row r="20" spans="1:11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I21+I27</f>
        <v>686701.34000000008</v>
      </c>
    </row>
    <row r="21" spans="1:11" s="8" customFormat="1" ht="22.9" customHeight="1" x14ac:dyDescent="0.2">
      <c r="A21" s="32"/>
      <c r="B21" s="33" t="s">
        <v>10</v>
      </c>
      <c r="C21" s="38" t="s">
        <v>25</v>
      </c>
      <c r="D21" s="66" t="s">
        <v>68</v>
      </c>
      <c r="E21" s="38" t="s">
        <v>30</v>
      </c>
      <c r="F21" s="35"/>
      <c r="G21" s="32"/>
      <c r="H21" s="36"/>
      <c r="I21" s="39">
        <f>I22+I24+I26</f>
        <v>265832.16000000003</v>
      </c>
    </row>
    <row r="22" spans="1:11" s="4" customFormat="1" ht="24" customHeight="1" x14ac:dyDescent="0.2">
      <c r="A22" s="40">
        <v>1</v>
      </c>
      <c r="B22" s="9" t="s">
        <v>21</v>
      </c>
      <c r="C22" s="10" t="s">
        <v>31</v>
      </c>
      <c r="D22" s="67" t="s">
        <v>68</v>
      </c>
      <c r="E22" s="11" t="s">
        <v>32</v>
      </c>
      <c r="F22" s="6" t="s">
        <v>22</v>
      </c>
      <c r="G22" s="58">
        <f>G24</f>
        <v>422.15</v>
      </c>
      <c r="H22" s="156">
        <v>20.62</v>
      </c>
      <c r="I22" s="41">
        <f>ROUND(H22*G22,2)</f>
        <v>8704.73</v>
      </c>
    </row>
    <row r="23" spans="1:11" s="14" customFormat="1" outlineLevel="1" x14ac:dyDescent="0.2">
      <c r="A23" s="49"/>
      <c r="B23" s="42" t="s">
        <v>24</v>
      </c>
      <c r="C23" s="50" t="s">
        <v>0</v>
      </c>
      <c r="D23" s="69" t="s">
        <v>41</v>
      </c>
      <c r="E23" s="51" t="s">
        <v>88</v>
      </c>
      <c r="F23" s="52"/>
      <c r="G23" s="60">
        <f>G22</f>
        <v>422.15</v>
      </c>
      <c r="H23" s="157"/>
      <c r="I23" s="55"/>
    </row>
    <row r="24" spans="1:11" s="4" customFormat="1" ht="36" customHeight="1" x14ac:dyDescent="0.2">
      <c r="A24" s="40">
        <v>2</v>
      </c>
      <c r="B24" s="9" t="s">
        <v>21</v>
      </c>
      <c r="C24" s="10" t="s">
        <v>33</v>
      </c>
      <c r="D24" s="67" t="s">
        <v>68</v>
      </c>
      <c r="E24" s="11" t="s">
        <v>34</v>
      </c>
      <c r="F24" s="6" t="s">
        <v>22</v>
      </c>
      <c r="G24" s="58">
        <f>G25</f>
        <v>422.15</v>
      </c>
      <c r="H24" s="156">
        <v>396.71</v>
      </c>
      <c r="I24" s="41">
        <f>ROUND(H24*G24,2)</f>
        <v>167471.13</v>
      </c>
    </row>
    <row r="25" spans="1:11" s="14" customFormat="1" outlineLevel="1" x14ac:dyDescent="0.2">
      <c r="A25" s="49"/>
      <c r="B25" s="42" t="s">
        <v>24</v>
      </c>
      <c r="C25" s="50" t="s">
        <v>0</v>
      </c>
      <c r="D25" s="69" t="s">
        <v>41</v>
      </c>
      <c r="E25" s="51" t="str">
        <f>E23</f>
        <v>683 m2 "místní asfalt</v>
      </c>
      <c r="F25" s="52"/>
      <c r="G25" s="60">
        <f>683-200-60.85</f>
        <v>422.15</v>
      </c>
      <c r="H25" s="53"/>
      <c r="I25" s="55"/>
    </row>
    <row r="26" spans="1:11" s="181" customFormat="1" ht="27" customHeight="1" thickBot="1" x14ac:dyDescent="0.25">
      <c r="A26" s="40" t="s">
        <v>153</v>
      </c>
      <c r="B26" s="9"/>
      <c r="C26" s="10" t="s">
        <v>154</v>
      </c>
      <c r="D26" s="67"/>
      <c r="E26" s="11" t="s">
        <v>155</v>
      </c>
      <c r="F26" s="6" t="s">
        <v>100</v>
      </c>
      <c r="G26" s="58">
        <f>18.5662248</f>
        <v>18.566224800000001</v>
      </c>
      <c r="H26" s="156">
        <v>4829</v>
      </c>
      <c r="I26" s="41">
        <f t="shared" ref="I26" si="0">ROUND(H26*G26,2)</f>
        <v>89656.3</v>
      </c>
      <c r="K26" s="181">
        <v>89656.280343972147</v>
      </c>
    </row>
    <row r="27" spans="1:11" ht="12.75" x14ac:dyDescent="0.2">
      <c r="A27" s="71"/>
      <c r="B27" s="72" t="s">
        <v>10</v>
      </c>
      <c r="C27" s="73">
        <v>6</v>
      </c>
      <c r="D27" s="74" t="s">
        <v>68</v>
      </c>
      <c r="E27" s="73" t="s">
        <v>42</v>
      </c>
      <c r="F27" s="75"/>
      <c r="G27" s="71"/>
      <c r="H27" s="76"/>
      <c r="I27" s="77">
        <f>SUBTOTAL(9,I28:I38)</f>
        <v>420869.18</v>
      </c>
    </row>
    <row r="28" spans="1:11" ht="24" customHeight="1" x14ac:dyDescent="0.2">
      <c r="A28" s="40">
        <v>3</v>
      </c>
      <c r="B28" s="9" t="s">
        <v>21</v>
      </c>
      <c r="C28" s="11" t="s">
        <v>43</v>
      </c>
      <c r="D28" s="12" t="s">
        <v>68</v>
      </c>
      <c r="E28" s="11" t="s">
        <v>75</v>
      </c>
      <c r="F28" s="11" t="s">
        <v>22</v>
      </c>
      <c r="G28" s="58">
        <f>G29</f>
        <v>422.15</v>
      </c>
      <c r="H28" s="78">
        <v>257</v>
      </c>
      <c r="I28" s="41">
        <f>ROUND(H28*G28,2)</f>
        <v>108492.55</v>
      </c>
    </row>
    <row r="29" spans="1:11" ht="10.9" customHeigh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89</v>
      </c>
      <c r="F29" s="52"/>
      <c r="G29" s="60">
        <f>G24</f>
        <v>422.15</v>
      </c>
      <c r="H29" s="157"/>
      <c r="I29" s="55"/>
    </row>
    <row r="30" spans="1:11" ht="24" customHeight="1" x14ac:dyDescent="0.2">
      <c r="A30" s="40">
        <v>4</v>
      </c>
      <c r="B30" s="9" t="s">
        <v>21</v>
      </c>
      <c r="C30" s="11" t="s">
        <v>44</v>
      </c>
      <c r="D30" s="12" t="s">
        <v>68</v>
      </c>
      <c r="E30" s="11" t="s">
        <v>74</v>
      </c>
      <c r="F30" s="11" t="s">
        <v>22</v>
      </c>
      <c r="G30" s="58">
        <f>G28</f>
        <v>422.15</v>
      </c>
      <c r="H30" s="78">
        <v>333</v>
      </c>
      <c r="I30" s="41">
        <f t="shared" ref="I30:I38" si="1">ROUND(H30*G30,2)</f>
        <v>140575.95000000001</v>
      </c>
    </row>
    <row r="31" spans="1:11" ht="24" customHeight="1" x14ac:dyDescent="0.2">
      <c r="A31" s="40">
        <v>5</v>
      </c>
      <c r="B31" s="9" t="s">
        <v>21</v>
      </c>
      <c r="C31" s="11" t="s">
        <v>45</v>
      </c>
      <c r="D31" s="12" t="s">
        <v>68</v>
      </c>
      <c r="E31" s="11" t="s">
        <v>73</v>
      </c>
      <c r="F31" s="11" t="s">
        <v>22</v>
      </c>
      <c r="G31" s="58">
        <f>G30</f>
        <v>422.15</v>
      </c>
      <c r="H31" s="78">
        <v>125</v>
      </c>
      <c r="I31" s="41">
        <f t="shared" si="1"/>
        <v>52768.75</v>
      </c>
    </row>
    <row r="32" spans="1:11" ht="24" customHeight="1" x14ac:dyDescent="0.2">
      <c r="A32" s="40">
        <v>6</v>
      </c>
      <c r="B32" s="9" t="s">
        <v>21</v>
      </c>
      <c r="C32" s="11" t="s">
        <v>46</v>
      </c>
      <c r="D32" s="12" t="s">
        <v>68</v>
      </c>
      <c r="E32" s="11" t="s">
        <v>47</v>
      </c>
      <c r="F32" s="11" t="s">
        <v>29</v>
      </c>
      <c r="G32" s="58">
        <v>2</v>
      </c>
      <c r="H32" s="78">
        <v>2150</v>
      </c>
      <c r="I32" s="41">
        <f t="shared" si="1"/>
        <v>4300</v>
      </c>
      <c r="K32" s="3">
        <v>1</v>
      </c>
    </row>
    <row r="33" spans="1:11" ht="24" customHeight="1" x14ac:dyDescent="0.2">
      <c r="A33" s="40">
        <v>7</v>
      </c>
      <c r="B33" s="9" t="s">
        <v>21</v>
      </c>
      <c r="C33" s="11" t="s">
        <v>48</v>
      </c>
      <c r="D33" s="12" t="s">
        <v>68</v>
      </c>
      <c r="E33" s="11" t="s">
        <v>49</v>
      </c>
      <c r="F33" s="11" t="s">
        <v>29</v>
      </c>
      <c r="G33" s="58">
        <v>0</v>
      </c>
      <c r="H33" s="78">
        <v>1200</v>
      </c>
      <c r="I33" s="41">
        <f t="shared" si="1"/>
        <v>0</v>
      </c>
      <c r="K33" s="3">
        <v>3</v>
      </c>
    </row>
    <row r="34" spans="1:11" ht="24" customHeight="1" x14ac:dyDescent="0.2">
      <c r="A34" s="40">
        <v>8</v>
      </c>
      <c r="B34" s="9" t="s">
        <v>21</v>
      </c>
      <c r="C34" s="11" t="s">
        <v>50</v>
      </c>
      <c r="D34" s="12" t="s">
        <v>68</v>
      </c>
      <c r="E34" s="11" t="s">
        <v>51</v>
      </c>
      <c r="F34" s="11" t="s">
        <v>22</v>
      </c>
      <c r="G34" s="58">
        <f>G28</f>
        <v>422.15</v>
      </c>
      <c r="H34" s="78">
        <v>6.88</v>
      </c>
      <c r="I34" s="41">
        <f t="shared" si="1"/>
        <v>2904.39</v>
      </c>
    </row>
    <row r="35" spans="1:11" ht="24" customHeight="1" x14ac:dyDescent="0.2">
      <c r="A35" s="40">
        <v>9</v>
      </c>
      <c r="B35" s="9" t="s">
        <v>21</v>
      </c>
      <c r="C35" s="11" t="s">
        <v>52</v>
      </c>
      <c r="D35" s="12" t="s">
        <v>68</v>
      </c>
      <c r="E35" s="11" t="s">
        <v>53</v>
      </c>
      <c r="F35" s="11" t="s">
        <v>22</v>
      </c>
      <c r="G35" s="58">
        <f>G34</f>
        <v>422.15</v>
      </c>
      <c r="H35" s="78">
        <v>0.8</v>
      </c>
      <c r="I35" s="41">
        <f t="shared" si="1"/>
        <v>337.72</v>
      </c>
    </row>
    <row r="36" spans="1:11" ht="24" customHeight="1" x14ac:dyDescent="0.2">
      <c r="A36" s="54">
        <v>10</v>
      </c>
      <c r="B36" s="15" t="s">
        <v>26</v>
      </c>
      <c r="C36" s="16" t="s">
        <v>54</v>
      </c>
      <c r="D36" s="70" t="s">
        <v>68</v>
      </c>
      <c r="E36" s="17" t="s">
        <v>55</v>
      </c>
      <c r="F36" s="57" t="s">
        <v>40</v>
      </c>
      <c r="G36" s="61">
        <f>G34*0.25*1.6</f>
        <v>168.86</v>
      </c>
      <c r="H36" s="79">
        <v>429</v>
      </c>
      <c r="I36" s="80">
        <f t="shared" si="1"/>
        <v>72440.94</v>
      </c>
    </row>
    <row r="37" spans="1:11" ht="24" customHeight="1" x14ac:dyDescent="0.2">
      <c r="A37" s="81" t="s">
        <v>56</v>
      </c>
      <c r="B37" s="82"/>
      <c r="C37" s="82"/>
      <c r="D37" s="83" t="s">
        <v>68</v>
      </c>
      <c r="E37" s="82"/>
      <c r="F37" s="84"/>
      <c r="G37" s="85"/>
      <c r="H37" s="86"/>
      <c r="I37" s="87"/>
    </row>
    <row r="38" spans="1:11" ht="24" customHeight="1" thickBot="1" x14ac:dyDescent="0.25">
      <c r="A38" s="91">
        <v>11</v>
      </c>
      <c r="B38" s="92" t="s">
        <v>26</v>
      </c>
      <c r="C38" s="93" t="s">
        <v>57</v>
      </c>
      <c r="D38" s="94" t="s">
        <v>68</v>
      </c>
      <c r="E38" s="97" t="s">
        <v>58</v>
      </c>
      <c r="F38" s="95" t="s">
        <v>28</v>
      </c>
      <c r="G38" s="88">
        <f>G34*25/1000</f>
        <v>10.553750000000001</v>
      </c>
      <c r="H38" s="89">
        <v>3700</v>
      </c>
      <c r="I38" s="90">
        <f t="shared" si="1"/>
        <v>39048.879999999997</v>
      </c>
    </row>
    <row r="41" spans="1:11" ht="12.75" x14ac:dyDescent="0.2">
      <c r="B41" s="208" t="s">
        <v>163</v>
      </c>
      <c r="C41" s="209"/>
      <c r="D41" s="208" t="s">
        <v>168</v>
      </c>
      <c r="E41" s="205"/>
      <c r="F41" s="210" t="s">
        <v>164</v>
      </c>
      <c r="G41" s="208"/>
      <c r="H41" s="211" t="s">
        <v>165</v>
      </c>
    </row>
    <row r="42" spans="1:11" ht="12.75" x14ac:dyDescent="0.2">
      <c r="B42" s="208"/>
      <c r="C42" s="209"/>
      <c r="D42" s="208"/>
      <c r="E42" s="205"/>
      <c r="F42" s="208"/>
      <c r="G42" s="208"/>
      <c r="H42" s="212"/>
    </row>
    <row r="43" spans="1:11" ht="12.75" x14ac:dyDescent="0.2">
      <c r="B43" s="208" t="s">
        <v>166</v>
      </c>
      <c r="C43" s="209"/>
      <c r="D43" s="208" t="s">
        <v>166</v>
      </c>
      <c r="E43" s="205"/>
      <c r="F43" s="208" t="s">
        <v>166</v>
      </c>
      <c r="G43" s="208"/>
      <c r="H43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E06F37-1B64-4563-B538-7E5E9DC5A4C9}">
  <sheetPr>
    <tabColor rgb="FFFF0000"/>
  </sheetPr>
  <dimension ref="A1:I37"/>
  <sheetViews>
    <sheetView view="pageBreakPreview" topLeftCell="A7" zoomScale="90" zoomScaleNormal="100" zoomScaleSheetLayoutView="90" workbookViewId="0">
      <selection activeCell="E15" sqref="E15:I15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50"/>
      <c r="C2" s="150"/>
      <c r="D2" s="62"/>
      <c r="E2" s="150"/>
      <c r="F2" s="150"/>
      <c r="G2" s="150"/>
      <c r="H2" s="21"/>
      <c r="I2" s="22"/>
    </row>
    <row r="3" spans="1:9" s="4" customFormat="1" ht="12" customHeight="1" x14ac:dyDescent="0.2">
      <c r="A3" s="23" t="s">
        <v>1</v>
      </c>
      <c r="B3" s="150"/>
      <c r="C3" s="150"/>
      <c r="D3" s="62"/>
      <c r="E3" s="150"/>
      <c r="F3" s="150"/>
      <c r="G3" s="150"/>
      <c r="H3" s="21"/>
      <c r="I3" s="22"/>
    </row>
    <row r="4" spans="1:9" s="4" customFormat="1" ht="16.5" customHeight="1" x14ac:dyDescent="0.2">
      <c r="A4" s="20"/>
      <c r="B4" s="150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49"/>
      <c r="C5" s="149"/>
      <c r="D5" s="63"/>
      <c r="E5" s="149"/>
      <c r="F5" s="149"/>
      <c r="G5" s="149"/>
      <c r="H5" s="24"/>
      <c r="I5" s="25"/>
    </row>
    <row r="6" spans="1:9" s="1" customFormat="1" ht="16.5" customHeight="1" x14ac:dyDescent="0.2">
      <c r="A6" s="26"/>
      <c r="B6" s="149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49"/>
      <c r="C7" s="149"/>
      <c r="D7" s="63"/>
      <c r="E7" s="149"/>
      <c r="F7" s="149"/>
      <c r="G7" s="149"/>
      <c r="H7" s="24"/>
      <c r="I7" s="25"/>
    </row>
    <row r="8" spans="1:9" s="4" customFormat="1" ht="16.5" customHeight="1" x14ac:dyDescent="0.2">
      <c r="A8" s="20"/>
      <c r="B8" s="150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50"/>
      <c r="C9" s="150"/>
      <c r="D9" s="62"/>
      <c r="E9" s="150"/>
      <c r="F9" s="150"/>
      <c r="G9" s="150"/>
      <c r="H9" s="21"/>
      <c r="I9" s="22"/>
    </row>
    <row r="10" spans="1:9" s="4" customFormat="1" ht="16.5" customHeight="1" x14ac:dyDescent="0.2">
      <c r="A10" s="20"/>
      <c r="B10" s="150"/>
      <c r="C10" s="242" t="str">
        <f>Rekapitulace!K24</f>
        <v>úsek 8 - vypuštěno provedeno dle PD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50"/>
      <c r="C11" s="150"/>
      <c r="D11" s="62"/>
      <c r="E11" s="150"/>
      <c r="F11" s="150"/>
      <c r="G11" s="150"/>
      <c r="H11" s="21"/>
      <c r="I11" s="22"/>
    </row>
    <row r="12" spans="1:9" s="4" customFormat="1" ht="12" customHeight="1" x14ac:dyDescent="0.2">
      <c r="A12" s="23" t="s">
        <v>2</v>
      </c>
      <c r="B12" s="150"/>
      <c r="C12" s="150"/>
      <c r="D12" s="62"/>
      <c r="E12" s="147" t="str">
        <f>Rekapitulace!K5</f>
        <v>Kolomuty</v>
      </c>
      <c r="F12" s="150"/>
      <c r="G12" s="150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50"/>
      <c r="C13" s="150"/>
      <c r="D13" s="62"/>
      <c r="E13" s="150"/>
      <c r="F13" s="150"/>
      <c r="G13" s="150"/>
      <c r="H13" s="21"/>
      <c r="I13" s="22"/>
    </row>
    <row r="14" spans="1:9" s="4" customFormat="1" ht="15.2" customHeight="1" x14ac:dyDescent="0.2">
      <c r="A14" s="23" t="s">
        <v>4</v>
      </c>
      <c r="B14" s="150"/>
      <c r="C14" s="150"/>
      <c r="D14" s="62"/>
      <c r="E14" s="147" t="str">
        <f>Rekapitulace!K7</f>
        <v>Vodovody a kanalizace Mladá Boleslav, a.s.</v>
      </c>
      <c r="F14" s="150"/>
      <c r="G14" s="150"/>
      <c r="H14" s="28"/>
      <c r="I14" s="137"/>
    </row>
    <row r="15" spans="1:9" s="4" customFormat="1" ht="15.2" customHeight="1" x14ac:dyDescent="0.2">
      <c r="A15" s="23" t="s">
        <v>5</v>
      </c>
      <c r="B15" s="150"/>
      <c r="C15" s="150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50"/>
      <c r="C16" s="150"/>
      <c r="D16" s="62"/>
      <c r="E16" s="147"/>
      <c r="F16" s="150"/>
      <c r="G16" s="150"/>
      <c r="H16" s="28"/>
      <c r="I16" s="137"/>
    </row>
    <row r="17" spans="1:9" s="4" customFormat="1" ht="31.35" customHeight="1" thickBot="1" x14ac:dyDescent="0.25">
      <c r="A17" s="20"/>
      <c r="B17" s="150"/>
      <c r="C17" s="150"/>
      <c r="D17" s="62"/>
      <c r="E17" s="150"/>
      <c r="F17" s="150"/>
      <c r="G17" s="266" t="str">
        <f>A1</f>
        <v>Rozpočet stavby (výkaz výměr)</v>
      </c>
      <c r="H17" s="267"/>
      <c r="I17" s="268"/>
    </row>
    <row r="18" spans="1:9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9" s="4" customFormat="1" ht="22.9" customHeight="1" x14ac:dyDescent="0.25">
      <c r="A19" s="30" t="s">
        <v>17</v>
      </c>
      <c r="B19" s="150"/>
      <c r="C19" s="150"/>
      <c r="D19" s="62"/>
      <c r="E19" s="150"/>
      <c r="F19" s="150"/>
      <c r="G19" s="20"/>
      <c r="H19" s="21"/>
      <c r="I19" s="31">
        <f>I20</f>
        <v>0</v>
      </c>
    </row>
    <row r="20" spans="1:9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I21+I26</f>
        <v>0</v>
      </c>
    </row>
    <row r="21" spans="1:9" s="8" customFormat="1" ht="22.9" customHeight="1" x14ac:dyDescent="0.2">
      <c r="A21" s="32"/>
      <c r="B21" s="33" t="s">
        <v>10</v>
      </c>
      <c r="C21" s="38" t="s">
        <v>25</v>
      </c>
      <c r="D21" s="66" t="s">
        <v>68</v>
      </c>
      <c r="E21" s="38" t="s">
        <v>30</v>
      </c>
      <c r="F21" s="35"/>
      <c r="G21" s="32"/>
      <c r="H21" s="36"/>
      <c r="I21" s="39">
        <f>I22+I24</f>
        <v>0</v>
      </c>
    </row>
    <row r="22" spans="1:9" s="4" customFormat="1" ht="24" customHeight="1" x14ac:dyDescent="0.2">
      <c r="A22" s="40">
        <v>1</v>
      </c>
      <c r="B22" s="9" t="s">
        <v>21</v>
      </c>
      <c r="C22" s="10" t="s">
        <v>31</v>
      </c>
      <c r="D22" s="67" t="s">
        <v>68</v>
      </c>
      <c r="E22" s="11" t="s">
        <v>32</v>
      </c>
      <c r="F22" s="6" t="s">
        <v>22</v>
      </c>
      <c r="G22" s="58">
        <f>G24</f>
        <v>0</v>
      </c>
      <c r="H22" s="156">
        <v>20.62</v>
      </c>
      <c r="I22" s="41">
        <f>ROUND(H22*G22,2)</f>
        <v>0</v>
      </c>
    </row>
    <row r="23" spans="1:9" s="14" customFormat="1" outlineLevel="1" x14ac:dyDescent="0.2">
      <c r="A23" s="49"/>
      <c r="B23" s="42" t="s">
        <v>24</v>
      </c>
      <c r="C23" s="50" t="s">
        <v>0</v>
      </c>
      <c r="D23" s="69" t="s">
        <v>41</v>
      </c>
      <c r="E23" s="51" t="s">
        <v>90</v>
      </c>
      <c r="F23" s="52"/>
      <c r="G23" s="60">
        <f>G22</f>
        <v>0</v>
      </c>
      <c r="H23" s="157"/>
      <c r="I23" s="55"/>
    </row>
    <row r="24" spans="1:9" s="4" customFormat="1" ht="36" customHeight="1" x14ac:dyDescent="0.2">
      <c r="A24" s="40">
        <v>2</v>
      </c>
      <c r="B24" s="9" t="s">
        <v>21</v>
      </c>
      <c r="C24" s="10" t="s">
        <v>33</v>
      </c>
      <c r="D24" s="67" t="s">
        <v>68</v>
      </c>
      <c r="E24" s="11" t="s">
        <v>34</v>
      </c>
      <c r="F24" s="6" t="s">
        <v>22</v>
      </c>
      <c r="G24" s="58">
        <f>G25</f>
        <v>0</v>
      </c>
      <c r="H24" s="156">
        <v>396.71</v>
      </c>
      <c r="I24" s="41">
        <f>ROUND(H24*G24,2)</f>
        <v>0</v>
      </c>
    </row>
    <row r="25" spans="1:9" s="14" customFormat="1" ht="12" outlineLevel="1" thickBot="1" x14ac:dyDescent="0.25">
      <c r="A25" s="49"/>
      <c r="B25" s="42" t="s">
        <v>24</v>
      </c>
      <c r="C25" s="50" t="s">
        <v>0</v>
      </c>
      <c r="D25" s="69" t="s">
        <v>41</v>
      </c>
      <c r="E25" s="51" t="str">
        <f>E23</f>
        <v>845 m2 "místní asfalt</v>
      </c>
      <c r="F25" s="52"/>
      <c r="G25" s="60"/>
      <c r="H25" s="53"/>
      <c r="I25" s="55"/>
    </row>
    <row r="26" spans="1:9" ht="12.75" x14ac:dyDescent="0.2">
      <c r="A26" s="71"/>
      <c r="B26" s="72" t="s">
        <v>10</v>
      </c>
      <c r="C26" s="73">
        <v>6</v>
      </c>
      <c r="D26" s="74" t="s">
        <v>68</v>
      </c>
      <c r="E26" s="73" t="s">
        <v>42</v>
      </c>
      <c r="F26" s="75"/>
      <c r="G26" s="71"/>
      <c r="H26" s="76"/>
      <c r="I26" s="77">
        <f>SUBTOTAL(9,I27:I37)</f>
        <v>0</v>
      </c>
    </row>
    <row r="27" spans="1:9" ht="24" customHeight="1" x14ac:dyDescent="0.2">
      <c r="A27" s="40">
        <v>3</v>
      </c>
      <c r="B27" s="9" t="s">
        <v>21</v>
      </c>
      <c r="C27" s="11" t="s">
        <v>43</v>
      </c>
      <c r="D27" s="12" t="s">
        <v>68</v>
      </c>
      <c r="E27" s="11" t="s">
        <v>75</v>
      </c>
      <c r="F27" s="11" t="s">
        <v>22</v>
      </c>
      <c r="G27" s="58">
        <f>G28</f>
        <v>0</v>
      </c>
      <c r="H27" s="78">
        <v>236</v>
      </c>
      <c r="I27" s="41">
        <f>ROUND(H27*G27,2)</f>
        <v>0</v>
      </c>
    </row>
    <row r="28" spans="1:9" ht="10.9" customHeight="1" outlineLevel="1" x14ac:dyDescent="0.2">
      <c r="A28" s="49"/>
      <c r="B28" s="42" t="s">
        <v>24</v>
      </c>
      <c r="C28" s="50" t="s">
        <v>0</v>
      </c>
      <c r="D28" s="69" t="s">
        <v>41</v>
      </c>
      <c r="E28" s="51" t="s">
        <v>91</v>
      </c>
      <c r="F28" s="52"/>
      <c r="G28" s="60">
        <f>G24*1.05</f>
        <v>0</v>
      </c>
      <c r="H28" s="53"/>
      <c r="I28" s="55"/>
    </row>
    <row r="29" spans="1:9" ht="24" customHeight="1" x14ac:dyDescent="0.2">
      <c r="A29" s="40">
        <v>4</v>
      </c>
      <c r="B29" s="9" t="s">
        <v>21</v>
      </c>
      <c r="C29" s="11" t="s">
        <v>44</v>
      </c>
      <c r="D29" s="12" t="s">
        <v>68</v>
      </c>
      <c r="E29" s="11" t="s">
        <v>74</v>
      </c>
      <c r="F29" s="11" t="s">
        <v>22</v>
      </c>
      <c r="G29" s="58">
        <f>G27</f>
        <v>0</v>
      </c>
      <c r="H29" s="78">
        <v>300</v>
      </c>
      <c r="I29" s="41">
        <f t="shared" ref="I29:I37" si="0">ROUND(H29*G29,2)</f>
        <v>0</v>
      </c>
    </row>
    <row r="30" spans="1:9" ht="24" customHeight="1" x14ac:dyDescent="0.2">
      <c r="A30" s="40">
        <v>5</v>
      </c>
      <c r="B30" s="9" t="s">
        <v>21</v>
      </c>
      <c r="C30" s="11" t="s">
        <v>45</v>
      </c>
      <c r="D30" s="12" t="s">
        <v>68</v>
      </c>
      <c r="E30" s="11" t="s">
        <v>73</v>
      </c>
      <c r="F30" s="11" t="s">
        <v>22</v>
      </c>
      <c r="G30" s="58">
        <f>G29</f>
        <v>0</v>
      </c>
      <c r="H30" s="78">
        <v>115</v>
      </c>
      <c r="I30" s="41">
        <f t="shared" si="0"/>
        <v>0</v>
      </c>
    </row>
    <row r="31" spans="1:9" ht="24" customHeight="1" x14ac:dyDescent="0.2">
      <c r="A31" s="40">
        <v>6</v>
      </c>
      <c r="B31" s="9" t="s">
        <v>21</v>
      </c>
      <c r="C31" s="11" t="s">
        <v>46</v>
      </c>
      <c r="D31" s="12" t="s">
        <v>68</v>
      </c>
      <c r="E31" s="11" t="s">
        <v>47</v>
      </c>
      <c r="F31" s="11" t="s">
        <v>29</v>
      </c>
      <c r="G31" s="58">
        <v>0</v>
      </c>
      <c r="H31" s="78">
        <v>1870</v>
      </c>
      <c r="I31" s="41">
        <f t="shared" si="0"/>
        <v>0</v>
      </c>
    </row>
    <row r="32" spans="1:9" ht="24" customHeight="1" x14ac:dyDescent="0.2">
      <c r="A32" s="40">
        <v>7</v>
      </c>
      <c r="B32" s="9" t="s">
        <v>21</v>
      </c>
      <c r="C32" s="11" t="s">
        <v>48</v>
      </c>
      <c r="D32" s="12" t="s">
        <v>68</v>
      </c>
      <c r="E32" s="11" t="s">
        <v>49</v>
      </c>
      <c r="F32" s="11" t="s">
        <v>29</v>
      </c>
      <c r="G32" s="58">
        <v>0</v>
      </c>
      <c r="H32" s="78">
        <v>1050</v>
      </c>
      <c r="I32" s="41">
        <f t="shared" si="0"/>
        <v>0</v>
      </c>
    </row>
    <row r="33" spans="1:9" ht="24" customHeight="1" x14ac:dyDescent="0.2">
      <c r="A33" s="40">
        <v>8</v>
      </c>
      <c r="B33" s="9" t="s">
        <v>21</v>
      </c>
      <c r="C33" s="11" t="s">
        <v>50</v>
      </c>
      <c r="D33" s="12" t="s">
        <v>68</v>
      </c>
      <c r="E33" s="11" t="s">
        <v>51</v>
      </c>
      <c r="F33" s="11" t="s">
        <v>22</v>
      </c>
      <c r="G33" s="58">
        <f>G27</f>
        <v>0</v>
      </c>
      <c r="H33" s="78">
        <v>6.22</v>
      </c>
      <c r="I33" s="41">
        <f t="shared" si="0"/>
        <v>0</v>
      </c>
    </row>
    <row r="34" spans="1:9" ht="24" customHeight="1" x14ac:dyDescent="0.2">
      <c r="A34" s="40">
        <v>9</v>
      </c>
      <c r="B34" s="9" t="s">
        <v>21</v>
      </c>
      <c r="C34" s="11" t="s">
        <v>52</v>
      </c>
      <c r="D34" s="12" t="s">
        <v>68</v>
      </c>
      <c r="E34" s="11" t="s">
        <v>53</v>
      </c>
      <c r="F34" s="11" t="s">
        <v>22</v>
      </c>
      <c r="G34" s="58">
        <f>G33</f>
        <v>0</v>
      </c>
      <c r="H34" s="78">
        <v>0.67</v>
      </c>
      <c r="I34" s="41">
        <f t="shared" si="0"/>
        <v>0</v>
      </c>
    </row>
    <row r="35" spans="1:9" ht="24" customHeight="1" x14ac:dyDescent="0.2">
      <c r="A35" s="54">
        <v>10</v>
      </c>
      <c r="B35" s="15" t="s">
        <v>26</v>
      </c>
      <c r="C35" s="16" t="s">
        <v>54</v>
      </c>
      <c r="D35" s="70" t="s">
        <v>68</v>
      </c>
      <c r="E35" s="17" t="s">
        <v>55</v>
      </c>
      <c r="F35" s="57" t="s">
        <v>40</v>
      </c>
      <c r="G35" s="61">
        <f>G33*0.25*1.6</f>
        <v>0</v>
      </c>
      <c r="H35" s="79">
        <v>404</v>
      </c>
      <c r="I35" s="80">
        <f t="shared" si="0"/>
        <v>0</v>
      </c>
    </row>
    <row r="36" spans="1:9" ht="24" customHeight="1" x14ac:dyDescent="0.2">
      <c r="A36" s="81" t="s">
        <v>56</v>
      </c>
      <c r="B36" s="82"/>
      <c r="C36" s="82"/>
      <c r="D36" s="83" t="s">
        <v>68</v>
      </c>
      <c r="E36" s="82"/>
      <c r="F36" s="84"/>
      <c r="G36" s="85"/>
      <c r="H36" s="86"/>
      <c r="I36" s="87"/>
    </row>
    <row r="37" spans="1:9" ht="24" customHeight="1" thickBot="1" x14ac:dyDescent="0.25">
      <c r="A37" s="91">
        <v>11</v>
      </c>
      <c r="B37" s="92" t="s">
        <v>26</v>
      </c>
      <c r="C37" s="93" t="s">
        <v>57</v>
      </c>
      <c r="D37" s="94" t="s">
        <v>68</v>
      </c>
      <c r="E37" s="97" t="s">
        <v>58</v>
      </c>
      <c r="F37" s="95" t="s">
        <v>28</v>
      </c>
      <c r="G37" s="88">
        <f>G33*25/1000</f>
        <v>0</v>
      </c>
      <c r="H37" s="89">
        <v>2700</v>
      </c>
      <c r="I37" s="90">
        <f t="shared" si="0"/>
        <v>0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scale="68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CAF3D3-11CF-4B62-83DE-7C87EB9848E5}">
  <sheetPr>
    <pageSetUpPr fitToPage="1"/>
  </sheetPr>
  <dimension ref="A1:O48"/>
  <sheetViews>
    <sheetView view="pageBreakPreview" topLeftCell="A30" zoomScale="90" zoomScaleNormal="100" zoomScaleSheetLayoutView="90" workbookViewId="0">
      <selection activeCell="B46" sqref="B46:H48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75"/>
      <c r="C2" s="175"/>
      <c r="D2" s="62"/>
      <c r="E2" s="175"/>
      <c r="F2" s="175"/>
      <c r="G2" s="175"/>
      <c r="H2" s="21"/>
      <c r="I2" s="22"/>
    </row>
    <row r="3" spans="1:9" s="4" customFormat="1" ht="12" customHeight="1" x14ac:dyDescent="0.2">
      <c r="A3" s="23" t="s">
        <v>1</v>
      </c>
      <c r="B3" s="175"/>
      <c r="C3" s="175"/>
      <c r="D3" s="62"/>
      <c r="E3" s="175"/>
      <c r="F3" s="175"/>
      <c r="G3" s="175"/>
      <c r="H3" s="21"/>
      <c r="I3" s="22"/>
    </row>
    <row r="4" spans="1:9" s="4" customFormat="1" ht="16.5" customHeight="1" x14ac:dyDescent="0.2">
      <c r="A4" s="20"/>
      <c r="B4" s="175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74"/>
      <c r="C5" s="174"/>
      <c r="D5" s="63"/>
      <c r="E5" s="174"/>
      <c r="F5" s="174"/>
      <c r="G5" s="174"/>
      <c r="H5" s="24"/>
      <c r="I5" s="25"/>
    </row>
    <row r="6" spans="1:9" s="1" customFormat="1" ht="16.5" customHeight="1" x14ac:dyDescent="0.2">
      <c r="A6" s="26"/>
      <c r="B6" s="174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74"/>
      <c r="C7" s="174"/>
      <c r="D7" s="63"/>
      <c r="E7" s="174"/>
      <c r="F7" s="174"/>
      <c r="G7" s="174"/>
      <c r="H7" s="24"/>
      <c r="I7" s="25"/>
    </row>
    <row r="8" spans="1:9" s="4" customFormat="1" ht="16.5" customHeight="1" x14ac:dyDescent="0.2">
      <c r="A8" s="20"/>
      <c r="B8" s="175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75"/>
      <c r="C9" s="175"/>
      <c r="D9" s="62"/>
      <c r="E9" s="175"/>
      <c r="F9" s="175"/>
      <c r="G9" s="175"/>
      <c r="H9" s="21"/>
      <c r="I9" s="22"/>
    </row>
    <row r="10" spans="1:9" s="4" customFormat="1" ht="16.5" customHeight="1" x14ac:dyDescent="0.2">
      <c r="A10" s="20"/>
      <c r="B10" s="175"/>
      <c r="C10" s="242" t="str">
        <f>+Rekapitulace!K25</f>
        <v>úsek 9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75"/>
      <c r="C11" s="175"/>
      <c r="D11" s="62"/>
      <c r="E11" s="175"/>
      <c r="F11" s="175"/>
      <c r="G11" s="175"/>
      <c r="H11" s="21"/>
      <c r="I11" s="22"/>
    </row>
    <row r="12" spans="1:9" s="4" customFormat="1" ht="12" customHeight="1" x14ac:dyDescent="0.2">
      <c r="A12" s="23" t="s">
        <v>2</v>
      </c>
      <c r="B12" s="175"/>
      <c r="C12" s="175"/>
      <c r="D12" s="62"/>
      <c r="E12" s="173" t="str">
        <f>Rekapitulace!K5</f>
        <v>Kolomuty</v>
      </c>
      <c r="F12" s="175"/>
      <c r="G12" s="175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75"/>
      <c r="C13" s="175"/>
      <c r="D13" s="62"/>
      <c r="E13" s="175"/>
      <c r="F13" s="175"/>
      <c r="G13" s="175"/>
      <c r="H13" s="21"/>
      <c r="I13" s="22"/>
    </row>
    <row r="14" spans="1:9" s="4" customFormat="1" ht="15.2" customHeight="1" x14ac:dyDescent="0.2">
      <c r="A14" s="23" t="s">
        <v>4</v>
      </c>
      <c r="B14" s="175"/>
      <c r="C14" s="175"/>
      <c r="D14" s="62"/>
      <c r="E14" s="173" t="str">
        <f>Rekapitulace!K7</f>
        <v>Vodovody a kanalizace Mladá Boleslav, a.s.</v>
      </c>
      <c r="F14" s="175"/>
      <c r="G14" s="175"/>
      <c r="H14" s="28"/>
      <c r="I14" s="137"/>
    </row>
    <row r="15" spans="1:9" s="4" customFormat="1" ht="15.2" customHeight="1" x14ac:dyDescent="0.2">
      <c r="A15" s="23" t="s">
        <v>5</v>
      </c>
      <c r="B15" s="175"/>
      <c r="C15" s="175"/>
      <c r="D15" s="62"/>
      <c r="E15" s="173" t="str">
        <f>+Rekapitulace!K8</f>
        <v>VCES a.s</v>
      </c>
      <c r="F15" s="175"/>
      <c r="G15" s="175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75"/>
      <c r="C16" s="175"/>
      <c r="D16" s="62"/>
      <c r="E16" s="173"/>
      <c r="F16" s="175"/>
      <c r="G16" s="175"/>
      <c r="H16" s="28"/>
      <c r="I16" s="137"/>
    </row>
    <row r="17" spans="1:15" s="4" customFormat="1" ht="31.35" customHeight="1" thickBot="1" x14ac:dyDescent="0.25">
      <c r="A17" s="20"/>
      <c r="B17" s="175"/>
      <c r="C17" s="175"/>
      <c r="D17" s="62"/>
      <c r="E17" s="175"/>
      <c r="F17" s="175"/>
      <c r="G17" s="266" t="str">
        <f>A1</f>
        <v>Rozpočet stavby (výkaz výměr)</v>
      </c>
      <c r="H17" s="267"/>
      <c r="I17" s="268"/>
    </row>
    <row r="18" spans="1:15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5" s="4" customFormat="1" ht="22.9" customHeight="1" x14ac:dyDescent="0.25">
      <c r="A19" s="30" t="s">
        <v>17</v>
      </c>
      <c r="B19" s="175"/>
      <c r="C19" s="175"/>
      <c r="D19" s="62"/>
      <c r="E19" s="175"/>
      <c r="F19" s="175"/>
      <c r="G19" s="20"/>
      <c r="H19" s="21"/>
      <c r="I19" s="31">
        <f>I20</f>
        <v>1506016.15</v>
      </c>
    </row>
    <row r="20" spans="1:15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I27+I33+I21</f>
        <v>1506016.15</v>
      </c>
    </row>
    <row r="21" spans="1:15" s="8" customFormat="1" ht="25.9" customHeight="1" x14ac:dyDescent="0.2">
      <c r="A21" s="32"/>
      <c r="B21" s="33" t="s">
        <v>10</v>
      </c>
      <c r="C21" s="38">
        <v>1</v>
      </c>
      <c r="D21" s="66" t="s">
        <v>68</v>
      </c>
      <c r="E21" s="38" t="s">
        <v>20</v>
      </c>
      <c r="F21" s="35"/>
      <c r="G21" s="32"/>
      <c r="H21" s="36"/>
      <c r="I21" s="39">
        <f>I22+I24</f>
        <v>140079.02000000002</v>
      </c>
      <c r="K21" s="169"/>
      <c r="L21" s="169"/>
      <c r="M21" s="169"/>
      <c r="N21" s="169"/>
      <c r="O21" s="169"/>
    </row>
    <row r="22" spans="1:15" s="8" customFormat="1" ht="45.6" customHeight="1" x14ac:dyDescent="0.2">
      <c r="A22" s="40">
        <v>1</v>
      </c>
      <c r="B22" s="9" t="s">
        <v>21</v>
      </c>
      <c r="C22" s="10" t="s">
        <v>76</v>
      </c>
      <c r="D22" s="67" t="s">
        <v>68</v>
      </c>
      <c r="E22" s="11" t="s">
        <v>77</v>
      </c>
      <c r="F22" s="6" t="s">
        <v>22</v>
      </c>
      <c r="G22" s="58">
        <f>+G31</f>
        <v>817.55</v>
      </c>
      <c r="H22" s="156">
        <v>98.64</v>
      </c>
      <c r="I22" s="41">
        <f>ROUND(H22*G22,2)</f>
        <v>80643.13</v>
      </c>
      <c r="K22" s="169"/>
      <c r="L22" s="169"/>
      <c r="M22" s="169"/>
      <c r="N22" s="167"/>
      <c r="O22" s="167"/>
    </row>
    <row r="23" spans="1:15" s="8" customFormat="1" ht="19.149999999999999" customHeight="1" x14ac:dyDescent="0.2">
      <c r="A23" s="20"/>
      <c r="B23" s="42" t="s">
        <v>23</v>
      </c>
      <c r="C23" s="175"/>
      <c r="D23" s="62" t="s">
        <v>68</v>
      </c>
      <c r="E23" s="43" t="s">
        <v>87</v>
      </c>
      <c r="F23" s="175"/>
      <c r="G23" s="20"/>
      <c r="H23" s="158"/>
      <c r="I23" s="22"/>
      <c r="K23" s="169"/>
      <c r="L23" s="169"/>
      <c r="M23" s="169"/>
      <c r="N23" s="169"/>
      <c r="O23" s="169"/>
    </row>
    <row r="24" spans="1:15" s="8" customFormat="1" ht="25.9" customHeight="1" x14ac:dyDescent="0.2">
      <c r="A24" s="40">
        <v>2</v>
      </c>
      <c r="B24" s="9" t="s">
        <v>21</v>
      </c>
      <c r="C24" s="10" t="s">
        <v>35</v>
      </c>
      <c r="D24" s="67" t="s">
        <v>68</v>
      </c>
      <c r="E24" s="11" t="s">
        <v>36</v>
      </c>
      <c r="F24" s="6" t="s">
        <v>28</v>
      </c>
      <c r="G24" s="58">
        <f>G22*0.1*2</f>
        <v>163.51</v>
      </c>
      <c r="H24" s="156">
        <v>363.5</v>
      </c>
      <c r="I24" s="41">
        <f>ROUND(H24*G24,2)</f>
        <v>59435.89</v>
      </c>
      <c r="K24" s="169"/>
      <c r="L24" s="169"/>
      <c r="M24" s="169"/>
      <c r="N24" s="167"/>
      <c r="O24" s="167"/>
    </row>
    <row r="25" spans="1:15" s="8" customFormat="1" ht="10.15" customHeight="1" x14ac:dyDescent="0.2">
      <c r="A25" s="44"/>
      <c r="B25" s="42" t="s">
        <v>24</v>
      </c>
      <c r="C25" s="45" t="s">
        <v>0</v>
      </c>
      <c r="D25" s="68" t="s">
        <v>68</v>
      </c>
      <c r="E25" s="46" t="s">
        <v>37</v>
      </c>
      <c r="F25" s="47"/>
      <c r="G25" s="59" t="s">
        <v>0</v>
      </c>
      <c r="H25" s="48"/>
      <c r="I25" s="56"/>
      <c r="K25" s="169"/>
      <c r="L25" s="169"/>
      <c r="M25" s="169"/>
      <c r="N25" s="169" t="s">
        <v>0</v>
      </c>
      <c r="O25" s="169"/>
    </row>
    <row r="26" spans="1:15" s="8" customFormat="1" ht="10.15" customHeight="1" x14ac:dyDescent="0.2">
      <c r="A26" s="44"/>
      <c r="B26" s="42" t="s">
        <v>24</v>
      </c>
      <c r="C26" s="45" t="s">
        <v>0</v>
      </c>
      <c r="D26" s="68" t="s">
        <v>68</v>
      </c>
      <c r="E26" s="46" t="s">
        <v>27</v>
      </c>
      <c r="F26" s="47"/>
      <c r="G26" s="59" t="s">
        <v>0</v>
      </c>
      <c r="H26" s="48"/>
      <c r="I26" s="56"/>
      <c r="K26" s="169"/>
      <c r="L26" s="169"/>
      <c r="M26" s="169"/>
      <c r="N26" s="169" t="s">
        <v>0</v>
      </c>
      <c r="O26" s="169"/>
    </row>
    <row r="27" spans="1:15" s="8" customFormat="1" ht="22.9" customHeight="1" x14ac:dyDescent="0.2">
      <c r="A27" s="32"/>
      <c r="B27" s="33" t="s">
        <v>10</v>
      </c>
      <c r="C27" s="38" t="s">
        <v>25</v>
      </c>
      <c r="D27" s="66" t="s">
        <v>68</v>
      </c>
      <c r="E27" s="38" t="s">
        <v>30</v>
      </c>
      <c r="F27" s="35"/>
      <c r="G27" s="32"/>
      <c r="H27" s="36"/>
      <c r="I27" s="39">
        <f>I28+I30+I32</f>
        <v>476400.14</v>
      </c>
    </row>
    <row r="28" spans="1:15" s="4" customFormat="1" ht="24" customHeight="1" x14ac:dyDescent="0.2">
      <c r="A28" s="40">
        <v>1</v>
      </c>
      <c r="B28" s="9" t="s">
        <v>21</v>
      </c>
      <c r="C28" s="10" t="s">
        <v>31</v>
      </c>
      <c r="D28" s="67" t="s">
        <v>68</v>
      </c>
      <c r="E28" s="11" t="s">
        <v>32</v>
      </c>
      <c r="F28" s="6" t="s">
        <v>22</v>
      </c>
      <c r="G28" s="58">
        <f>G30</f>
        <v>817.55</v>
      </c>
      <c r="H28" s="156">
        <v>20.62</v>
      </c>
      <c r="I28" s="41">
        <f>ROUND(H28*G28,2)</f>
        <v>16857.88</v>
      </c>
    </row>
    <row r="29" spans="1:15" s="14" customForma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136</v>
      </c>
      <c r="F29" s="52"/>
      <c r="G29" s="60">
        <f>G28</f>
        <v>817.55</v>
      </c>
      <c r="H29" s="157"/>
      <c r="I29" s="55"/>
    </row>
    <row r="30" spans="1:15" s="4" customFormat="1" ht="36" customHeight="1" x14ac:dyDescent="0.2">
      <c r="A30" s="40">
        <v>2</v>
      </c>
      <c r="B30" s="9" t="s">
        <v>21</v>
      </c>
      <c r="C30" s="10" t="s">
        <v>33</v>
      </c>
      <c r="D30" s="67" t="s">
        <v>68</v>
      </c>
      <c r="E30" s="11" t="s">
        <v>34</v>
      </c>
      <c r="F30" s="6" t="s">
        <v>22</v>
      </c>
      <c r="G30" s="58">
        <f>G31</f>
        <v>817.55</v>
      </c>
      <c r="H30" s="156">
        <v>396.71</v>
      </c>
      <c r="I30" s="41">
        <f>ROUND(H30*G30,2)</f>
        <v>324330.26</v>
      </c>
    </row>
    <row r="31" spans="1:15" s="14" customFormat="1" outlineLevel="1" x14ac:dyDescent="0.2">
      <c r="A31" s="49"/>
      <c r="B31" s="42" t="s">
        <v>24</v>
      </c>
      <c r="C31" s="50" t="s">
        <v>0</v>
      </c>
      <c r="D31" s="69" t="s">
        <v>41</v>
      </c>
      <c r="E31" s="51" t="str">
        <f>E29</f>
        <v>851,55 m2 "místní asfalt</v>
      </c>
      <c r="F31" s="52"/>
      <c r="G31" s="60">
        <f>851.55-18-16</f>
        <v>817.55</v>
      </c>
      <c r="H31" s="53"/>
      <c r="I31" s="55"/>
    </row>
    <row r="32" spans="1:15" s="181" customFormat="1" ht="27" customHeight="1" thickBot="1" x14ac:dyDescent="0.25">
      <c r="A32" s="40" t="s">
        <v>153</v>
      </c>
      <c r="B32" s="9"/>
      <c r="C32" s="10" t="s">
        <v>154</v>
      </c>
      <c r="D32" s="67"/>
      <c r="E32" s="11" t="s">
        <v>155</v>
      </c>
      <c r="F32" s="6" t="s">
        <v>100</v>
      </c>
      <c r="G32" s="58">
        <v>28</v>
      </c>
      <c r="H32" s="156">
        <v>4829</v>
      </c>
      <c r="I32" s="41">
        <f t="shared" ref="I32" si="0">ROUND(H32*G32,2)</f>
        <v>135212</v>
      </c>
    </row>
    <row r="33" spans="1:9" ht="12.75" x14ac:dyDescent="0.2">
      <c r="A33" s="71"/>
      <c r="B33" s="72" t="s">
        <v>10</v>
      </c>
      <c r="C33" s="73">
        <v>6</v>
      </c>
      <c r="D33" s="74" t="s">
        <v>68</v>
      </c>
      <c r="E33" s="73" t="s">
        <v>42</v>
      </c>
      <c r="F33" s="75"/>
      <c r="G33" s="71"/>
      <c r="H33" s="76"/>
      <c r="I33" s="77">
        <f>SUBTOTAL(9,I34:I44)</f>
        <v>889536.99</v>
      </c>
    </row>
    <row r="34" spans="1:9" ht="24" customHeight="1" x14ac:dyDescent="0.2">
      <c r="A34" s="40">
        <v>3</v>
      </c>
      <c r="B34" s="9" t="s">
        <v>21</v>
      </c>
      <c r="C34" s="11" t="s">
        <v>43</v>
      </c>
      <c r="D34" s="12" t="s">
        <v>68</v>
      </c>
      <c r="E34" s="11" t="s">
        <v>75</v>
      </c>
      <c r="F34" s="11" t="s">
        <v>22</v>
      </c>
      <c r="G34" s="58">
        <f>G35</f>
        <v>817.55</v>
      </c>
      <c r="H34" s="78">
        <v>257</v>
      </c>
      <c r="I34" s="41">
        <f>ROUND(H34*G34,2)</f>
        <v>210110.35</v>
      </c>
    </row>
    <row r="35" spans="1:9" ht="10.9" customHeight="1" outlineLevel="1" x14ac:dyDescent="0.2">
      <c r="A35" s="49"/>
      <c r="B35" s="42" t="s">
        <v>24</v>
      </c>
      <c r="C35" s="50" t="s">
        <v>0</v>
      </c>
      <c r="D35" s="69" t="s">
        <v>41</v>
      </c>
      <c r="E35" s="51" t="s">
        <v>137</v>
      </c>
      <c r="F35" s="52"/>
      <c r="G35" s="60">
        <f>G30</f>
        <v>817.55</v>
      </c>
      <c r="H35" s="157"/>
      <c r="I35" s="55"/>
    </row>
    <row r="36" spans="1:9" ht="24" customHeight="1" x14ac:dyDescent="0.2">
      <c r="A36" s="40">
        <v>4</v>
      </c>
      <c r="B36" s="9" t="s">
        <v>21</v>
      </c>
      <c r="C36" s="11" t="s">
        <v>44</v>
      </c>
      <c r="D36" s="12" t="s">
        <v>68</v>
      </c>
      <c r="E36" s="11" t="s">
        <v>74</v>
      </c>
      <c r="F36" s="11" t="s">
        <v>22</v>
      </c>
      <c r="G36" s="58">
        <f>G34</f>
        <v>817.55</v>
      </c>
      <c r="H36" s="78">
        <v>333</v>
      </c>
      <c r="I36" s="41">
        <f t="shared" ref="I36:I44" si="1">ROUND(H36*G36,2)</f>
        <v>272244.15000000002</v>
      </c>
    </row>
    <row r="37" spans="1:9" ht="24" customHeight="1" x14ac:dyDescent="0.2">
      <c r="A37" s="40">
        <v>5</v>
      </c>
      <c r="B37" s="9" t="s">
        <v>21</v>
      </c>
      <c r="C37" s="11" t="s">
        <v>45</v>
      </c>
      <c r="D37" s="12" t="s">
        <v>68</v>
      </c>
      <c r="E37" s="11" t="s">
        <v>73</v>
      </c>
      <c r="F37" s="11" t="s">
        <v>22</v>
      </c>
      <c r="G37" s="58">
        <f>G36</f>
        <v>817.55</v>
      </c>
      <c r="H37" s="78">
        <v>125</v>
      </c>
      <c r="I37" s="41">
        <f t="shared" si="1"/>
        <v>102193.75</v>
      </c>
    </row>
    <row r="38" spans="1:9" ht="24" customHeight="1" x14ac:dyDescent="0.2">
      <c r="A38" s="40">
        <v>6</v>
      </c>
      <c r="B38" s="9" t="s">
        <v>21</v>
      </c>
      <c r="C38" s="11" t="s">
        <v>46</v>
      </c>
      <c r="D38" s="12" t="s">
        <v>68</v>
      </c>
      <c r="E38" s="11" t="s">
        <v>47</v>
      </c>
      <c r="F38" s="11" t="s">
        <v>29</v>
      </c>
      <c r="G38" s="58">
        <v>6</v>
      </c>
      <c r="H38" s="78">
        <v>2150</v>
      </c>
      <c r="I38" s="41">
        <f t="shared" si="1"/>
        <v>12900</v>
      </c>
    </row>
    <row r="39" spans="1:9" ht="24" customHeight="1" x14ac:dyDescent="0.2">
      <c r="A39" s="40">
        <v>7</v>
      </c>
      <c r="B39" s="9" t="s">
        <v>21</v>
      </c>
      <c r="C39" s="11" t="s">
        <v>48</v>
      </c>
      <c r="D39" s="12" t="s">
        <v>68</v>
      </c>
      <c r="E39" s="11" t="s">
        <v>49</v>
      </c>
      <c r="F39" s="11" t="s">
        <v>29</v>
      </c>
      <c r="G39" s="58">
        <v>14</v>
      </c>
      <c r="H39" s="78">
        <v>1200</v>
      </c>
      <c r="I39" s="41">
        <f t="shared" si="1"/>
        <v>16800</v>
      </c>
    </row>
    <row r="40" spans="1:9" ht="24" customHeight="1" x14ac:dyDescent="0.2">
      <c r="A40" s="40">
        <v>8</v>
      </c>
      <c r="B40" s="9" t="s">
        <v>21</v>
      </c>
      <c r="C40" s="11" t="s">
        <v>50</v>
      </c>
      <c r="D40" s="12" t="s">
        <v>68</v>
      </c>
      <c r="E40" s="11" t="s">
        <v>51</v>
      </c>
      <c r="F40" s="11" t="s">
        <v>22</v>
      </c>
      <c r="G40" s="58">
        <f>G34</f>
        <v>817.55</v>
      </c>
      <c r="H40" s="78">
        <v>6.88</v>
      </c>
      <c r="I40" s="41">
        <f t="shared" si="1"/>
        <v>5624.74</v>
      </c>
    </row>
    <row r="41" spans="1:9" ht="24" customHeight="1" x14ac:dyDescent="0.2">
      <c r="A41" s="40">
        <v>9</v>
      </c>
      <c r="B41" s="9" t="s">
        <v>21</v>
      </c>
      <c r="C41" s="11" t="s">
        <v>52</v>
      </c>
      <c r="D41" s="12" t="s">
        <v>68</v>
      </c>
      <c r="E41" s="11" t="s">
        <v>53</v>
      </c>
      <c r="F41" s="11" t="s">
        <v>22</v>
      </c>
      <c r="G41" s="58">
        <f>G40</f>
        <v>817.55</v>
      </c>
      <c r="H41" s="78">
        <v>0.8</v>
      </c>
      <c r="I41" s="41">
        <f t="shared" si="1"/>
        <v>654.04</v>
      </c>
    </row>
    <row r="42" spans="1:9" ht="24" customHeight="1" x14ac:dyDescent="0.2">
      <c r="A42" s="54">
        <v>10</v>
      </c>
      <c r="B42" s="15" t="s">
        <v>26</v>
      </c>
      <c r="C42" s="16" t="s">
        <v>54</v>
      </c>
      <c r="D42" s="70" t="s">
        <v>68</v>
      </c>
      <c r="E42" s="17" t="s">
        <v>55</v>
      </c>
      <c r="F42" s="57" t="s">
        <v>40</v>
      </c>
      <c r="G42" s="61">
        <f>G40*0.25*1.6</f>
        <v>327.02</v>
      </c>
      <c r="H42" s="79">
        <v>429</v>
      </c>
      <c r="I42" s="80">
        <f t="shared" si="1"/>
        <v>140291.57999999999</v>
      </c>
    </row>
    <row r="43" spans="1:9" ht="24" customHeight="1" x14ac:dyDescent="0.2">
      <c r="A43" s="81" t="s">
        <v>56</v>
      </c>
      <c r="B43" s="82"/>
      <c r="C43" s="82"/>
      <c r="D43" s="83" t="s">
        <v>68</v>
      </c>
      <c r="E43" s="82"/>
      <c r="F43" s="84"/>
      <c r="G43" s="85"/>
      <c r="H43" s="86"/>
      <c r="I43" s="87"/>
    </row>
    <row r="44" spans="1:9" ht="24" customHeight="1" thickBot="1" x14ac:dyDescent="0.25">
      <c r="A44" s="91">
        <v>11</v>
      </c>
      <c r="B44" s="92" t="s">
        <v>26</v>
      </c>
      <c r="C44" s="93" t="s">
        <v>57</v>
      </c>
      <c r="D44" s="94" t="s">
        <v>68</v>
      </c>
      <c r="E44" s="97" t="s">
        <v>58</v>
      </c>
      <c r="F44" s="95" t="s">
        <v>28</v>
      </c>
      <c r="G44" s="88">
        <v>34.78875</v>
      </c>
      <c r="H44" s="89">
        <v>3700</v>
      </c>
      <c r="I44" s="90">
        <f t="shared" si="1"/>
        <v>128718.38</v>
      </c>
    </row>
    <row r="46" spans="1:9" ht="12.75" x14ac:dyDescent="0.2">
      <c r="B46" s="208" t="s">
        <v>163</v>
      </c>
      <c r="C46" s="209"/>
      <c r="D46" s="208" t="s">
        <v>168</v>
      </c>
      <c r="E46" s="205"/>
      <c r="F46" s="210" t="s">
        <v>164</v>
      </c>
      <c r="G46" s="208"/>
      <c r="H46" s="211" t="s">
        <v>165</v>
      </c>
    </row>
    <row r="47" spans="1:9" ht="12.75" x14ac:dyDescent="0.2">
      <c r="B47" s="208"/>
      <c r="C47" s="209"/>
      <c r="D47" s="208"/>
      <c r="E47" s="205"/>
      <c r="F47" s="208"/>
      <c r="G47" s="208"/>
      <c r="H47" s="212"/>
    </row>
    <row r="48" spans="1:9" ht="12.75" x14ac:dyDescent="0.2">
      <c r="B48" s="208" t="s">
        <v>166</v>
      </c>
      <c r="C48" s="209"/>
      <c r="D48" s="208" t="s">
        <v>166</v>
      </c>
      <c r="E48" s="205"/>
      <c r="F48" s="208" t="s">
        <v>166</v>
      </c>
      <c r="G48" s="208"/>
      <c r="H48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F3004-DF6B-44AD-93E7-EF067A444926}">
  <sheetPr>
    <pageSetUpPr fitToPage="1"/>
  </sheetPr>
  <dimension ref="A1:N44"/>
  <sheetViews>
    <sheetView tabSelected="1" view="pageBreakPreview" topLeftCell="A31" zoomScale="90" zoomScaleNormal="100" zoomScaleSheetLayoutView="90" workbookViewId="0">
      <selection activeCell="B42" sqref="B42:H44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50"/>
      <c r="C2" s="150"/>
      <c r="D2" s="62"/>
      <c r="E2" s="150"/>
      <c r="F2" s="150"/>
      <c r="G2" s="150"/>
      <c r="H2" s="21"/>
      <c r="I2" s="22"/>
    </row>
    <row r="3" spans="1:9" s="4" customFormat="1" ht="12" customHeight="1" x14ac:dyDescent="0.2">
      <c r="A3" s="23" t="s">
        <v>1</v>
      </c>
      <c r="B3" s="150"/>
      <c r="C3" s="150"/>
      <c r="D3" s="62"/>
      <c r="E3" s="150"/>
      <c r="F3" s="150"/>
      <c r="G3" s="150"/>
      <c r="H3" s="21"/>
      <c r="I3" s="22"/>
    </row>
    <row r="4" spans="1:9" s="4" customFormat="1" ht="16.5" customHeight="1" x14ac:dyDescent="0.2">
      <c r="A4" s="20"/>
      <c r="B4" s="150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49"/>
      <c r="C5" s="149"/>
      <c r="D5" s="63"/>
      <c r="E5" s="149"/>
      <c r="F5" s="149"/>
      <c r="G5" s="149"/>
      <c r="H5" s="24"/>
      <c r="I5" s="25"/>
    </row>
    <row r="6" spans="1:9" s="1" customFormat="1" ht="16.5" customHeight="1" x14ac:dyDescent="0.2">
      <c r="A6" s="26"/>
      <c r="B6" s="149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49"/>
      <c r="C7" s="149"/>
      <c r="D7" s="63"/>
      <c r="E7" s="149"/>
      <c r="F7" s="149"/>
      <c r="G7" s="149"/>
      <c r="H7" s="24"/>
      <c r="I7" s="25"/>
    </row>
    <row r="8" spans="1:9" s="4" customFormat="1" ht="16.5" customHeight="1" x14ac:dyDescent="0.2">
      <c r="A8" s="20"/>
      <c r="B8" s="150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50"/>
      <c r="C9" s="150"/>
      <c r="D9" s="62"/>
      <c r="E9" s="150"/>
      <c r="F9" s="150"/>
      <c r="G9" s="150"/>
      <c r="H9" s="21"/>
      <c r="I9" s="22"/>
    </row>
    <row r="10" spans="1:9" s="4" customFormat="1" ht="16.5" customHeight="1" x14ac:dyDescent="0.2">
      <c r="A10" s="20"/>
      <c r="B10" s="150"/>
      <c r="C10" s="242" t="str">
        <f>Rekapitulace!K26</f>
        <v>obruby na úseku 3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50"/>
      <c r="C11" s="150"/>
      <c r="D11" s="62"/>
      <c r="E11" s="150"/>
      <c r="F11" s="150"/>
      <c r="G11" s="150"/>
      <c r="H11" s="21"/>
      <c r="I11" s="22"/>
    </row>
    <row r="12" spans="1:9" s="4" customFormat="1" ht="12" customHeight="1" x14ac:dyDescent="0.2">
      <c r="A12" s="23" t="s">
        <v>2</v>
      </c>
      <c r="B12" s="150"/>
      <c r="C12" s="150"/>
      <c r="D12" s="62"/>
      <c r="E12" s="147" t="str">
        <f>Rekapitulace!K5</f>
        <v>Kolomuty</v>
      </c>
      <c r="F12" s="150"/>
      <c r="G12" s="150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50"/>
      <c r="C13" s="150"/>
      <c r="D13" s="62"/>
      <c r="E13" s="150"/>
      <c r="F13" s="150"/>
      <c r="G13" s="150"/>
      <c r="H13" s="21"/>
      <c r="I13" s="22"/>
    </row>
    <row r="14" spans="1:9" s="4" customFormat="1" ht="15.2" customHeight="1" x14ac:dyDescent="0.2">
      <c r="A14" s="23" t="s">
        <v>4</v>
      </c>
      <c r="B14" s="150"/>
      <c r="C14" s="150"/>
      <c r="D14" s="62"/>
      <c r="E14" s="147" t="str">
        <f>Rekapitulace!K7</f>
        <v>Vodovody a kanalizace Mladá Boleslav, a.s.</v>
      </c>
      <c r="F14" s="150"/>
      <c r="G14" s="150"/>
      <c r="H14" s="28"/>
      <c r="I14" s="137"/>
    </row>
    <row r="15" spans="1:9" s="4" customFormat="1" ht="15.2" customHeight="1" x14ac:dyDescent="0.2">
      <c r="A15" s="23" t="s">
        <v>5</v>
      </c>
      <c r="B15" s="150"/>
      <c r="C15" s="150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50"/>
      <c r="C16" s="150"/>
      <c r="D16" s="62"/>
      <c r="E16" s="147"/>
      <c r="F16" s="150"/>
      <c r="G16" s="150"/>
      <c r="H16" s="28"/>
      <c r="I16" s="137"/>
    </row>
    <row r="17" spans="1:14" s="4" customFormat="1" ht="31.35" customHeight="1" thickBot="1" x14ac:dyDescent="0.25">
      <c r="A17" s="20"/>
      <c r="B17" s="150"/>
      <c r="C17" s="150"/>
      <c r="D17" s="62"/>
      <c r="E17" s="150"/>
      <c r="F17" s="150"/>
      <c r="G17" s="266" t="str">
        <f>A1</f>
        <v>Rozpočet stavby (výkaz výměr)</v>
      </c>
      <c r="H17" s="267"/>
      <c r="I17" s="268"/>
    </row>
    <row r="18" spans="1:14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4" s="4" customFormat="1" ht="22.9" customHeight="1" x14ac:dyDescent="0.25">
      <c r="A19" s="30" t="s">
        <v>17</v>
      </c>
      <c r="B19" s="150"/>
      <c r="C19" s="150"/>
      <c r="D19" s="62"/>
      <c r="E19" s="150"/>
      <c r="F19" s="150"/>
      <c r="G19" s="20"/>
      <c r="H19" s="21"/>
      <c r="I19" s="31">
        <f>I20</f>
        <v>844569.4</v>
      </c>
    </row>
    <row r="20" spans="1:14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I29+I35+I21</f>
        <v>844569.4</v>
      </c>
    </row>
    <row r="21" spans="1:14" s="8" customFormat="1" ht="25.9" customHeight="1" x14ac:dyDescent="0.2">
      <c r="A21" s="32"/>
      <c r="B21" s="33" t="s">
        <v>10</v>
      </c>
      <c r="C21" s="38">
        <v>1</v>
      </c>
      <c r="D21" s="66" t="s">
        <v>68</v>
      </c>
      <c r="E21" s="38" t="s">
        <v>20</v>
      </c>
      <c r="F21" s="35"/>
      <c r="G21" s="32"/>
      <c r="H21" s="36"/>
      <c r="I21" s="39">
        <f>I22+I26+I24</f>
        <v>226404</v>
      </c>
    </row>
    <row r="22" spans="1:14" s="8" customFormat="1" ht="45.6" customHeight="1" x14ac:dyDescent="0.2">
      <c r="A22" s="40">
        <v>1</v>
      </c>
      <c r="B22" s="9" t="s">
        <v>21</v>
      </c>
      <c r="C22" s="10" t="s">
        <v>92</v>
      </c>
      <c r="D22" s="67" t="s">
        <v>68</v>
      </c>
      <c r="E22" s="11" t="s">
        <v>93</v>
      </c>
      <c r="F22" s="6" t="s">
        <v>99</v>
      </c>
      <c r="G22" s="58">
        <v>760</v>
      </c>
      <c r="H22" s="13">
        <v>97.33</v>
      </c>
      <c r="I22" s="41">
        <f>ROUND(H22*G22,2)</f>
        <v>73970.8</v>
      </c>
    </row>
    <row r="23" spans="1:14" s="8" customFormat="1" ht="19.149999999999999" customHeight="1" x14ac:dyDescent="0.2">
      <c r="A23" s="20"/>
      <c r="B23" s="42" t="s">
        <v>23</v>
      </c>
      <c r="C23" s="150"/>
      <c r="D23" s="62" t="s">
        <v>68</v>
      </c>
      <c r="E23" s="43" t="s">
        <v>101</v>
      </c>
      <c r="F23" s="150"/>
      <c r="G23" s="20"/>
      <c r="H23" s="21"/>
      <c r="I23" s="22"/>
    </row>
    <row r="24" spans="1:14" s="8" customFormat="1" ht="30" customHeight="1" x14ac:dyDescent="0.2">
      <c r="A24" s="40">
        <v>2</v>
      </c>
      <c r="B24" s="9" t="s">
        <v>21</v>
      </c>
      <c r="C24" s="10" t="s">
        <v>107</v>
      </c>
      <c r="D24" s="67" t="s">
        <v>68</v>
      </c>
      <c r="E24" s="11" t="s">
        <v>108</v>
      </c>
      <c r="F24" s="6" t="s">
        <v>100</v>
      </c>
      <c r="G24" s="58">
        <f>760*0.2*0.4</f>
        <v>60.800000000000004</v>
      </c>
      <c r="H24" s="13">
        <v>853</v>
      </c>
      <c r="I24" s="41">
        <f>ROUND(H24*G24,2)</f>
        <v>51862.400000000001</v>
      </c>
    </row>
    <row r="25" spans="1:14" s="8" customFormat="1" ht="19.149999999999999" customHeight="1" x14ac:dyDescent="0.2">
      <c r="A25" s="20"/>
      <c r="B25" s="42"/>
      <c r="C25" s="150"/>
      <c r="D25" s="62"/>
      <c r="E25" s="43" t="s">
        <v>105</v>
      </c>
      <c r="F25" s="150"/>
      <c r="G25" s="20"/>
      <c r="H25" s="21"/>
      <c r="I25" s="22"/>
    </row>
    <row r="26" spans="1:14" s="8" customFormat="1" ht="25.9" customHeight="1" x14ac:dyDescent="0.2">
      <c r="A26" s="40">
        <v>3</v>
      </c>
      <c r="B26" s="9" t="s">
        <v>21</v>
      </c>
      <c r="C26" s="10" t="s">
        <v>35</v>
      </c>
      <c r="D26" s="67" t="s">
        <v>68</v>
      </c>
      <c r="E26" s="11" t="s">
        <v>36</v>
      </c>
      <c r="F26" s="6" t="s">
        <v>28</v>
      </c>
      <c r="G26" s="58">
        <f>760*0.2*0.4*2+760*80.6/1000</f>
        <v>182.85599999999999</v>
      </c>
      <c r="H26" s="13">
        <v>550</v>
      </c>
      <c r="I26" s="41">
        <f>ROUND(H26*G26,2)</f>
        <v>100570.8</v>
      </c>
      <c r="N26" s="140"/>
    </row>
    <row r="27" spans="1:14" s="8" customFormat="1" ht="10.15" customHeight="1" x14ac:dyDescent="0.2">
      <c r="A27" s="44"/>
      <c r="B27" s="42" t="s">
        <v>24</v>
      </c>
      <c r="C27" s="45" t="s">
        <v>0</v>
      </c>
      <c r="D27" s="68" t="s">
        <v>68</v>
      </c>
      <c r="E27" s="46" t="s">
        <v>37</v>
      </c>
      <c r="F27" s="47"/>
      <c r="G27" s="59" t="s">
        <v>0</v>
      </c>
      <c r="H27" s="48"/>
      <c r="I27" s="56"/>
    </row>
    <row r="28" spans="1:14" s="8" customFormat="1" ht="10.15" customHeight="1" x14ac:dyDescent="0.2">
      <c r="A28" s="44"/>
      <c r="B28" s="42" t="s">
        <v>24</v>
      </c>
      <c r="C28" s="45" t="s">
        <v>0</v>
      </c>
      <c r="D28" s="68" t="s">
        <v>68</v>
      </c>
      <c r="E28" s="152" t="s">
        <v>106</v>
      </c>
      <c r="F28" s="47"/>
      <c r="G28" s="59" t="s">
        <v>0</v>
      </c>
      <c r="H28" s="48"/>
      <c r="I28" s="56"/>
    </row>
    <row r="29" spans="1:14" s="8" customFormat="1" ht="22.9" customHeight="1" x14ac:dyDescent="0.2">
      <c r="A29" s="32"/>
      <c r="B29" s="33" t="s">
        <v>10</v>
      </c>
      <c r="C29" s="38" t="s">
        <v>25</v>
      </c>
      <c r="D29" s="66" t="s">
        <v>68</v>
      </c>
      <c r="E29" s="38" t="s">
        <v>30</v>
      </c>
      <c r="F29" s="35"/>
      <c r="G29" s="32"/>
      <c r="H29" s="36"/>
      <c r="I29" s="39">
        <f>I30+I32+I34</f>
        <v>564144.42000000004</v>
      </c>
    </row>
    <row r="30" spans="1:14" s="4" customFormat="1" ht="24" customHeight="1" x14ac:dyDescent="0.2">
      <c r="A30" s="40">
        <v>4</v>
      </c>
      <c r="B30" s="9" t="s">
        <v>21</v>
      </c>
      <c r="C30" s="10" t="s">
        <v>94</v>
      </c>
      <c r="D30" s="67" t="s">
        <v>68</v>
      </c>
      <c r="E30" s="11" t="s">
        <v>95</v>
      </c>
      <c r="F30" s="6" t="s">
        <v>99</v>
      </c>
      <c r="G30" s="58">
        <v>760</v>
      </c>
      <c r="H30" s="13">
        <v>408</v>
      </c>
      <c r="I30" s="41">
        <f>ROUND(H30*G30,2)</f>
        <v>310080</v>
      </c>
    </row>
    <row r="31" spans="1:14" s="14" customFormat="1" outlineLevel="1" x14ac:dyDescent="0.2">
      <c r="A31" s="49"/>
      <c r="B31" s="42" t="s">
        <v>24</v>
      </c>
      <c r="C31" s="50" t="s">
        <v>0</v>
      </c>
      <c r="D31" s="69" t="s">
        <v>41</v>
      </c>
      <c r="E31" s="51" t="s">
        <v>102</v>
      </c>
      <c r="F31" s="52"/>
      <c r="G31" s="60">
        <v>760</v>
      </c>
      <c r="H31" s="53"/>
      <c r="I31" s="55"/>
    </row>
    <row r="32" spans="1:14" s="4" customFormat="1" ht="36" customHeight="1" x14ac:dyDescent="0.2">
      <c r="A32" s="40">
        <v>5</v>
      </c>
      <c r="B32" s="9" t="s">
        <v>21</v>
      </c>
      <c r="C32" s="10" t="s">
        <v>26</v>
      </c>
      <c r="D32" s="67" t="s">
        <v>68</v>
      </c>
      <c r="E32" s="11" t="s">
        <v>96</v>
      </c>
      <c r="F32" s="6" t="s">
        <v>99</v>
      </c>
      <c r="G32" s="58">
        <f>G33</f>
        <v>767.6</v>
      </c>
      <c r="H32" s="13">
        <v>189</v>
      </c>
      <c r="I32" s="41">
        <f>ROUND(H32*G32,2)</f>
        <v>145076.4</v>
      </c>
    </row>
    <row r="33" spans="1:9" s="14" customFormat="1" outlineLevel="1" x14ac:dyDescent="0.2">
      <c r="A33" s="49"/>
      <c r="B33" s="42" t="s">
        <v>24</v>
      </c>
      <c r="C33" s="50" t="s">
        <v>0</v>
      </c>
      <c r="D33" s="69" t="s">
        <v>41</v>
      </c>
      <c r="E33" s="51" t="s">
        <v>103</v>
      </c>
      <c r="F33" s="52"/>
      <c r="G33" s="60">
        <f>760*1.01</f>
        <v>767.6</v>
      </c>
      <c r="H33" s="53"/>
      <c r="I33" s="55"/>
    </row>
    <row r="34" spans="1:9" s="4" customFormat="1" ht="36" customHeight="1" thickBot="1" x14ac:dyDescent="0.25">
      <c r="A34" s="40">
        <v>6</v>
      </c>
      <c r="B34" s="9" t="s">
        <v>21</v>
      </c>
      <c r="C34" s="10" t="s">
        <v>110</v>
      </c>
      <c r="D34" s="67"/>
      <c r="E34" s="11" t="s">
        <v>128</v>
      </c>
      <c r="F34" s="6" t="s">
        <v>129</v>
      </c>
      <c r="G34" s="58">
        <v>34</v>
      </c>
      <c r="H34" s="13">
        <v>3205.53</v>
      </c>
      <c r="I34" s="41">
        <f>+G34*H34</f>
        <v>108988.02</v>
      </c>
    </row>
    <row r="35" spans="1:9" ht="12.75" x14ac:dyDescent="0.2">
      <c r="A35" s="71"/>
      <c r="B35" s="72" t="s">
        <v>10</v>
      </c>
      <c r="C35" s="73">
        <v>6</v>
      </c>
      <c r="D35" s="74" t="s">
        <v>68</v>
      </c>
      <c r="E35" s="73" t="s">
        <v>109</v>
      </c>
      <c r="F35" s="75"/>
      <c r="G35" s="71"/>
      <c r="H35" s="76"/>
      <c r="I35" s="77">
        <f>SUBTOTAL(9,I36:I38)</f>
        <v>54020.979999999996</v>
      </c>
    </row>
    <row r="36" spans="1:9" ht="24" customHeight="1" x14ac:dyDescent="0.2">
      <c r="A36" s="40">
        <v>6</v>
      </c>
      <c r="B36" s="9" t="s">
        <v>21</v>
      </c>
      <c r="C36" s="10" t="s">
        <v>97</v>
      </c>
      <c r="D36" s="67" t="s">
        <v>68</v>
      </c>
      <c r="E36" s="11" t="s">
        <v>98</v>
      </c>
      <c r="F36" s="6" t="s">
        <v>28</v>
      </c>
      <c r="G36" s="58">
        <v>178.904</v>
      </c>
      <c r="H36" s="13">
        <v>135.6</v>
      </c>
      <c r="I36" s="41">
        <f>ROUND(H36*G36,2)</f>
        <v>24259.38</v>
      </c>
    </row>
    <row r="37" spans="1:9" x14ac:dyDescent="0.2">
      <c r="E37" s="1" t="s">
        <v>104</v>
      </c>
      <c r="G37" s="26"/>
      <c r="H37" s="24"/>
      <c r="I37" s="25"/>
    </row>
    <row r="38" spans="1:9" ht="24" x14ac:dyDescent="0.2">
      <c r="A38" s="40">
        <v>7</v>
      </c>
      <c r="B38" s="9" t="s">
        <v>21</v>
      </c>
      <c r="C38" s="10" t="s">
        <v>110</v>
      </c>
      <c r="D38" s="67" t="s">
        <v>68</v>
      </c>
      <c r="E38" s="11" t="s">
        <v>111</v>
      </c>
      <c r="F38" s="6" t="s">
        <v>100</v>
      </c>
      <c r="G38" s="58">
        <f>760*0.2*0.1</f>
        <v>15.200000000000001</v>
      </c>
      <c r="H38" s="13">
        <v>1958</v>
      </c>
      <c r="I38" s="41">
        <f>ROUND(H38*G38,2)</f>
        <v>29761.599999999999</v>
      </c>
    </row>
    <row r="39" spans="1:9" x14ac:dyDescent="0.2">
      <c r="E39" s="1" t="s">
        <v>112</v>
      </c>
      <c r="G39" s="26"/>
      <c r="H39" s="24"/>
      <c r="I39" s="25"/>
    </row>
    <row r="40" spans="1:9" ht="12" thickBot="1" x14ac:dyDescent="0.25">
      <c r="G40" s="153"/>
      <c r="H40" s="154"/>
      <c r="I40" s="155"/>
    </row>
    <row r="42" spans="1:9" ht="12.75" x14ac:dyDescent="0.2">
      <c r="B42" s="208" t="s">
        <v>163</v>
      </c>
      <c r="C42" s="209"/>
      <c r="D42" s="208" t="s">
        <v>168</v>
      </c>
      <c r="E42" s="205"/>
      <c r="F42" s="210" t="s">
        <v>164</v>
      </c>
      <c r="G42" s="208"/>
      <c r="H42" s="211" t="s">
        <v>165</v>
      </c>
    </row>
    <row r="43" spans="1:9" ht="12.75" x14ac:dyDescent="0.2">
      <c r="B43" s="208"/>
      <c r="C43" s="209"/>
      <c r="D43" s="208"/>
      <c r="E43" s="205"/>
      <c r="F43" s="208"/>
      <c r="G43" s="208"/>
      <c r="H43" s="212"/>
    </row>
    <row r="44" spans="1:9" ht="12.75" x14ac:dyDescent="0.2">
      <c r="B44" s="208" t="s">
        <v>166</v>
      </c>
      <c r="C44" s="209"/>
      <c r="D44" s="208" t="s">
        <v>166</v>
      </c>
      <c r="E44" s="205"/>
      <c r="F44" s="208" t="s">
        <v>166</v>
      </c>
      <c r="G44" s="208"/>
      <c r="H44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E874C-6A9C-49D7-9453-D1F1B377B21D}">
  <sheetPr>
    <pageSetUpPr fitToPage="1"/>
  </sheetPr>
  <dimension ref="A1:AT76"/>
  <sheetViews>
    <sheetView view="pageBreakPreview" zoomScaleNormal="110" zoomScaleSheetLayoutView="100" workbookViewId="0">
      <selection activeCell="K24" sqref="K24:AE24"/>
    </sheetView>
  </sheetViews>
  <sheetFormatPr defaultColWidth="9.1640625" defaultRowHeight="11.25" x14ac:dyDescent="0.2"/>
  <cols>
    <col min="1" max="1" width="1.6640625" style="1" customWidth="1"/>
    <col min="2" max="2" width="4.1640625" style="1" customWidth="1"/>
    <col min="3" max="32" width="2.6640625" style="1" customWidth="1"/>
    <col min="33" max="33" width="3.33203125" style="1" customWidth="1"/>
    <col min="34" max="34" width="31.6640625" style="1" customWidth="1"/>
    <col min="35" max="36" width="2.5" style="1" customWidth="1"/>
    <col min="37" max="37" width="8.33203125" style="1" customWidth="1"/>
    <col min="38" max="38" width="3.33203125" style="1" customWidth="1"/>
    <col min="39" max="39" width="13.33203125" style="1" customWidth="1"/>
    <col min="40" max="40" width="7.5" style="1" customWidth="1"/>
    <col min="41" max="41" width="4.1640625" style="1" customWidth="1"/>
    <col min="42" max="42" width="15.6640625" style="1" hidden="1" customWidth="1"/>
    <col min="43" max="44" width="19.6640625" style="3" hidden="1" customWidth="1"/>
    <col min="45" max="46" width="19.6640625" style="3" customWidth="1"/>
    <col min="47" max="16384" width="9.1640625" style="3"/>
  </cols>
  <sheetData>
    <row r="1" spans="1:46" s="4" customFormat="1" ht="6.95" customHeight="1" x14ac:dyDescent="0.2">
      <c r="A1" s="99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0"/>
      <c r="Z1" s="100"/>
      <c r="AA1" s="100"/>
      <c r="AB1" s="100"/>
      <c r="AC1" s="100"/>
      <c r="AD1" s="100"/>
      <c r="AE1" s="100"/>
      <c r="AF1" s="100"/>
      <c r="AG1" s="100"/>
      <c r="AH1" s="100"/>
      <c r="AI1" s="100"/>
      <c r="AJ1" s="100"/>
      <c r="AK1" s="100"/>
      <c r="AL1" s="100"/>
      <c r="AM1" s="100"/>
      <c r="AN1" s="100"/>
      <c r="AO1" s="100"/>
      <c r="AP1" s="101"/>
    </row>
    <row r="2" spans="1:46" s="4" customFormat="1" ht="24.95" customHeight="1" x14ac:dyDescent="0.2">
      <c r="A2" s="238" t="s">
        <v>66</v>
      </c>
      <c r="B2" s="239"/>
      <c r="C2" s="239"/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39"/>
      <c r="P2" s="239"/>
      <c r="Q2" s="239"/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39"/>
      <c r="AD2" s="239"/>
      <c r="AE2" s="239"/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40"/>
    </row>
    <row r="3" spans="1:46" s="103" customFormat="1" ht="12" customHeight="1" x14ac:dyDescent="0.2">
      <c r="A3" s="102"/>
      <c r="B3" s="151" t="s">
        <v>59</v>
      </c>
      <c r="C3" s="146"/>
      <c r="D3" s="146"/>
      <c r="E3" s="146"/>
      <c r="F3" s="146"/>
      <c r="G3" s="146"/>
      <c r="H3" s="146"/>
      <c r="I3" s="146"/>
      <c r="J3" s="146"/>
      <c r="K3" s="241">
        <v>4121</v>
      </c>
      <c r="L3" s="241"/>
      <c r="M3" s="241"/>
      <c r="N3" s="241"/>
      <c r="O3" s="241"/>
      <c r="P3" s="241"/>
      <c r="Q3" s="241"/>
      <c r="R3" s="241"/>
      <c r="S3" s="241"/>
      <c r="T3" s="241"/>
      <c r="U3" s="146"/>
      <c r="V3" s="146"/>
      <c r="W3" s="146"/>
      <c r="X3" s="146"/>
      <c r="Y3" s="146"/>
      <c r="Z3" s="146"/>
      <c r="AA3" s="146"/>
      <c r="AB3" s="146"/>
      <c r="AC3" s="146"/>
      <c r="AD3" s="146"/>
      <c r="AE3" s="146"/>
      <c r="AF3" s="146"/>
      <c r="AG3" s="146"/>
      <c r="AH3" s="146"/>
      <c r="AI3" s="146"/>
      <c r="AJ3" s="146"/>
      <c r="AK3" s="146"/>
      <c r="AL3" s="146"/>
      <c r="AM3" s="146"/>
      <c r="AN3" s="146"/>
      <c r="AO3" s="146"/>
      <c r="AP3" s="104"/>
    </row>
    <row r="4" spans="1:46" s="106" customFormat="1" ht="19.899999999999999" customHeight="1" x14ac:dyDescent="0.2">
      <c r="A4" s="105"/>
      <c r="B4" s="118" t="s">
        <v>1</v>
      </c>
      <c r="C4" s="144"/>
      <c r="D4" s="144"/>
      <c r="E4" s="144"/>
      <c r="F4" s="144"/>
      <c r="G4" s="144"/>
      <c r="H4" s="144"/>
      <c r="I4" s="144"/>
      <c r="J4" s="144"/>
      <c r="K4" s="242" t="s">
        <v>156</v>
      </c>
      <c r="L4" s="243"/>
      <c r="M4" s="243"/>
      <c r="N4" s="243"/>
      <c r="O4" s="243"/>
      <c r="P4" s="243"/>
      <c r="Q4" s="243"/>
      <c r="R4" s="243"/>
      <c r="S4" s="243"/>
      <c r="T4" s="243"/>
      <c r="U4" s="243"/>
      <c r="V4" s="243"/>
      <c r="W4" s="243"/>
      <c r="X4" s="243"/>
      <c r="Y4" s="243"/>
      <c r="Z4" s="243"/>
      <c r="AA4" s="243"/>
      <c r="AB4" s="243"/>
      <c r="AC4" s="243"/>
      <c r="AD4" s="243"/>
      <c r="AE4" s="243"/>
      <c r="AF4" s="243"/>
      <c r="AG4" s="243"/>
      <c r="AH4" s="243"/>
      <c r="AI4" s="243"/>
      <c r="AJ4" s="243"/>
      <c r="AK4" s="243"/>
      <c r="AL4" s="243"/>
      <c r="AM4" s="243"/>
      <c r="AN4" s="243"/>
      <c r="AO4" s="144"/>
      <c r="AP4" s="107"/>
    </row>
    <row r="5" spans="1:46" s="4" customFormat="1" ht="12" customHeight="1" x14ac:dyDescent="0.2">
      <c r="A5" s="20"/>
      <c r="B5" s="151" t="s">
        <v>2</v>
      </c>
      <c r="C5" s="150"/>
      <c r="D5" s="150"/>
      <c r="E5" s="150"/>
      <c r="F5" s="150"/>
      <c r="G5" s="150"/>
      <c r="H5" s="150"/>
      <c r="I5" s="150"/>
      <c r="J5" s="150"/>
      <c r="K5" s="119" t="s">
        <v>79</v>
      </c>
      <c r="L5" s="150"/>
      <c r="M5" s="150"/>
      <c r="N5" s="150"/>
      <c r="O5" s="150"/>
      <c r="P5" s="150"/>
      <c r="Q5" s="150"/>
      <c r="R5" s="150"/>
      <c r="S5" s="150"/>
      <c r="T5" s="150"/>
      <c r="U5" s="150"/>
      <c r="V5" s="150"/>
      <c r="W5" s="150"/>
      <c r="X5" s="150"/>
      <c r="Y5" s="150"/>
      <c r="Z5" s="150"/>
      <c r="AA5" s="150"/>
      <c r="AB5" s="150"/>
      <c r="AC5" s="150"/>
      <c r="AD5" s="150"/>
      <c r="AE5" s="150"/>
      <c r="AF5" s="150"/>
      <c r="AG5" s="150"/>
      <c r="AH5" s="151" t="s">
        <v>3</v>
      </c>
      <c r="AI5" s="150"/>
      <c r="AJ5" s="150"/>
      <c r="AK5" s="150"/>
      <c r="AL5" s="244">
        <v>44791</v>
      </c>
      <c r="AM5" s="244"/>
      <c r="AN5" s="150"/>
      <c r="AO5" s="150"/>
      <c r="AP5" s="22"/>
    </row>
    <row r="6" spans="1:46" s="4" customFormat="1" ht="6.95" customHeight="1" x14ac:dyDescent="0.2">
      <c r="A6" s="20"/>
      <c r="B6" s="150"/>
      <c r="C6" s="150"/>
      <c r="D6" s="150"/>
      <c r="E6" s="150"/>
      <c r="F6" s="150"/>
      <c r="G6" s="150"/>
      <c r="H6" s="150"/>
      <c r="I6" s="150"/>
      <c r="J6" s="150"/>
      <c r="K6" s="150"/>
      <c r="L6" s="150"/>
      <c r="M6" s="150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0"/>
      <c r="AC6" s="150"/>
      <c r="AD6" s="150"/>
      <c r="AE6" s="150"/>
      <c r="AF6" s="150"/>
      <c r="AG6" s="150"/>
      <c r="AH6" s="150"/>
      <c r="AI6" s="150"/>
      <c r="AJ6" s="150"/>
      <c r="AK6" s="150"/>
      <c r="AL6" s="150"/>
      <c r="AM6" s="150"/>
      <c r="AN6" s="150"/>
      <c r="AO6" s="150"/>
      <c r="AP6" s="22"/>
    </row>
    <row r="7" spans="1:46" s="4" customFormat="1" ht="15.2" customHeight="1" x14ac:dyDescent="0.2">
      <c r="A7" s="20"/>
      <c r="B7" s="151" t="s">
        <v>4</v>
      </c>
      <c r="C7" s="150"/>
      <c r="D7" s="150"/>
      <c r="E7" s="150"/>
      <c r="F7" s="150"/>
      <c r="G7" s="150"/>
      <c r="H7" s="150"/>
      <c r="I7" s="150"/>
      <c r="J7" s="150"/>
      <c r="K7" s="146" t="s">
        <v>72</v>
      </c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  <c r="Y7" s="150"/>
      <c r="Z7" s="150"/>
      <c r="AA7" s="150"/>
      <c r="AB7" s="150"/>
      <c r="AC7" s="150"/>
      <c r="AD7" s="150"/>
      <c r="AE7" s="150"/>
      <c r="AF7" s="150"/>
      <c r="AG7" s="150"/>
      <c r="AH7" s="151"/>
      <c r="AI7" s="150"/>
      <c r="AJ7" s="150"/>
      <c r="AK7" s="150"/>
      <c r="AL7" s="245"/>
      <c r="AM7" s="246"/>
      <c r="AN7" s="246"/>
      <c r="AO7" s="246"/>
      <c r="AP7" s="22"/>
    </row>
    <row r="8" spans="1:46" s="4" customFormat="1" ht="15.2" customHeight="1" x14ac:dyDescent="0.2">
      <c r="A8" s="20"/>
      <c r="B8" s="151" t="s">
        <v>5</v>
      </c>
      <c r="C8" s="150"/>
      <c r="D8" s="150"/>
      <c r="E8" s="150"/>
      <c r="F8" s="150"/>
      <c r="G8" s="150"/>
      <c r="H8" s="150"/>
      <c r="I8" s="150"/>
      <c r="J8" s="150"/>
      <c r="K8" s="146" t="s">
        <v>119</v>
      </c>
      <c r="L8" s="150"/>
      <c r="M8" s="150"/>
      <c r="N8" s="150"/>
      <c r="O8" s="150"/>
      <c r="P8" s="150"/>
      <c r="Q8" s="150"/>
      <c r="R8" s="150"/>
      <c r="S8" s="150"/>
      <c r="T8" s="150"/>
      <c r="U8" s="150"/>
      <c r="V8" s="150"/>
      <c r="W8" s="150"/>
      <c r="X8" s="150"/>
      <c r="Y8" s="150"/>
      <c r="Z8" s="150"/>
      <c r="AA8" s="150"/>
      <c r="AB8" s="150"/>
      <c r="AC8" s="150"/>
      <c r="AD8" s="150"/>
      <c r="AE8" s="150"/>
      <c r="AF8" s="150"/>
      <c r="AG8" s="150"/>
      <c r="AH8" s="151" t="s">
        <v>6</v>
      </c>
      <c r="AI8" s="150"/>
      <c r="AJ8" s="150"/>
      <c r="AK8" s="150"/>
      <c r="AL8" s="245" t="s">
        <v>120</v>
      </c>
      <c r="AM8" s="246"/>
      <c r="AN8" s="246"/>
      <c r="AO8" s="246"/>
      <c r="AP8" s="22"/>
    </row>
    <row r="9" spans="1:46" s="4" customFormat="1" ht="15.2" customHeight="1" thickBot="1" x14ac:dyDescent="0.25">
      <c r="A9" s="20"/>
      <c r="B9" s="151"/>
      <c r="C9" s="150"/>
      <c r="D9" s="150"/>
      <c r="E9" s="150"/>
      <c r="F9" s="150"/>
      <c r="G9" s="150"/>
      <c r="H9" s="150"/>
      <c r="I9" s="150"/>
      <c r="J9" s="150"/>
      <c r="K9" s="146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1"/>
      <c r="AI9" s="150"/>
      <c r="AJ9" s="150"/>
      <c r="AK9" s="150"/>
      <c r="AL9" s="145"/>
      <c r="AM9" s="146"/>
      <c r="AN9" s="146"/>
      <c r="AO9" s="146"/>
      <c r="AP9" s="22"/>
    </row>
    <row r="10" spans="1:46" s="4" customFormat="1" ht="29.45" customHeight="1" thickBot="1" x14ac:dyDescent="0.25">
      <c r="A10" s="20"/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  <c r="W10" s="150"/>
      <c r="X10" s="150"/>
      <c r="Y10" s="150"/>
      <c r="Z10" s="150"/>
      <c r="AA10" s="150"/>
      <c r="AB10" s="150"/>
      <c r="AC10" s="150"/>
      <c r="AD10" s="150"/>
      <c r="AE10" s="150"/>
      <c r="AF10" s="247" t="str">
        <f>A2</f>
        <v>Rozpočet stavby (výkaz výměr)</v>
      </c>
      <c r="AG10" s="248"/>
      <c r="AH10" s="248"/>
      <c r="AI10" s="248"/>
      <c r="AJ10" s="248"/>
      <c r="AK10" s="248"/>
      <c r="AL10" s="248"/>
      <c r="AM10" s="248"/>
      <c r="AN10" s="248"/>
      <c r="AO10" s="249"/>
      <c r="AP10" s="22"/>
    </row>
    <row r="11" spans="1:46" s="4" customFormat="1" ht="29.25" customHeight="1" x14ac:dyDescent="0.2">
      <c r="A11" s="20"/>
      <c r="B11" s="250" t="s">
        <v>7</v>
      </c>
      <c r="C11" s="251"/>
      <c r="D11" s="251"/>
      <c r="E11" s="251"/>
      <c r="F11" s="251"/>
      <c r="G11" s="98"/>
      <c r="H11" s="252" t="s">
        <v>8</v>
      </c>
      <c r="I11" s="251"/>
      <c r="J11" s="251"/>
      <c r="K11" s="251"/>
      <c r="L11" s="251"/>
      <c r="M11" s="251"/>
      <c r="N11" s="251"/>
      <c r="O11" s="251"/>
      <c r="P11" s="251"/>
      <c r="Q11" s="251"/>
      <c r="R11" s="251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  <c r="AF11" s="253" t="s">
        <v>60</v>
      </c>
      <c r="AG11" s="254"/>
      <c r="AH11" s="254"/>
      <c r="AI11" s="254"/>
      <c r="AJ11" s="254"/>
      <c r="AK11" s="254"/>
      <c r="AL11" s="254"/>
      <c r="AM11" s="255" t="s">
        <v>61</v>
      </c>
      <c r="AN11" s="254"/>
      <c r="AO11" s="256"/>
      <c r="AP11" s="120" t="s">
        <v>9</v>
      </c>
      <c r="AQ11" s="180" t="s">
        <v>147</v>
      </c>
      <c r="AR11" s="180" t="s">
        <v>148</v>
      </c>
    </row>
    <row r="12" spans="1:46" s="4" customFormat="1" ht="10.9" customHeight="1" x14ac:dyDescent="0.2">
      <c r="A12" s="20"/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  <c r="P12" s="150"/>
      <c r="Q12" s="150"/>
      <c r="R12" s="150"/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08"/>
      <c r="AG12" s="117"/>
      <c r="AH12" s="117"/>
      <c r="AI12" s="117"/>
      <c r="AJ12" s="117"/>
      <c r="AK12" s="117"/>
      <c r="AL12" s="117"/>
      <c r="AM12" s="117"/>
      <c r="AN12" s="117"/>
      <c r="AO12" s="109"/>
      <c r="AP12" s="22"/>
    </row>
    <row r="13" spans="1:46" s="111" customFormat="1" ht="32.450000000000003" customHeight="1" x14ac:dyDescent="0.2">
      <c r="A13" s="110"/>
      <c r="B13" s="121" t="s">
        <v>62</v>
      </c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2"/>
      <c r="X13" s="122"/>
      <c r="Y13" s="122"/>
      <c r="Z13" s="122"/>
      <c r="AA13" s="122"/>
      <c r="AB13" s="122"/>
      <c r="AC13" s="122"/>
      <c r="AD13" s="122"/>
      <c r="AE13" s="122"/>
      <c r="AF13" s="234">
        <f>SUM(AF15:AL26)</f>
        <v>11203124.160000002</v>
      </c>
      <c r="AG13" s="235"/>
      <c r="AH13" s="235"/>
      <c r="AI13" s="235"/>
      <c r="AJ13" s="235"/>
      <c r="AK13" s="235"/>
      <c r="AL13" s="235"/>
      <c r="AM13" s="236">
        <f>SUM(AM15:AO26)</f>
        <v>13555780.2336</v>
      </c>
      <c r="AN13" s="236"/>
      <c r="AO13" s="237"/>
      <c r="AP13" s="123" t="s">
        <v>0</v>
      </c>
      <c r="AT13" s="204"/>
    </row>
    <row r="14" spans="1:46" s="113" customFormat="1" ht="16.5" customHeight="1" x14ac:dyDescent="0.2">
      <c r="A14" s="112"/>
      <c r="B14" s="124"/>
      <c r="C14" s="228">
        <v>1</v>
      </c>
      <c r="D14" s="228"/>
      <c r="E14" s="228"/>
      <c r="F14" s="228"/>
      <c r="G14" s="228"/>
      <c r="H14" s="125"/>
      <c r="I14" s="228" t="s">
        <v>67</v>
      </c>
      <c r="J14" s="228"/>
      <c r="K14" s="228"/>
      <c r="L14" s="228"/>
      <c r="M14" s="228"/>
      <c r="N14" s="228"/>
      <c r="O14" s="228"/>
      <c r="P14" s="228"/>
      <c r="Q14" s="228"/>
      <c r="R14" s="228"/>
      <c r="S14" s="228"/>
      <c r="T14" s="228"/>
      <c r="U14" s="228"/>
      <c r="V14" s="228"/>
      <c r="W14" s="228"/>
      <c r="X14" s="228"/>
      <c r="Y14" s="228"/>
      <c r="Z14" s="228"/>
      <c r="AA14" s="228"/>
      <c r="AB14" s="228"/>
      <c r="AC14" s="228"/>
      <c r="AD14" s="228"/>
      <c r="AE14" s="228"/>
      <c r="AF14" s="229"/>
      <c r="AG14" s="230"/>
      <c r="AH14" s="230"/>
      <c r="AI14" s="230"/>
      <c r="AJ14" s="230"/>
      <c r="AK14" s="230"/>
      <c r="AL14" s="230"/>
      <c r="AM14" s="231"/>
      <c r="AN14" s="232"/>
      <c r="AO14" s="233"/>
      <c r="AP14" s="126" t="s">
        <v>63</v>
      </c>
    </row>
    <row r="15" spans="1:46" s="103" customFormat="1" ht="25.5" customHeight="1" x14ac:dyDescent="0.2">
      <c r="A15" s="102"/>
      <c r="B15" s="127"/>
      <c r="C15" s="127"/>
      <c r="D15" s="127"/>
      <c r="E15" s="213"/>
      <c r="F15" s="213"/>
      <c r="G15" s="213"/>
      <c r="H15" s="213"/>
      <c r="I15" s="213"/>
      <c r="J15" s="127"/>
      <c r="K15" s="213" t="s">
        <v>80</v>
      </c>
      <c r="L15" s="213"/>
      <c r="M15" s="213"/>
      <c r="N15" s="213"/>
      <c r="O15" s="213"/>
      <c r="P15" s="213"/>
      <c r="Q15" s="213"/>
      <c r="R15" s="213"/>
      <c r="S15" s="213"/>
      <c r="T15" s="213"/>
      <c r="U15" s="213"/>
      <c r="V15" s="213"/>
      <c r="W15" s="213"/>
      <c r="X15" s="213"/>
      <c r="Y15" s="213"/>
      <c r="Z15" s="213"/>
      <c r="AA15" s="213"/>
      <c r="AB15" s="213"/>
      <c r="AC15" s="213"/>
      <c r="AD15" s="213"/>
      <c r="AE15" s="213"/>
      <c r="AF15" s="215">
        <f>úsek1!I19</f>
        <v>470739.69999999995</v>
      </c>
      <c r="AG15" s="216"/>
      <c r="AH15" s="216"/>
      <c r="AI15" s="216"/>
      <c r="AJ15" s="216"/>
      <c r="AK15" s="216"/>
      <c r="AL15" s="216"/>
      <c r="AM15" s="216">
        <f t="shared" ref="AM15:AM24" si="0">1.21*AF15</f>
        <v>569595.03699999989</v>
      </c>
      <c r="AN15" s="217"/>
      <c r="AO15" s="218"/>
      <c r="AP15" s="128"/>
      <c r="AQ15" s="114">
        <f>+úsek1!G24</f>
        <v>205.78</v>
      </c>
      <c r="AR15" s="114">
        <f>+úsek1!G28</f>
        <v>216.06900000000002</v>
      </c>
      <c r="AS15" s="114"/>
    </row>
    <row r="16" spans="1:46" s="103" customFormat="1" ht="25.5" customHeight="1" x14ac:dyDescent="0.2">
      <c r="A16" s="102"/>
      <c r="B16" s="127"/>
      <c r="C16" s="127"/>
      <c r="D16" s="127"/>
      <c r="E16" s="213"/>
      <c r="F16" s="213"/>
      <c r="G16" s="213"/>
      <c r="H16" s="213"/>
      <c r="I16" s="213"/>
      <c r="J16" s="127"/>
      <c r="K16" s="213" t="s">
        <v>81</v>
      </c>
      <c r="L16" s="213"/>
      <c r="M16" s="213"/>
      <c r="N16" s="213"/>
      <c r="O16" s="213"/>
      <c r="P16" s="213"/>
      <c r="Q16" s="213"/>
      <c r="R16" s="213"/>
      <c r="S16" s="213"/>
      <c r="T16" s="213"/>
      <c r="U16" s="213"/>
      <c r="V16" s="213"/>
      <c r="W16" s="213"/>
      <c r="X16" s="213"/>
      <c r="Y16" s="213"/>
      <c r="Z16" s="213"/>
      <c r="AA16" s="213"/>
      <c r="AB16" s="213"/>
      <c r="AC16" s="213"/>
      <c r="AD16" s="213"/>
      <c r="AE16" s="213"/>
      <c r="AF16" s="215">
        <f>úsek2!I19</f>
        <v>1932193.99</v>
      </c>
      <c r="AG16" s="216"/>
      <c r="AH16" s="216"/>
      <c r="AI16" s="216"/>
      <c r="AJ16" s="216"/>
      <c r="AK16" s="216"/>
      <c r="AL16" s="216"/>
      <c r="AM16" s="216">
        <f t="shared" si="0"/>
        <v>2337954.7278999998</v>
      </c>
      <c r="AN16" s="217"/>
      <c r="AO16" s="218"/>
      <c r="AP16" s="128"/>
      <c r="AQ16" s="114">
        <f>+úsek2!G24</f>
        <v>1213.1000000000001</v>
      </c>
      <c r="AR16" s="114">
        <f>+úsek2!G28</f>
        <v>1273.7550000000001</v>
      </c>
      <c r="AS16" s="114"/>
    </row>
    <row r="17" spans="1:45" s="103" customFormat="1" ht="25.5" customHeight="1" x14ac:dyDescent="0.2">
      <c r="A17" s="102"/>
      <c r="B17" s="127"/>
      <c r="C17" s="127"/>
      <c r="D17" s="127"/>
      <c r="E17" s="172"/>
      <c r="F17" s="172"/>
      <c r="G17" s="172"/>
      <c r="H17" s="172"/>
      <c r="I17" s="172"/>
      <c r="J17" s="127"/>
      <c r="K17" s="213" t="s">
        <v>124</v>
      </c>
      <c r="L17" s="213"/>
      <c r="M17" s="213"/>
      <c r="N17" s="213"/>
      <c r="O17" s="213"/>
      <c r="P17" s="213"/>
      <c r="Q17" s="213"/>
      <c r="R17" s="213"/>
      <c r="S17" s="213"/>
      <c r="T17" s="213"/>
      <c r="U17" s="213"/>
      <c r="V17" s="213"/>
      <c r="W17" s="213"/>
      <c r="X17" s="213"/>
      <c r="Y17" s="213"/>
      <c r="Z17" s="213"/>
      <c r="AA17" s="213"/>
      <c r="AB17" s="213"/>
      <c r="AC17" s="213"/>
      <c r="AD17" s="213"/>
      <c r="AE17" s="213"/>
      <c r="AF17" s="215">
        <f>+'úsek3 - 21'!I19</f>
        <v>713118.04</v>
      </c>
      <c r="AG17" s="216"/>
      <c r="AH17" s="216"/>
      <c r="AI17" s="216"/>
      <c r="AJ17" s="216"/>
      <c r="AK17" s="216"/>
      <c r="AL17" s="216"/>
      <c r="AM17" s="216">
        <f t="shared" ref="AM17" si="1">1.21*AF17</f>
        <v>862872.8284</v>
      </c>
      <c r="AN17" s="217"/>
      <c r="AO17" s="218"/>
      <c r="AP17" s="128"/>
      <c r="AQ17" s="114">
        <f>+'úsek3 - 21'!G30</f>
        <v>487.2</v>
      </c>
      <c r="AR17" s="114">
        <f>+'úsek3 - 21'!G33</f>
        <v>555.66</v>
      </c>
    </row>
    <row r="18" spans="1:45" s="103" customFormat="1" ht="25.5" customHeight="1" x14ac:dyDescent="0.2">
      <c r="A18" s="102"/>
      <c r="B18" s="127"/>
      <c r="C18" s="127"/>
      <c r="D18" s="127"/>
      <c r="E18" s="213"/>
      <c r="F18" s="213"/>
      <c r="G18" s="213"/>
      <c r="H18" s="213"/>
      <c r="I18" s="213"/>
      <c r="J18" s="127"/>
      <c r="K18" s="213" t="s">
        <v>138</v>
      </c>
      <c r="L18" s="213"/>
      <c r="M18" s="213"/>
      <c r="N18" s="213"/>
      <c r="O18" s="213"/>
      <c r="P18" s="213"/>
      <c r="Q18" s="213"/>
      <c r="R18" s="213"/>
      <c r="S18" s="213"/>
      <c r="T18" s="213"/>
      <c r="U18" s="213"/>
      <c r="V18" s="213"/>
      <c r="W18" s="213"/>
      <c r="X18" s="213"/>
      <c r="Y18" s="213"/>
      <c r="Z18" s="213"/>
      <c r="AA18" s="213"/>
      <c r="AB18" s="213"/>
      <c r="AC18" s="213"/>
      <c r="AD18" s="213"/>
      <c r="AE18" s="213"/>
      <c r="AF18" s="215">
        <f>'úsek3 - 22'!I19</f>
        <v>2522537.92</v>
      </c>
      <c r="AG18" s="216"/>
      <c r="AH18" s="216"/>
      <c r="AI18" s="216"/>
      <c r="AJ18" s="216"/>
      <c r="AK18" s="216"/>
      <c r="AL18" s="216"/>
      <c r="AM18" s="216">
        <f t="shared" si="0"/>
        <v>3052270.8832</v>
      </c>
      <c r="AN18" s="217"/>
      <c r="AO18" s="218"/>
      <c r="AP18" s="128"/>
      <c r="AQ18" s="114">
        <f>+'úsek3 - 22'!G30</f>
        <v>1407.14</v>
      </c>
      <c r="AR18" s="114">
        <f>+'úsek3 - 22'!G34</f>
        <v>1477.4970000000001</v>
      </c>
      <c r="AS18" s="114"/>
    </row>
    <row r="19" spans="1:45" s="103" customFormat="1" ht="25.5" customHeight="1" x14ac:dyDescent="0.2">
      <c r="A19" s="102"/>
      <c r="B19" s="127"/>
      <c r="C19" s="127"/>
      <c r="D19" s="127"/>
      <c r="E19" s="148"/>
      <c r="F19" s="148"/>
      <c r="G19" s="148"/>
      <c r="H19" s="148"/>
      <c r="I19" s="148"/>
      <c r="J19" s="127"/>
      <c r="K19" s="213" t="s">
        <v>82</v>
      </c>
      <c r="L19" s="213"/>
      <c r="M19" s="213"/>
      <c r="N19" s="213"/>
      <c r="O19" s="213"/>
      <c r="P19" s="213"/>
      <c r="Q19" s="213"/>
      <c r="R19" s="213"/>
      <c r="S19" s="213"/>
      <c r="T19" s="213"/>
      <c r="U19" s="213"/>
      <c r="V19" s="213"/>
      <c r="W19" s="213"/>
      <c r="X19" s="213"/>
      <c r="Y19" s="213"/>
      <c r="Z19" s="213"/>
      <c r="AA19" s="213"/>
      <c r="AB19" s="213"/>
      <c r="AC19" s="213"/>
      <c r="AD19" s="213"/>
      <c r="AE19" s="213"/>
      <c r="AF19" s="215">
        <f>úsek4!I19</f>
        <v>317672.57999999996</v>
      </c>
      <c r="AG19" s="216"/>
      <c r="AH19" s="216"/>
      <c r="AI19" s="216"/>
      <c r="AJ19" s="216"/>
      <c r="AK19" s="216"/>
      <c r="AL19" s="216"/>
      <c r="AM19" s="216">
        <f t="shared" ref="AM19:AM20" si="2">1.21*AF19</f>
        <v>384383.82179999992</v>
      </c>
      <c r="AN19" s="217"/>
      <c r="AO19" s="218"/>
      <c r="AP19" s="128"/>
      <c r="AQ19" s="114">
        <f>+úsek4!G24</f>
        <v>198.63</v>
      </c>
      <c r="AR19" s="114">
        <f>+úsek4!G28</f>
        <v>208.5615</v>
      </c>
      <c r="AS19" s="114"/>
    </row>
    <row r="20" spans="1:45" s="103" customFormat="1" ht="25.5" customHeight="1" x14ac:dyDescent="0.2">
      <c r="A20" s="102"/>
      <c r="B20" s="127"/>
      <c r="C20" s="127"/>
      <c r="D20" s="127"/>
      <c r="E20" s="148"/>
      <c r="F20" s="148"/>
      <c r="G20" s="148"/>
      <c r="H20" s="148"/>
      <c r="I20" s="148"/>
      <c r="J20" s="127"/>
      <c r="K20" s="213" t="s">
        <v>113</v>
      </c>
      <c r="L20" s="213"/>
      <c r="M20" s="213"/>
      <c r="N20" s="213"/>
      <c r="O20" s="213"/>
      <c r="P20" s="213"/>
      <c r="Q20" s="213"/>
      <c r="R20" s="213"/>
      <c r="S20" s="213"/>
      <c r="T20" s="213"/>
      <c r="U20" s="213"/>
      <c r="V20" s="213"/>
      <c r="W20" s="213"/>
      <c r="X20" s="213"/>
      <c r="Y20" s="213"/>
      <c r="Z20" s="213"/>
      <c r="AA20" s="213"/>
      <c r="AB20" s="213"/>
      <c r="AC20" s="213"/>
      <c r="AD20" s="213"/>
      <c r="AE20" s="213"/>
      <c r="AF20" s="215">
        <f>úsek5!I19</f>
        <v>1601608.34</v>
      </c>
      <c r="AG20" s="216"/>
      <c r="AH20" s="216"/>
      <c r="AI20" s="216"/>
      <c r="AJ20" s="216"/>
      <c r="AK20" s="216"/>
      <c r="AL20" s="216"/>
      <c r="AM20" s="216">
        <f t="shared" si="2"/>
        <v>1937946.0914</v>
      </c>
      <c r="AN20" s="217"/>
      <c r="AO20" s="218"/>
      <c r="AP20" s="128"/>
      <c r="AQ20" s="114">
        <f>+úsek5!G24</f>
        <v>1177.5</v>
      </c>
      <c r="AR20" s="114">
        <f>+úsek5!G27</f>
        <v>1236.375</v>
      </c>
    </row>
    <row r="21" spans="1:45" s="103" customFormat="1" ht="25.5" customHeight="1" x14ac:dyDescent="0.2">
      <c r="A21" s="102"/>
      <c r="B21" s="127"/>
      <c r="C21" s="127"/>
      <c r="D21" s="127"/>
      <c r="E21" s="172"/>
      <c r="F21" s="172"/>
      <c r="G21" s="172"/>
      <c r="H21" s="172"/>
      <c r="I21" s="172"/>
      <c r="J21" s="127"/>
      <c r="K21" s="213" t="s">
        <v>134</v>
      </c>
      <c r="L21" s="213"/>
      <c r="M21" s="213"/>
      <c r="N21" s="213"/>
      <c r="O21" s="213"/>
      <c r="P21" s="213"/>
      <c r="Q21" s="213"/>
      <c r="R21" s="213"/>
      <c r="S21" s="213"/>
      <c r="T21" s="213"/>
      <c r="U21" s="213"/>
      <c r="V21" s="213"/>
      <c r="W21" s="213"/>
      <c r="X21" s="213"/>
      <c r="Y21" s="213"/>
      <c r="Z21" s="213"/>
      <c r="AA21" s="213"/>
      <c r="AB21" s="213"/>
      <c r="AC21" s="213"/>
      <c r="AD21" s="213"/>
      <c r="AE21" s="213"/>
      <c r="AF21" s="215">
        <f>+'úsek5 ACO'!I19</f>
        <v>189730.32</v>
      </c>
      <c r="AG21" s="216"/>
      <c r="AH21" s="216"/>
      <c r="AI21" s="216"/>
      <c r="AJ21" s="216"/>
      <c r="AK21" s="216"/>
      <c r="AL21" s="216"/>
      <c r="AM21" s="216">
        <f t="shared" ref="AM21" si="3">1.21*AF21</f>
        <v>229573.68720000001</v>
      </c>
      <c r="AN21" s="217"/>
      <c r="AO21" s="218"/>
      <c r="AP21" s="128"/>
      <c r="AQ21" s="114">
        <f>+'úsek5 ACO'!G28</f>
        <v>365.5</v>
      </c>
      <c r="AR21" s="114"/>
    </row>
    <row r="22" spans="1:45" s="103" customFormat="1" ht="25.5" customHeight="1" x14ac:dyDescent="0.2">
      <c r="A22" s="102"/>
      <c r="B22" s="127"/>
      <c r="C22" s="127"/>
      <c r="D22" s="127"/>
      <c r="E22" s="213"/>
      <c r="F22" s="213"/>
      <c r="G22" s="213"/>
      <c r="H22" s="213"/>
      <c r="I22" s="213"/>
      <c r="J22" s="127"/>
      <c r="K22" s="213" t="s">
        <v>83</v>
      </c>
      <c r="L22" s="213"/>
      <c r="M22" s="213"/>
      <c r="N22" s="213"/>
      <c r="O22" s="213"/>
      <c r="P22" s="213"/>
      <c r="Q22" s="213"/>
      <c r="R22" s="213"/>
      <c r="S22" s="213"/>
      <c r="T22" s="213"/>
      <c r="U22" s="213"/>
      <c r="V22" s="213"/>
      <c r="W22" s="213"/>
      <c r="X22" s="213"/>
      <c r="Y22" s="213"/>
      <c r="Z22" s="213"/>
      <c r="AA22" s="213"/>
      <c r="AB22" s="213"/>
      <c r="AC22" s="213"/>
      <c r="AD22" s="213"/>
      <c r="AE22" s="213"/>
      <c r="AF22" s="215">
        <f>úsek6!I19</f>
        <v>418236.38</v>
      </c>
      <c r="AG22" s="216"/>
      <c r="AH22" s="216"/>
      <c r="AI22" s="216"/>
      <c r="AJ22" s="216"/>
      <c r="AK22" s="216"/>
      <c r="AL22" s="216"/>
      <c r="AM22" s="216">
        <f t="shared" si="0"/>
        <v>506066.01980000001</v>
      </c>
      <c r="AN22" s="217"/>
      <c r="AO22" s="218"/>
      <c r="AP22" s="128"/>
      <c r="AQ22" s="114">
        <f>+úsek6!G24</f>
        <v>149.58999999999997</v>
      </c>
      <c r="AR22" s="114">
        <f>+úsek6!G28</f>
        <v>341</v>
      </c>
      <c r="AS22" s="114"/>
    </row>
    <row r="23" spans="1:45" s="103" customFormat="1" ht="25.5" customHeight="1" x14ac:dyDescent="0.2">
      <c r="A23" s="102"/>
      <c r="B23" s="127"/>
      <c r="C23" s="127"/>
      <c r="D23" s="127"/>
      <c r="E23" s="213"/>
      <c r="F23" s="213"/>
      <c r="G23" s="213"/>
      <c r="H23" s="213"/>
      <c r="I23" s="213"/>
      <c r="J23" s="127"/>
      <c r="K23" s="213" t="s">
        <v>84</v>
      </c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213"/>
      <c r="W23" s="213"/>
      <c r="X23" s="213"/>
      <c r="Y23" s="213"/>
      <c r="Z23" s="213"/>
      <c r="AA23" s="213"/>
      <c r="AB23" s="213"/>
      <c r="AC23" s="213"/>
      <c r="AD23" s="213"/>
      <c r="AE23" s="213"/>
      <c r="AF23" s="215">
        <f>úsek7!I19</f>
        <v>686701.34000000008</v>
      </c>
      <c r="AG23" s="216"/>
      <c r="AH23" s="216"/>
      <c r="AI23" s="216"/>
      <c r="AJ23" s="216"/>
      <c r="AK23" s="216"/>
      <c r="AL23" s="216"/>
      <c r="AM23" s="216">
        <f t="shared" si="0"/>
        <v>830908.62140000006</v>
      </c>
      <c r="AN23" s="217"/>
      <c r="AO23" s="218"/>
      <c r="AP23" s="128"/>
      <c r="AQ23" s="114">
        <f>+úsek7!G24</f>
        <v>422.15</v>
      </c>
      <c r="AR23" s="114">
        <f>+úsek7!G28</f>
        <v>422.15</v>
      </c>
      <c r="AS23" s="114"/>
    </row>
    <row r="24" spans="1:45" s="103" customFormat="1" ht="25.5" customHeight="1" x14ac:dyDescent="0.2">
      <c r="A24" s="102"/>
      <c r="B24" s="127"/>
      <c r="C24" s="127"/>
      <c r="D24" s="127"/>
      <c r="E24" s="213"/>
      <c r="F24" s="213"/>
      <c r="G24" s="213"/>
      <c r="H24" s="213"/>
      <c r="I24" s="213"/>
      <c r="J24" s="127"/>
      <c r="K24" s="213" t="s">
        <v>118</v>
      </c>
      <c r="L24" s="213"/>
      <c r="M24" s="213"/>
      <c r="N24" s="213"/>
      <c r="O24" s="213"/>
      <c r="P24" s="213"/>
      <c r="Q24" s="213"/>
      <c r="R24" s="213"/>
      <c r="S24" s="213"/>
      <c r="T24" s="213"/>
      <c r="U24" s="213"/>
      <c r="V24" s="213"/>
      <c r="W24" s="213"/>
      <c r="X24" s="213"/>
      <c r="Y24" s="213"/>
      <c r="Z24" s="213"/>
      <c r="AA24" s="213"/>
      <c r="AB24" s="213"/>
      <c r="AC24" s="213"/>
      <c r="AD24" s="213"/>
      <c r="AE24" s="213"/>
      <c r="AF24" s="215">
        <f>úsek8!I19</f>
        <v>0</v>
      </c>
      <c r="AG24" s="216"/>
      <c r="AH24" s="216"/>
      <c r="AI24" s="216"/>
      <c r="AJ24" s="216"/>
      <c r="AK24" s="216"/>
      <c r="AL24" s="216"/>
      <c r="AM24" s="216">
        <f t="shared" si="0"/>
        <v>0</v>
      </c>
      <c r="AN24" s="217"/>
      <c r="AO24" s="218"/>
      <c r="AP24" s="128"/>
      <c r="AQ24" s="114"/>
      <c r="AR24" s="114"/>
    </row>
    <row r="25" spans="1:45" s="103" customFormat="1" ht="25.5" customHeight="1" x14ac:dyDescent="0.2">
      <c r="A25" s="102"/>
      <c r="B25" s="127"/>
      <c r="C25" s="127"/>
      <c r="D25" s="127"/>
      <c r="E25" s="172"/>
      <c r="F25" s="172"/>
      <c r="G25" s="172"/>
      <c r="H25" s="172"/>
      <c r="I25" s="172"/>
      <c r="J25" s="127"/>
      <c r="K25" s="213" t="s">
        <v>135</v>
      </c>
      <c r="L25" s="213"/>
      <c r="M25" s="213"/>
      <c r="N25" s="213"/>
      <c r="O25" s="213"/>
      <c r="P25" s="213"/>
      <c r="Q25" s="213"/>
      <c r="R25" s="213"/>
      <c r="S25" s="213"/>
      <c r="T25" s="213"/>
      <c r="U25" s="213"/>
      <c r="V25" s="213"/>
      <c r="W25" s="213"/>
      <c r="X25" s="213"/>
      <c r="Y25" s="213"/>
      <c r="Z25" s="213"/>
      <c r="AA25" s="213"/>
      <c r="AB25" s="213"/>
      <c r="AC25" s="213"/>
      <c r="AD25" s="213"/>
      <c r="AE25" s="213"/>
      <c r="AF25" s="215">
        <f>+úsek9!I19</f>
        <v>1506016.15</v>
      </c>
      <c r="AG25" s="216"/>
      <c r="AH25" s="216"/>
      <c r="AI25" s="216"/>
      <c r="AJ25" s="216"/>
      <c r="AK25" s="216"/>
      <c r="AL25" s="216"/>
      <c r="AM25" s="216">
        <f t="shared" ref="AM25" si="4">1.21*AF25</f>
        <v>1822279.5414999998</v>
      </c>
      <c r="AN25" s="217"/>
      <c r="AO25" s="218"/>
      <c r="AP25" s="128"/>
      <c r="AQ25" s="114">
        <f>+úsek9!G30</f>
        <v>817.55</v>
      </c>
      <c r="AR25" s="114">
        <f>+úsek9!G34</f>
        <v>817.55</v>
      </c>
      <c r="AS25" s="114"/>
    </row>
    <row r="26" spans="1:45" s="103" customFormat="1" ht="25.5" customHeight="1" thickBot="1" x14ac:dyDescent="0.25">
      <c r="A26" s="129"/>
      <c r="B26" s="130"/>
      <c r="C26" s="130"/>
      <c r="D26" s="130"/>
      <c r="E26" s="220"/>
      <c r="F26" s="220"/>
      <c r="G26" s="220"/>
      <c r="H26" s="220"/>
      <c r="I26" s="220"/>
      <c r="J26" s="130"/>
      <c r="K26" s="220" t="s">
        <v>85</v>
      </c>
      <c r="L26" s="220"/>
      <c r="M26" s="220"/>
      <c r="N26" s="220"/>
      <c r="O26" s="220"/>
      <c r="P26" s="220"/>
      <c r="Q26" s="220"/>
      <c r="R26" s="220"/>
      <c r="S26" s="220"/>
      <c r="T26" s="220"/>
      <c r="U26" s="220"/>
      <c r="V26" s="220"/>
      <c r="W26" s="220"/>
      <c r="X26" s="220"/>
      <c r="Y26" s="220"/>
      <c r="Z26" s="220"/>
      <c r="AA26" s="220"/>
      <c r="AB26" s="220"/>
      <c r="AC26" s="220"/>
      <c r="AD26" s="220"/>
      <c r="AE26" s="220"/>
      <c r="AF26" s="222">
        <f>obruby!I19</f>
        <v>844569.4</v>
      </c>
      <c r="AG26" s="223"/>
      <c r="AH26" s="223"/>
      <c r="AI26" s="223"/>
      <c r="AJ26" s="223"/>
      <c r="AK26" s="223"/>
      <c r="AL26" s="223"/>
      <c r="AM26" s="223">
        <f t="shared" ref="AM26" si="5">1.21*AF26</f>
        <v>1021928.974</v>
      </c>
      <c r="AN26" s="224"/>
      <c r="AO26" s="225"/>
      <c r="AP26" s="131"/>
      <c r="AQ26" s="114"/>
      <c r="AR26" s="114"/>
    </row>
    <row r="28" spans="1:45" ht="25.15" customHeight="1" x14ac:dyDescent="0.25">
      <c r="O28" s="219" t="s">
        <v>70</v>
      </c>
      <c r="P28" s="219"/>
      <c r="Q28" s="219"/>
      <c r="R28" s="219"/>
      <c r="S28" s="219"/>
      <c r="T28" s="219"/>
      <c r="U28" s="219"/>
      <c r="V28" s="219"/>
      <c r="W28" s="219"/>
      <c r="X28" s="219"/>
      <c r="Y28" s="219"/>
      <c r="Z28" s="219"/>
      <c r="AA28" s="219"/>
      <c r="AB28" s="219"/>
      <c r="AC28" s="219"/>
      <c r="AD28" s="219"/>
      <c r="AE28" s="219"/>
      <c r="AF28" s="138"/>
      <c r="AG28" s="138"/>
      <c r="AH28" s="139">
        <f>úsek1!G24+úsek2!G24+'úsek3 - 21'!G30+'úsek3 - 22'!G30+úsek4!G24+úsek5!G24+'úsek5 ACO'!G28+úsek6!G24+úsek7!G24+úsek8!G24+úsek9!G30</f>
        <v>6444.14</v>
      </c>
      <c r="AI28" s="138" t="s">
        <v>22</v>
      </c>
      <c r="AQ28" s="114">
        <f>SUM(AQ15:AQ27)</f>
        <v>6444.14</v>
      </c>
      <c r="AR28" s="114">
        <f>SUM(AR15:AR27)</f>
        <v>6548.6174999999994</v>
      </c>
    </row>
    <row r="29" spans="1:45" ht="25.15" customHeight="1" x14ac:dyDescent="0.25">
      <c r="O29" s="219" t="s">
        <v>71</v>
      </c>
      <c r="P29" s="219"/>
      <c r="Q29" s="219"/>
      <c r="R29" s="219"/>
      <c r="S29" s="219"/>
      <c r="T29" s="219"/>
      <c r="U29" s="219"/>
      <c r="V29" s="219"/>
      <c r="W29" s="219"/>
      <c r="X29" s="219"/>
      <c r="Y29" s="219"/>
      <c r="Z29" s="219"/>
      <c r="AA29" s="219"/>
      <c r="AB29" s="219"/>
      <c r="AC29" s="219"/>
      <c r="AD29" s="219"/>
      <c r="AE29" s="219"/>
      <c r="AF29" s="138"/>
      <c r="AG29" s="138"/>
      <c r="AH29" s="139">
        <f>úsek1!G28+úsek2!G28+'úsek3 - 21'!G33+'úsek3 - 22'!G34+úsek4!G28+úsek5!G27+úsek6!G28+úsek7!G28+úsek8!G27+úsek9!G34</f>
        <v>6548.6174999999994</v>
      </c>
      <c r="AI29" s="138" t="s">
        <v>22</v>
      </c>
    </row>
    <row r="30" spans="1:45" ht="15" customHeight="1" x14ac:dyDescent="0.2"/>
    <row r="31" spans="1:45" ht="25.15" customHeight="1" x14ac:dyDescent="0.25">
      <c r="O31" s="257" t="s">
        <v>149</v>
      </c>
      <c r="P31" s="257"/>
      <c r="Q31" s="257"/>
      <c r="R31" s="257"/>
      <c r="S31" s="257"/>
      <c r="T31" s="257"/>
      <c r="U31" s="257"/>
      <c r="V31" s="257"/>
      <c r="W31" s="257"/>
      <c r="X31" s="257"/>
      <c r="Y31" s="257"/>
      <c r="Z31" s="257"/>
      <c r="AA31" s="257"/>
      <c r="AB31" s="257"/>
      <c r="AC31" s="257"/>
      <c r="AD31" s="257"/>
      <c r="AE31" s="257"/>
      <c r="AF31" s="196"/>
      <c r="AG31" s="196"/>
      <c r="AH31" s="197">
        <f>+AF17+AF20+AF21</f>
        <v>2504456.6999999997</v>
      </c>
      <c r="AI31" s="138"/>
      <c r="AQ31" s="3">
        <f>+AQ17+AQ20+AQ21</f>
        <v>2030.2</v>
      </c>
      <c r="AR31" s="3">
        <f>+AR17+AR20+AR21</f>
        <v>1792.0349999999999</v>
      </c>
    </row>
    <row r="32" spans="1:45" ht="25.15" customHeight="1" x14ac:dyDescent="0.25">
      <c r="O32" s="257" t="s">
        <v>150</v>
      </c>
      <c r="P32" s="257"/>
      <c r="Q32" s="257"/>
      <c r="R32" s="257"/>
      <c r="S32" s="257"/>
      <c r="T32" s="257"/>
      <c r="U32" s="257"/>
      <c r="V32" s="257"/>
      <c r="W32" s="257"/>
      <c r="X32" s="257"/>
      <c r="Y32" s="257"/>
      <c r="Z32" s="257"/>
      <c r="AA32" s="257"/>
      <c r="AB32" s="257"/>
      <c r="AC32" s="257"/>
      <c r="AD32" s="257"/>
      <c r="AE32" s="257"/>
      <c r="AF32" s="196"/>
      <c r="AG32" s="196"/>
      <c r="AH32" s="197">
        <f>+AF15+AF16+AF18+AF19+AF22+AF23+AF26</f>
        <v>7192651.3099999996</v>
      </c>
      <c r="AI32" s="138"/>
      <c r="AQ32" s="3">
        <f>+AQ15+AQ16+AQ18+AQ19+AQ22+AQ23</f>
        <v>3596.3900000000008</v>
      </c>
      <c r="AR32" s="3">
        <f>+AR15+AR16+AR18+AR19+AR22+AR23</f>
        <v>3939.0324999999998</v>
      </c>
    </row>
    <row r="33" spans="1:44" ht="25.15" customHeight="1" x14ac:dyDescent="0.25">
      <c r="O33" s="257" t="s">
        <v>151</v>
      </c>
      <c r="P33" s="257"/>
      <c r="Q33" s="257"/>
      <c r="R33" s="257"/>
      <c r="S33" s="257"/>
      <c r="T33" s="257"/>
      <c r="U33" s="257"/>
      <c r="V33" s="257"/>
      <c r="W33" s="257"/>
      <c r="X33" s="257"/>
      <c r="Y33" s="257"/>
      <c r="Z33" s="257"/>
      <c r="AA33" s="257"/>
      <c r="AB33" s="257"/>
      <c r="AC33" s="257"/>
      <c r="AD33" s="257"/>
      <c r="AE33" s="257"/>
      <c r="AF33" s="196"/>
      <c r="AG33" s="196"/>
      <c r="AH33" s="197">
        <f>+AF25</f>
        <v>1506016.15</v>
      </c>
      <c r="AI33" s="138"/>
      <c r="AQ33" s="3">
        <f>+AQ25</f>
        <v>817.55</v>
      </c>
      <c r="AR33" s="3">
        <f>+AR25</f>
        <v>817.55</v>
      </c>
    </row>
    <row r="34" spans="1:44" s="202" customFormat="1" ht="18" customHeight="1" x14ac:dyDescent="0.3">
      <c r="A34" s="198"/>
      <c r="B34" s="198"/>
      <c r="C34" s="198"/>
      <c r="D34" s="198"/>
      <c r="E34" s="198"/>
      <c r="F34" s="198"/>
      <c r="G34" s="198"/>
      <c r="H34" s="198"/>
      <c r="I34" s="198"/>
      <c r="J34" s="198"/>
      <c r="K34" s="198"/>
      <c r="L34" s="198"/>
      <c r="M34" s="198"/>
      <c r="N34" s="198"/>
      <c r="O34" s="258"/>
      <c r="P34" s="258"/>
      <c r="Q34" s="258"/>
      <c r="R34" s="258"/>
      <c r="S34" s="258"/>
      <c r="T34" s="258"/>
      <c r="U34" s="258"/>
      <c r="V34" s="258"/>
      <c r="W34" s="258"/>
      <c r="X34" s="258"/>
      <c r="Y34" s="258"/>
      <c r="Z34" s="258"/>
      <c r="AA34" s="258"/>
      <c r="AB34" s="258"/>
      <c r="AC34" s="258"/>
      <c r="AD34" s="258"/>
      <c r="AE34" s="258"/>
      <c r="AF34" s="199"/>
      <c r="AG34" s="199"/>
      <c r="AH34" s="200">
        <f>SUM(AH31:AH33)</f>
        <v>11203124.16</v>
      </c>
      <c r="AI34" s="201"/>
      <c r="AJ34" s="198"/>
      <c r="AK34" s="198"/>
      <c r="AL34" s="198"/>
      <c r="AM34" s="198"/>
      <c r="AN34" s="198"/>
      <c r="AO34" s="198"/>
      <c r="AP34" s="198"/>
      <c r="AQ34" s="202">
        <f>SUM(AQ31:AQ33)</f>
        <v>6444.1400000000012</v>
      </c>
      <c r="AR34" s="202">
        <f>SUM(AR31:AR33)</f>
        <v>6548.6174999999994</v>
      </c>
    </row>
    <row r="35" spans="1:44" ht="15" customHeight="1" x14ac:dyDescent="0.25">
      <c r="B35" s="206" t="s">
        <v>163</v>
      </c>
      <c r="C35" s="206"/>
      <c r="D35" s="206"/>
      <c r="E35" s="207"/>
      <c r="F35" s="207"/>
      <c r="G35" s="207"/>
      <c r="H35" s="207"/>
      <c r="I35" s="207"/>
      <c r="J35" s="207"/>
      <c r="K35" s="207"/>
      <c r="L35" s="207"/>
      <c r="M35" s="207"/>
      <c r="N35" s="207"/>
      <c r="O35" s="207"/>
      <c r="P35" s="207"/>
      <c r="Q35" s="207"/>
      <c r="R35" s="207" t="s">
        <v>167</v>
      </c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 t="s">
        <v>164</v>
      </c>
      <c r="AI35" s="207"/>
      <c r="AJ35" s="207" t="s">
        <v>165</v>
      </c>
      <c r="AK35" s="207"/>
      <c r="AL35" s="207"/>
    </row>
    <row r="36" spans="1:44" ht="15" customHeight="1" x14ac:dyDescent="0.25">
      <c r="B36" s="206"/>
      <c r="C36" s="206"/>
      <c r="D36" s="206"/>
      <c r="E36" s="207"/>
      <c r="F36" s="207"/>
      <c r="G36" s="207"/>
      <c r="H36" s="207"/>
      <c r="I36" s="207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</row>
    <row r="37" spans="1:44" ht="15" customHeight="1" x14ac:dyDescent="0.25">
      <c r="B37" s="206" t="s">
        <v>166</v>
      </c>
      <c r="C37" s="206"/>
      <c r="D37" s="206"/>
      <c r="E37" s="207"/>
      <c r="F37" s="207"/>
      <c r="G37" s="207"/>
      <c r="H37" s="207"/>
      <c r="I37" s="207"/>
      <c r="J37" s="207"/>
      <c r="K37" s="207"/>
      <c r="L37" s="207"/>
      <c r="M37" s="207"/>
      <c r="N37" s="207"/>
      <c r="O37" s="207"/>
      <c r="P37" s="207"/>
      <c r="Q37" s="207"/>
      <c r="R37" s="207" t="s">
        <v>166</v>
      </c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 t="s">
        <v>166</v>
      </c>
      <c r="AI37" s="207"/>
      <c r="AJ37" s="207" t="s">
        <v>166</v>
      </c>
      <c r="AK37" s="207"/>
      <c r="AL37" s="207"/>
    </row>
    <row r="38" spans="1:44" ht="24" customHeight="1" x14ac:dyDescent="0.25">
      <c r="B38" s="207"/>
      <c r="C38" s="207"/>
      <c r="D38" s="207"/>
      <c r="E38" s="207"/>
      <c r="F38" s="207"/>
      <c r="G38" s="207"/>
      <c r="H38" s="207"/>
      <c r="I38" s="207"/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/>
      <c r="AF38" s="207"/>
      <c r="AG38" s="207"/>
      <c r="AH38" s="207"/>
      <c r="AI38" s="207"/>
      <c r="AJ38" s="207"/>
      <c r="AK38" s="207"/>
      <c r="AL38" s="207"/>
    </row>
    <row r="39" spans="1:44" ht="15" customHeight="1" x14ac:dyDescent="0.2"/>
    <row r="40" spans="1:44" ht="15" customHeight="1" x14ac:dyDescent="0.2"/>
    <row r="41" spans="1:44" ht="15" customHeight="1" x14ac:dyDescent="0.2"/>
    <row r="42" spans="1:44" ht="15" customHeight="1" x14ac:dyDescent="0.2"/>
    <row r="43" spans="1:44" ht="15" customHeight="1" x14ac:dyDescent="0.2"/>
    <row r="44" spans="1:44" ht="15" customHeight="1" x14ac:dyDescent="0.2"/>
    <row r="45" spans="1:44" ht="15" customHeight="1" x14ac:dyDescent="0.2"/>
    <row r="46" spans="1:44" ht="15" customHeight="1" x14ac:dyDescent="0.2"/>
    <row r="47" spans="1:44" ht="15" customHeight="1" x14ac:dyDescent="0.2"/>
    <row r="48" spans="1:44" ht="15" customHeight="1" x14ac:dyDescent="0.2"/>
    <row r="49" spans="1:44" ht="15" customHeight="1" x14ac:dyDescent="0.2"/>
    <row r="50" spans="1:44" ht="15" customHeight="1" x14ac:dyDescent="0.2"/>
    <row r="51" spans="1:44" ht="15" customHeight="1" x14ac:dyDescent="0.2"/>
    <row r="52" spans="1:44" ht="15" customHeight="1" x14ac:dyDescent="0.2">
      <c r="AQ52" s="115"/>
      <c r="AR52" s="115"/>
    </row>
    <row r="53" spans="1:44" ht="15" customHeight="1" x14ac:dyDescent="0.2"/>
    <row r="54" spans="1:44" ht="15" customHeight="1" x14ac:dyDescent="0.2"/>
    <row r="55" spans="1:44" ht="15" customHeight="1" x14ac:dyDescent="0.2"/>
    <row r="56" spans="1:44" ht="15" customHeight="1" x14ac:dyDescent="0.2"/>
    <row r="57" spans="1:44" ht="15" customHeight="1" x14ac:dyDescent="0.2"/>
    <row r="59" spans="1:44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</row>
    <row r="60" spans="1:44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</row>
    <row r="61" spans="1:44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</row>
    <row r="62" spans="1:44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</row>
    <row r="63" spans="1:44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</row>
    <row r="64" spans="1:44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</row>
    <row r="65" spans="1:4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</row>
    <row r="66" spans="1:42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</row>
    <row r="72" spans="1:42" ht="25.9" customHeight="1" x14ac:dyDescent="0.2">
      <c r="A72" s="1" t="s">
        <v>64</v>
      </c>
    </row>
    <row r="76" spans="1:42" x14ac:dyDescent="0.2">
      <c r="A76" s="1" t="s">
        <v>65</v>
      </c>
    </row>
  </sheetData>
  <mergeCells count="66">
    <mergeCell ref="O31:AE31"/>
    <mergeCell ref="O32:AE32"/>
    <mergeCell ref="O33:AE33"/>
    <mergeCell ref="O34:AE34"/>
    <mergeCell ref="K21:AE21"/>
    <mergeCell ref="O28:AE28"/>
    <mergeCell ref="O29:AE29"/>
    <mergeCell ref="AF19:AL19"/>
    <mergeCell ref="AF20:AL20"/>
    <mergeCell ref="AM19:AO19"/>
    <mergeCell ref="AM20:AO20"/>
    <mergeCell ref="K19:AE19"/>
    <mergeCell ref="K20:AE20"/>
    <mergeCell ref="E22:I22"/>
    <mergeCell ref="K22:AE22"/>
    <mergeCell ref="AF22:AL22"/>
    <mergeCell ref="AF21:AL21"/>
    <mergeCell ref="AM21:AO21"/>
    <mergeCell ref="AM22:AO22"/>
    <mergeCell ref="AM26:AO26"/>
    <mergeCell ref="E23:I23"/>
    <mergeCell ref="K23:AE23"/>
    <mergeCell ref="AF23:AL23"/>
    <mergeCell ref="AM23:AO23"/>
    <mergeCell ref="E24:I24"/>
    <mergeCell ref="K24:AE24"/>
    <mergeCell ref="AF24:AL24"/>
    <mergeCell ref="AM24:AO24"/>
    <mergeCell ref="K25:AE25"/>
    <mergeCell ref="AF25:AL25"/>
    <mergeCell ref="AM25:AO25"/>
    <mergeCell ref="E26:I26"/>
    <mergeCell ref="K26:AE26"/>
    <mergeCell ref="AF26:AL26"/>
    <mergeCell ref="E16:I16"/>
    <mergeCell ref="K16:AE16"/>
    <mergeCell ref="AF16:AL16"/>
    <mergeCell ref="AM16:AO16"/>
    <mergeCell ref="E18:I18"/>
    <mergeCell ref="K18:AE18"/>
    <mergeCell ref="AF18:AL18"/>
    <mergeCell ref="AM18:AO18"/>
    <mergeCell ref="K17:AE17"/>
    <mergeCell ref="AF17:AL17"/>
    <mergeCell ref="AM17:AO17"/>
    <mergeCell ref="C14:G14"/>
    <mergeCell ref="I14:AE14"/>
    <mergeCell ref="AF14:AL14"/>
    <mergeCell ref="AM14:AO14"/>
    <mergeCell ref="E15:I15"/>
    <mergeCell ref="K15:AE15"/>
    <mergeCell ref="AF15:AL15"/>
    <mergeCell ref="AM15:AO15"/>
    <mergeCell ref="B11:F11"/>
    <mergeCell ref="H11:AE11"/>
    <mergeCell ref="AF11:AL11"/>
    <mergeCell ref="AM11:AO11"/>
    <mergeCell ref="AF13:AL13"/>
    <mergeCell ref="AM13:AO13"/>
    <mergeCell ref="AF10:AO10"/>
    <mergeCell ref="A2:AP2"/>
    <mergeCell ref="K4:AN4"/>
    <mergeCell ref="AL5:AM5"/>
    <mergeCell ref="AL7:AO7"/>
    <mergeCell ref="AL8:AO8"/>
    <mergeCell ref="K3:T3"/>
  </mergeCells>
  <phoneticPr fontId="0" type="noConversion"/>
  <pageMargins left="0.7" right="0.7" top="0.78740157499999996" bottom="0.78740157499999996" header="0.3" footer="0.3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86A5A0-6CF7-4DAB-B0E0-71D516F739B4}">
  <sheetPr>
    <tabColor rgb="FFFFFF00"/>
    <pageSetUpPr fitToPage="1"/>
  </sheetPr>
  <dimension ref="A1:L52"/>
  <sheetViews>
    <sheetView view="pageBreakPreview" zoomScale="110" zoomScaleNormal="100" zoomScaleSheetLayoutView="110" workbookViewId="0">
      <selection activeCell="C50" sqref="C50:H53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1" width="9.1640625" style="3"/>
    <col min="12" max="12" width="10.5" style="3" bestFit="1" customWidth="1"/>
    <col min="13" max="16384" width="9.1640625" style="3"/>
  </cols>
  <sheetData>
    <row r="1" spans="1:9" s="4" customFormat="1" ht="24.95" customHeight="1" x14ac:dyDescent="0.2">
      <c r="A1" s="259" t="str">
        <f>Rekapitulace!A2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33"/>
      <c r="C2" s="133"/>
      <c r="D2" s="62"/>
      <c r="E2" s="133"/>
      <c r="F2" s="133"/>
      <c r="G2" s="133"/>
      <c r="H2" s="21"/>
      <c r="I2" s="22"/>
    </row>
    <row r="3" spans="1:9" s="4" customFormat="1" ht="12" customHeight="1" x14ac:dyDescent="0.2">
      <c r="A3" s="23" t="s">
        <v>1</v>
      </c>
      <c r="B3" s="133"/>
      <c r="C3" s="133"/>
      <c r="D3" s="62"/>
      <c r="E3" s="133"/>
      <c r="F3" s="133"/>
      <c r="G3" s="133"/>
      <c r="H3" s="21"/>
      <c r="I3" s="22"/>
    </row>
    <row r="4" spans="1:9" s="4" customFormat="1" ht="16.5" customHeight="1" x14ac:dyDescent="0.2">
      <c r="A4" s="20"/>
      <c r="B4" s="133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32"/>
      <c r="C5" s="132"/>
      <c r="D5" s="63"/>
      <c r="E5" s="132"/>
      <c r="F5" s="132"/>
      <c r="G5" s="132"/>
      <c r="H5" s="24"/>
      <c r="I5" s="25"/>
    </row>
    <row r="6" spans="1:9" s="1" customFormat="1" ht="16.5" customHeight="1" x14ac:dyDescent="0.2">
      <c r="A6" s="26"/>
      <c r="B6" s="132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32"/>
      <c r="C7" s="132"/>
      <c r="D7" s="63"/>
      <c r="E7" s="132"/>
      <c r="F7" s="132"/>
      <c r="G7" s="132"/>
      <c r="H7" s="24"/>
      <c r="I7" s="25"/>
    </row>
    <row r="8" spans="1:9" s="4" customFormat="1" ht="16.5" customHeight="1" x14ac:dyDescent="0.2">
      <c r="A8" s="20"/>
      <c r="B8" s="133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33"/>
      <c r="C9" s="133"/>
      <c r="D9" s="62"/>
      <c r="E9" s="133"/>
      <c r="F9" s="133"/>
      <c r="G9" s="133"/>
      <c r="H9" s="21"/>
      <c r="I9" s="22"/>
    </row>
    <row r="10" spans="1:9" s="4" customFormat="1" ht="16.5" customHeight="1" x14ac:dyDescent="0.2">
      <c r="A10" s="20"/>
      <c r="B10" s="133"/>
      <c r="C10" s="242" t="str">
        <f>Rekapitulace!K15</f>
        <v>úsek 1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33"/>
      <c r="C11" s="133"/>
      <c r="D11" s="62"/>
      <c r="E11" s="133"/>
      <c r="F11" s="133"/>
      <c r="G11" s="133"/>
      <c r="H11" s="21"/>
      <c r="I11" s="22"/>
    </row>
    <row r="12" spans="1:9" s="4" customFormat="1" ht="12" customHeight="1" x14ac:dyDescent="0.2">
      <c r="A12" s="23" t="s">
        <v>2</v>
      </c>
      <c r="B12" s="133"/>
      <c r="C12" s="133"/>
      <c r="D12" s="62"/>
      <c r="E12" s="27" t="str">
        <f>Rekapitulace!K5</f>
        <v>Kolomuty</v>
      </c>
      <c r="F12" s="133"/>
      <c r="G12" s="133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33"/>
      <c r="C13" s="133"/>
      <c r="D13" s="62"/>
      <c r="E13" s="133"/>
      <c r="F13" s="133"/>
      <c r="G13" s="133"/>
      <c r="H13" s="21"/>
      <c r="I13" s="22"/>
    </row>
    <row r="14" spans="1:9" s="4" customFormat="1" ht="15.2" customHeight="1" x14ac:dyDescent="0.2">
      <c r="A14" s="23" t="s">
        <v>4</v>
      </c>
      <c r="B14" s="133"/>
      <c r="C14" s="133"/>
      <c r="D14" s="62"/>
      <c r="E14" s="27" t="str">
        <f>Rekapitulace!K7</f>
        <v>Vodovody a kanalizace Mladá Boleslav, a.s.</v>
      </c>
      <c r="F14" s="133"/>
      <c r="G14" s="133"/>
      <c r="H14" s="28"/>
      <c r="I14" s="137"/>
    </row>
    <row r="15" spans="1:9" s="4" customFormat="1" ht="15.2" customHeight="1" x14ac:dyDescent="0.2">
      <c r="A15" s="23" t="s">
        <v>5</v>
      </c>
      <c r="B15" s="133"/>
      <c r="C15" s="133"/>
      <c r="D15" s="62"/>
      <c r="E15" s="27" t="str">
        <f>+Rekapitulace!K8</f>
        <v>VCES a.s</v>
      </c>
      <c r="F15" s="133"/>
      <c r="G15" s="133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33"/>
      <c r="C16" s="133"/>
      <c r="D16" s="62"/>
      <c r="E16" s="27"/>
      <c r="F16" s="133"/>
      <c r="G16" s="133"/>
      <c r="H16" s="28"/>
      <c r="I16" s="137"/>
    </row>
    <row r="17" spans="1:12" s="4" customFormat="1" ht="31.35" customHeight="1" thickBot="1" x14ac:dyDescent="0.25">
      <c r="A17" s="20"/>
      <c r="B17" s="133"/>
      <c r="C17" s="133"/>
      <c r="D17" s="62"/>
      <c r="E17" s="133"/>
      <c r="F17" s="133"/>
      <c r="G17" s="266" t="str">
        <f>A1</f>
        <v>Rozpočet stavby (výkaz výměr)</v>
      </c>
      <c r="H17" s="267"/>
      <c r="I17" s="268"/>
    </row>
    <row r="18" spans="1:12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2" s="4" customFormat="1" ht="22.9" customHeight="1" x14ac:dyDescent="0.25">
      <c r="A19" s="30" t="s">
        <v>17</v>
      </c>
      <c r="B19" s="133"/>
      <c r="C19" s="133"/>
      <c r="D19" s="62"/>
      <c r="E19" s="133"/>
      <c r="F19" s="133"/>
      <c r="G19" s="20"/>
      <c r="H19" s="21"/>
      <c r="I19" s="31">
        <f>I20</f>
        <v>470739.69999999995</v>
      </c>
    </row>
    <row r="20" spans="1:12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I21+I27</f>
        <v>470739.69999999995</v>
      </c>
      <c r="K20" s="8">
        <v>41772.43</v>
      </c>
      <c r="L20" s="140">
        <f>+I20+K20</f>
        <v>512512.12999999995</v>
      </c>
    </row>
    <row r="21" spans="1:12" s="8" customFormat="1" ht="22.9" customHeight="1" x14ac:dyDescent="0.2">
      <c r="A21" s="32"/>
      <c r="B21" s="33" t="s">
        <v>10</v>
      </c>
      <c r="C21" s="38" t="s">
        <v>25</v>
      </c>
      <c r="D21" s="66" t="s">
        <v>68</v>
      </c>
      <c r="E21" s="38" t="s">
        <v>30</v>
      </c>
      <c r="F21" s="35"/>
      <c r="G21" s="32"/>
      <c r="H21" s="36"/>
      <c r="I21" s="39">
        <f>I22+I24+I26</f>
        <v>114852.16</v>
      </c>
    </row>
    <row r="22" spans="1:12" s="4" customFormat="1" ht="24" customHeight="1" x14ac:dyDescent="0.2">
      <c r="A22" s="40">
        <v>1</v>
      </c>
      <c r="B22" s="9" t="s">
        <v>21</v>
      </c>
      <c r="C22" s="10" t="s">
        <v>31</v>
      </c>
      <c r="D22" s="67" t="s">
        <v>68</v>
      </c>
      <c r="E22" s="11" t="s">
        <v>32</v>
      </c>
      <c r="F22" s="6" t="s">
        <v>22</v>
      </c>
      <c r="G22" s="58">
        <f>G24</f>
        <v>205.78</v>
      </c>
      <c r="H22" s="156">
        <v>20.62</v>
      </c>
      <c r="I22" s="41">
        <f>ROUND(H22*G22,2)</f>
        <v>4243.18</v>
      </c>
    </row>
    <row r="23" spans="1:12" s="14" customFormat="1" outlineLevel="1" x14ac:dyDescent="0.2">
      <c r="A23" s="49"/>
      <c r="B23" s="42" t="s">
        <v>24</v>
      </c>
      <c r="C23" s="50" t="s">
        <v>0</v>
      </c>
      <c r="D23" s="69" t="s">
        <v>41</v>
      </c>
      <c r="E23" s="51" t="s">
        <v>121</v>
      </c>
      <c r="F23" s="52"/>
      <c r="G23" s="60">
        <f>G22</f>
        <v>205.78</v>
      </c>
      <c r="H23" s="157"/>
      <c r="I23" s="55"/>
    </row>
    <row r="24" spans="1:12" s="4" customFormat="1" ht="36" customHeight="1" x14ac:dyDescent="0.2">
      <c r="A24" s="40">
        <v>2</v>
      </c>
      <c r="B24" s="9" t="s">
        <v>21</v>
      </c>
      <c r="C24" s="10" t="s">
        <v>33</v>
      </c>
      <c r="D24" s="67" t="s">
        <v>68</v>
      </c>
      <c r="E24" s="11" t="s">
        <v>34</v>
      </c>
      <c r="F24" s="6" t="s">
        <v>22</v>
      </c>
      <c r="G24" s="58">
        <f>G25</f>
        <v>205.78</v>
      </c>
      <c r="H24" s="156">
        <v>396.71</v>
      </c>
      <c r="I24" s="41">
        <f>ROUND(H24*G24,2)</f>
        <v>81634.98</v>
      </c>
    </row>
    <row r="25" spans="1:12" s="14" customFormat="1" outlineLevel="1" x14ac:dyDescent="0.2">
      <c r="A25" s="49"/>
      <c r="B25" s="42" t="s">
        <v>24</v>
      </c>
      <c r="C25" s="50" t="s">
        <v>0</v>
      </c>
      <c r="D25" s="69" t="s">
        <v>41</v>
      </c>
      <c r="E25" s="51" t="str">
        <f>E23</f>
        <v>226,78 m2 "místní asfalt</v>
      </c>
      <c r="F25" s="52"/>
      <c r="G25" s="60">
        <f>226.78-21</f>
        <v>205.78</v>
      </c>
      <c r="H25" s="53"/>
      <c r="I25" s="55"/>
    </row>
    <row r="26" spans="1:12" s="181" customFormat="1" ht="27" customHeight="1" thickBot="1" x14ac:dyDescent="0.25">
      <c r="A26" s="40" t="s">
        <v>153</v>
      </c>
      <c r="B26" s="9"/>
      <c r="C26" s="10" t="s">
        <v>154</v>
      </c>
      <c r="D26" s="67"/>
      <c r="E26" s="11" t="s">
        <v>155</v>
      </c>
      <c r="F26" s="6" t="s">
        <v>100</v>
      </c>
      <c r="G26" s="58">
        <v>6</v>
      </c>
      <c r="H26" s="156">
        <v>4829</v>
      </c>
      <c r="I26" s="41">
        <f t="shared" ref="I26" si="0">ROUND(H26*G26,2)</f>
        <v>28974</v>
      </c>
    </row>
    <row r="27" spans="1:12" ht="12.75" x14ac:dyDescent="0.2">
      <c r="A27" s="71"/>
      <c r="B27" s="72" t="s">
        <v>10</v>
      </c>
      <c r="C27" s="73">
        <v>6</v>
      </c>
      <c r="D27" s="74" t="s">
        <v>68</v>
      </c>
      <c r="E27" s="73" t="s">
        <v>42</v>
      </c>
      <c r="F27" s="75"/>
      <c r="G27" s="71"/>
      <c r="H27" s="76"/>
      <c r="I27" s="77">
        <f>SUBTOTAL(9,I28:I42)</f>
        <v>355887.54</v>
      </c>
    </row>
    <row r="28" spans="1:12" ht="24" customHeight="1" x14ac:dyDescent="0.2">
      <c r="A28" s="40">
        <v>3</v>
      </c>
      <c r="B28" s="9" t="s">
        <v>21</v>
      </c>
      <c r="C28" s="11" t="s">
        <v>43</v>
      </c>
      <c r="D28" s="12" t="s">
        <v>68</v>
      </c>
      <c r="E28" s="11" t="s">
        <v>75</v>
      </c>
      <c r="F28" s="11" t="s">
        <v>22</v>
      </c>
      <c r="G28" s="58">
        <f>G29</f>
        <v>216.06900000000002</v>
      </c>
      <c r="H28" s="78">
        <v>257</v>
      </c>
      <c r="I28" s="41">
        <f>ROUND(H28*G28,2)</f>
        <v>55529.73</v>
      </c>
    </row>
    <row r="29" spans="1:12" ht="10.9" customHeigh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122</v>
      </c>
      <c r="F29" s="52"/>
      <c r="G29" s="60">
        <f>G24*1.05</f>
        <v>216.06900000000002</v>
      </c>
      <c r="H29" s="157"/>
      <c r="I29" s="55"/>
    </row>
    <row r="30" spans="1:12" ht="24" customHeight="1" x14ac:dyDescent="0.2">
      <c r="A30" s="40">
        <v>4</v>
      </c>
      <c r="B30" s="9" t="s">
        <v>21</v>
      </c>
      <c r="C30" s="11" t="s">
        <v>44</v>
      </c>
      <c r="D30" s="12" t="s">
        <v>68</v>
      </c>
      <c r="E30" s="11" t="s">
        <v>74</v>
      </c>
      <c r="F30" s="11" t="s">
        <v>22</v>
      </c>
      <c r="G30" s="58">
        <f>G28</f>
        <v>216.06900000000002</v>
      </c>
      <c r="H30" s="78">
        <v>333</v>
      </c>
      <c r="I30" s="41">
        <f t="shared" ref="I30:I42" si="1">ROUND(H30*G30,2)</f>
        <v>71950.98</v>
      </c>
    </row>
    <row r="31" spans="1:12" ht="24" customHeight="1" x14ac:dyDescent="0.2">
      <c r="A31" s="40">
        <v>5</v>
      </c>
      <c r="B31" s="9" t="s">
        <v>21</v>
      </c>
      <c r="C31" s="11" t="s">
        <v>45</v>
      </c>
      <c r="D31" s="12" t="s">
        <v>68</v>
      </c>
      <c r="E31" s="11" t="s">
        <v>73</v>
      </c>
      <c r="F31" s="11" t="s">
        <v>22</v>
      </c>
      <c r="G31" s="58">
        <f>G30</f>
        <v>216.06900000000002</v>
      </c>
      <c r="H31" s="78">
        <v>125</v>
      </c>
      <c r="I31" s="41">
        <f t="shared" si="1"/>
        <v>27008.63</v>
      </c>
    </row>
    <row r="32" spans="1:12" ht="24" customHeight="1" x14ac:dyDescent="0.2">
      <c r="A32" s="40">
        <v>6</v>
      </c>
      <c r="B32" s="9" t="s">
        <v>21</v>
      </c>
      <c r="C32" s="11" t="s">
        <v>46</v>
      </c>
      <c r="D32" s="12" t="s">
        <v>68</v>
      </c>
      <c r="E32" s="11" t="s">
        <v>47</v>
      </c>
      <c r="F32" s="11" t="s">
        <v>29</v>
      </c>
      <c r="G32" s="58">
        <v>0</v>
      </c>
      <c r="H32" s="78">
        <v>2150</v>
      </c>
      <c r="I32" s="41">
        <f t="shared" si="1"/>
        <v>0</v>
      </c>
    </row>
    <row r="33" spans="1:10" ht="24" customHeight="1" x14ac:dyDescent="0.2">
      <c r="A33" s="40">
        <v>7</v>
      </c>
      <c r="B33" s="9" t="s">
        <v>21</v>
      </c>
      <c r="C33" s="11" t="s">
        <v>48</v>
      </c>
      <c r="D33" s="12" t="s">
        <v>68</v>
      </c>
      <c r="E33" s="11" t="s">
        <v>49</v>
      </c>
      <c r="F33" s="11" t="s">
        <v>29</v>
      </c>
      <c r="G33" s="58">
        <v>0</v>
      </c>
      <c r="H33" s="78">
        <v>1200</v>
      </c>
      <c r="I33" s="41">
        <f t="shared" si="1"/>
        <v>0</v>
      </c>
    </row>
    <row r="34" spans="1:10" ht="24" customHeight="1" x14ac:dyDescent="0.2">
      <c r="A34" s="40">
        <v>8</v>
      </c>
      <c r="B34" s="9" t="s">
        <v>21</v>
      </c>
      <c r="C34" s="11" t="s">
        <v>50</v>
      </c>
      <c r="D34" s="12" t="s">
        <v>68</v>
      </c>
      <c r="E34" s="11" t="s">
        <v>51</v>
      </c>
      <c r="F34" s="11" t="s">
        <v>22</v>
      </c>
      <c r="G34" s="58">
        <f>G28</f>
        <v>216.06900000000002</v>
      </c>
      <c r="H34" s="78">
        <v>6.88</v>
      </c>
      <c r="I34" s="41">
        <f t="shared" si="1"/>
        <v>1486.55</v>
      </c>
    </row>
    <row r="35" spans="1:10" ht="24" customHeight="1" x14ac:dyDescent="0.2">
      <c r="A35" s="40">
        <v>9</v>
      </c>
      <c r="B35" s="9" t="s">
        <v>21</v>
      </c>
      <c r="C35" s="11" t="s">
        <v>52</v>
      </c>
      <c r="D35" s="12" t="s">
        <v>68</v>
      </c>
      <c r="E35" s="11" t="s">
        <v>53</v>
      </c>
      <c r="F35" s="11" t="s">
        <v>22</v>
      </c>
      <c r="G35" s="58">
        <f>G34</f>
        <v>216.06900000000002</v>
      </c>
      <c r="H35" s="78">
        <v>0.8</v>
      </c>
      <c r="I35" s="41">
        <f t="shared" si="1"/>
        <v>172.86</v>
      </c>
    </row>
    <row r="36" spans="1:10" ht="24" customHeight="1" x14ac:dyDescent="0.2">
      <c r="A36" s="54">
        <v>10</v>
      </c>
      <c r="B36" s="15" t="s">
        <v>26</v>
      </c>
      <c r="C36" s="16" t="s">
        <v>54</v>
      </c>
      <c r="D36" s="70" t="s">
        <v>68</v>
      </c>
      <c r="E36" s="17" t="s">
        <v>55</v>
      </c>
      <c r="F36" s="57" t="s">
        <v>40</v>
      </c>
      <c r="G36" s="61">
        <f>G34*0.25*1.6</f>
        <v>86.427600000000012</v>
      </c>
      <c r="H36" s="79">
        <v>429</v>
      </c>
      <c r="I36" s="80">
        <f t="shared" si="1"/>
        <v>37077.440000000002</v>
      </c>
    </row>
    <row r="37" spans="1:10" ht="24" customHeight="1" x14ac:dyDescent="0.2">
      <c r="A37" s="81" t="s">
        <v>56</v>
      </c>
      <c r="B37" s="82"/>
      <c r="C37" s="82"/>
      <c r="D37" s="83" t="s">
        <v>68</v>
      </c>
      <c r="E37" s="82"/>
      <c r="F37" s="84"/>
      <c r="G37" s="85"/>
      <c r="H37" s="86"/>
      <c r="I37" s="87"/>
    </row>
    <row r="38" spans="1:10" ht="24" customHeight="1" thickBot="1" x14ac:dyDescent="0.25">
      <c r="A38" s="91">
        <v>11</v>
      </c>
      <c r="B38" s="92" t="s">
        <v>26</v>
      </c>
      <c r="C38" s="93" t="s">
        <v>57</v>
      </c>
      <c r="D38" s="94" t="s">
        <v>68</v>
      </c>
      <c r="E38" s="97" t="s">
        <v>58</v>
      </c>
      <c r="F38" s="95" t="s">
        <v>28</v>
      </c>
      <c r="G38" s="88">
        <f>G34*25/1000</f>
        <v>5.4017250000000008</v>
      </c>
      <c r="H38" s="89">
        <v>3700</v>
      </c>
      <c r="I38" s="90">
        <f t="shared" si="1"/>
        <v>19986.38</v>
      </c>
    </row>
    <row r="39" spans="1:10" ht="12.75" x14ac:dyDescent="0.2">
      <c r="A39" s="73"/>
      <c r="B39" s="74" t="s">
        <v>10</v>
      </c>
      <c r="C39" s="73" t="s">
        <v>25</v>
      </c>
      <c r="D39" s="73"/>
      <c r="E39" s="73" t="s">
        <v>30</v>
      </c>
      <c r="F39" s="73"/>
      <c r="G39" s="73"/>
      <c r="H39" s="74"/>
      <c r="I39" s="73"/>
      <c r="J39" s="73"/>
    </row>
    <row r="40" spans="1:10" ht="12" x14ac:dyDescent="0.2">
      <c r="A40" s="40" t="s">
        <v>162</v>
      </c>
      <c r="B40" s="9"/>
      <c r="C40" s="11"/>
      <c r="D40" s="12"/>
      <c r="E40" s="11" t="s">
        <v>161</v>
      </c>
      <c r="F40" s="11" t="s">
        <v>160</v>
      </c>
      <c r="G40" s="58">
        <v>1</v>
      </c>
      <c r="H40" s="78">
        <v>9000</v>
      </c>
      <c r="I40" s="41">
        <f t="shared" si="1"/>
        <v>9000</v>
      </c>
    </row>
    <row r="41" spans="1:10" ht="24" x14ac:dyDescent="0.2">
      <c r="A41" s="40" t="s">
        <v>159</v>
      </c>
      <c r="B41" s="9" t="s">
        <v>21</v>
      </c>
      <c r="C41" s="11" t="s">
        <v>31</v>
      </c>
      <c r="D41" s="12"/>
      <c r="E41" s="11" t="s">
        <v>32</v>
      </c>
      <c r="F41" s="11" t="s">
        <v>22</v>
      </c>
      <c r="G41" s="58">
        <v>320.31</v>
      </c>
      <c r="H41" s="78">
        <v>20.62</v>
      </c>
      <c r="I41" s="41">
        <f t="shared" si="1"/>
        <v>6604.79</v>
      </c>
    </row>
    <row r="42" spans="1:10" ht="36" x14ac:dyDescent="0.2">
      <c r="A42" s="40" t="s">
        <v>158</v>
      </c>
      <c r="B42" s="9" t="s">
        <v>21</v>
      </c>
      <c r="C42" s="11" t="s">
        <v>33</v>
      </c>
      <c r="D42" s="12"/>
      <c r="E42" s="11" t="s">
        <v>157</v>
      </c>
      <c r="F42" s="11" t="s">
        <v>22</v>
      </c>
      <c r="G42" s="58">
        <v>320.31</v>
      </c>
      <c r="H42" s="78">
        <v>396.71</v>
      </c>
      <c r="I42" s="41">
        <f t="shared" si="1"/>
        <v>127070.18</v>
      </c>
    </row>
    <row r="50" spans="2:8" ht="15" x14ac:dyDescent="0.25">
      <c r="B50" s="207"/>
      <c r="C50" s="208" t="s">
        <v>163</v>
      </c>
      <c r="D50" s="209"/>
      <c r="E50" s="208" t="s">
        <v>168</v>
      </c>
      <c r="F50" s="210" t="s">
        <v>164</v>
      </c>
      <c r="G50" s="208"/>
      <c r="H50" s="211" t="s">
        <v>165</v>
      </c>
    </row>
    <row r="51" spans="2:8" ht="15" x14ac:dyDescent="0.25">
      <c r="B51" s="207"/>
      <c r="C51" s="208"/>
      <c r="D51" s="209"/>
      <c r="E51" s="208"/>
      <c r="F51" s="208"/>
      <c r="G51" s="208"/>
      <c r="H51" s="212"/>
    </row>
    <row r="52" spans="2:8" ht="15" x14ac:dyDescent="0.25">
      <c r="B52" s="207"/>
      <c r="C52" s="208" t="s">
        <v>166</v>
      </c>
      <c r="D52" s="209"/>
      <c r="E52" s="208" t="s">
        <v>166</v>
      </c>
      <c r="F52" s="208" t="s">
        <v>166</v>
      </c>
      <c r="G52" s="208"/>
      <c r="H52" s="211" t="s">
        <v>169</v>
      </c>
    </row>
  </sheetData>
  <autoFilter ref="A20:I38" xr:uid="{ADC52172-0D32-4B34-B6F0-D79BCE86E72E}"/>
  <mergeCells count="6">
    <mergeCell ref="A1:I1"/>
    <mergeCell ref="C6:G6"/>
    <mergeCell ref="C8:G8"/>
    <mergeCell ref="C10:G10"/>
    <mergeCell ref="G17:I17"/>
    <mergeCell ref="C4:G4"/>
  </mergeCells>
  <pageMargins left="0.7" right="0.7" top="0.78740157499999996" bottom="0.78740157499999996" header="0.3" footer="0.3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F353D-F59D-49AB-BDF3-E9ACD0873D53}">
  <sheetPr>
    <pageSetUpPr fitToPage="1"/>
  </sheetPr>
  <dimension ref="A1:M44"/>
  <sheetViews>
    <sheetView view="pageBreakPreview" topLeftCell="A11" zoomScaleNormal="100" zoomScaleSheetLayoutView="100" workbookViewId="0">
      <selection activeCell="H32" sqref="H32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Rekapitulace!A2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43"/>
      <c r="C2" s="143"/>
      <c r="D2" s="62"/>
      <c r="E2" s="143"/>
      <c r="F2" s="143"/>
      <c r="G2" s="143"/>
      <c r="H2" s="21"/>
      <c r="I2" s="22"/>
    </row>
    <row r="3" spans="1:9" s="4" customFormat="1" ht="12" customHeight="1" x14ac:dyDescent="0.2">
      <c r="A3" s="23" t="s">
        <v>1</v>
      </c>
      <c r="B3" s="143"/>
      <c r="C3" s="143"/>
      <c r="D3" s="62"/>
      <c r="E3" s="143"/>
      <c r="F3" s="143"/>
      <c r="G3" s="143"/>
      <c r="H3" s="21"/>
      <c r="I3" s="22"/>
    </row>
    <row r="4" spans="1:9" s="4" customFormat="1" ht="16.5" customHeight="1" x14ac:dyDescent="0.2">
      <c r="A4" s="20"/>
      <c r="B4" s="143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42"/>
      <c r="C5" s="142"/>
      <c r="D5" s="63"/>
      <c r="E5" s="142"/>
      <c r="F5" s="142"/>
      <c r="G5" s="142"/>
      <c r="H5" s="24"/>
      <c r="I5" s="25"/>
    </row>
    <row r="6" spans="1:9" s="1" customFormat="1" ht="16.5" customHeight="1" x14ac:dyDescent="0.2">
      <c r="A6" s="26"/>
      <c r="B6" s="142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42"/>
      <c r="C7" s="142"/>
      <c r="D7" s="63"/>
      <c r="E7" s="142"/>
      <c r="F7" s="142"/>
      <c r="G7" s="142"/>
      <c r="H7" s="24"/>
      <c r="I7" s="25"/>
    </row>
    <row r="8" spans="1:9" s="4" customFormat="1" ht="16.5" customHeight="1" x14ac:dyDescent="0.2">
      <c r="A8" s="20"/>
      <c r="B8" s="143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43"/>
      <c r="C9" s="143"/>
      <c r="D9" s="62"/>
      <c r="E9" s="143"/>
      <c r="F9" s="143"/>
      <c r="G9" s="143"/>
      <c r="H9" s="21"/>
      <c r="I9" s="22"/>
    </row>
    <row r="10" spans="1:9" s="4" customFormat="1" ht="16.5" customHeight="1" x14ac:dyDescent="0.2">
      <c r="A10" s="20"/>
      <c r="B10" s="143"/>
      <c r="C10" s="242" t="str">
        <f>Rekapitulace!K16</f>
        <v>úsek 2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43"/>
      <c r="C11" s="143"/>
      <c r="D11" s="62"/>
      <c r="E11" s="143"/>
      <c r="F11" s="143"/>
      <c r="G11" s="143"/>
      <c r="H11" s="21"/>
      <c r="I11" s="22"/>
    </row>
    <row r="12" spans="1:9" s="4" customFormat="1" ht="12" customHeight="1" x14ac:dyDescent="0.2">
      <c r="A12" s="23" t="s">
        <v>2</v>
      </c>
      <c r="B12" s="143"/>
      <c r="C12" s="143"/>
      <c r="D12" s="62"/>
      <c r="E12" s="141" t="str">
        <f>Rekapitulace!K5</f>
        <v>Kolomuty</v>
      </c>
      <c r="F12" s="143"/>
      <c r="G12" s="143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43"/>
      <c r="C13" s="143"/>
      <c r="D13" s="62"/>
      <c r="E13" s="143"/>
      <c r="F13" s="143"/>
      <c r="G13" s="143"/>
      <c r="H13" s="21"/>
      <c r="I13" s="22"/>
    </row>
    <row r="14" spans="1:9" s="4" customFormat="1" ht="15.2" customHeight="1" x14ac:dyDescent="0.2">
      <c r="A14" s="23" t="s">
        <v>4</v>
      </c>
      <c r="B14" s="143"/>
      <c r="C14" s="143"/>
      <c r="D14" s="62"/>
      <c r="E14" s="141" t="str">
        <f>Rekapitulace!K7</f>
        <v>Vodovody a kanalizace Mladá Boleslav, a.s.</v>
      </c>
      <c r="F14" s="143"/>
      <c r="G14" s="143"/>
      <c r="H14" s="28"/>
      <c r="I14" s="137"/>
    </row>
    <row r="15" spans="1:9" s="4" customFormat="1" ht="15.2" customHeight="1" x14ac:dyDescent="0.2">
      <c r="A15" s="23" t="s">
        <v>5</v>
      </c>
      <c r="B15" s="143"/>
      <c r="C15" s="143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43"/>
      <c r="C16" s="143"/>
      <c r="D16" s="62"/>
      <c r="E16" s="141"/>
      <c r="F16" s="143"/>
      <c r="G16" s="143"/>
      <c r="H16" s="28"/>
      <c r="I16" s="137"/>
    </row>
    <row r="17" spans="1:13" s="4" customFormat="1" ht="31.35" customHeight="1" thickBot="1" x14ac:dyDescent="0.25">
      <c r="A17" s="20"/>
      <c r="B17" s="143"/>
      <c r="C17" s="143"/>
      <c r="D17" s="62"/>
      <c r="E17" s="143"/>
      <c r="F17" s="143"/>
      <c r="G17" s="266" t="str">
        <f>A1</f>
        <v>Rozpočet stavby (výkaz výměr)</v>
      </c>
      <c r="H17" s="267"/>
      <c r="I17" s="268"/>
    </row>
    <row r="18" spans="1:13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3" s="4" customFormat="1" ht="22.9" customHeight="1" x14ac:dyDescent="0.25">
      <c r="A19" s="30" t="s">
        <v>17</v>
      </c>
      <c r="B19" s="143"/>
      <c r="C19" s="143"/>
      <c r="D19" s="62"/>
      <c r="E19" s="143"/>
      <c r="F19" s="143"/>
      <c r="G19" s="20"/>
      <c r="H19" s="21"/>
      <c r="I19" s="31">
        <f>I20</f>
        <v>1932193.99</v>
      </c>
    </row>
    <row r="20" spans="1:13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I21+I27</f>
        <v>1932193.99</v>
      </c>
    </row>
    <row r="21" spans="1:13" s="8" customFormat="1" ht="22.9" customHeight="1" x14ac:dyDescent="0.2">
      <c r="A21" s="32"/>
      <c r="B21" s="33" t="s">
        <v>10</v>
      </c>
      <c r="C21" s="38" t="s">
        <v>25</v>
      </c>
      <c r="D21" s="66" t="s">
        <v>68</v>
      </c>
      <c r="E21" s="38" t="s">
        <v>30</v>
      </c>
      <c r="F21" s="35"/>
      <c r="G21" s="32"/>
      <c r="H21" s="36"/>
      <c r="I21" s="39">
        <f>I22+I24+I26</f>
        <v>675278.02</v>
      </c>
    </row>
    <row r="22" spans="1:13" s="4" customFormat="1" ht="24" customHeight="1" x14ac:dyDescent="0.2">
      <c r="A22" s="40">
        <v>1</v>
      </c>
      <c r="B22" s="9" t="s">
        <v>21</v>
      </c>
      <c r="C22" s="10" t="s">
        <v>31</v>
      </c>
      <c r="D22" s="67" t="s">
        <v>68</v>
      </c>
      <c r="E22" s="11" t="s">
        <v>32</v>
      </c>
      <c r="F22" s="6" t="s">
        <v>22</v>
      </c>
      <c r="G22" s="58">
        <f>G24</f>
        <v>1213.1000000000001</v>
      </c>
      <c r="H22" s="156">
        <v>20.62</v>
      </c>
      <c r="I22" s="41">
        <f>ROUND(H22*G22,2)</f>
        <v>25014.12</v>
      </c>
    </row>
    <row r="23" spans="1:13" s="14" customFormat="1" outlineLevel="1" x14ac:dyDescent="0.2">
      <c r="A23" s="49"/>
      <c r="B23" s="42" t="s">
        <v>24</v>
      </c>
      <c r="C23" s="50" t="s">
        <v>0</v>
      </c>
      <c r="D23" s="69" t="s">
        <v>41</v>
      </c>
      <c r="E23" s="51" t="s">
        <v>123</v>
      </c>
      <c r="F23" s="52"/>
      <c r="G23" s="60">
        <f>G22</f>
        <v>1213.1000000000001</v>
      </c>
      <c r="H23" s="157"/>
      <c r="I23" s="55"/>
    </row>
    <row r="24" spans="1:13" s="4" customFormat="1" ht="36" customHeight="1" x14ac:dyDescent="0.2">
      <c r="A24" s="40">
        <v>2</v>
      </c>
      <c r="B24" s="9" t="s">
        <v>21</v>
      </c>
      <c r="C24" s="10" t="s">
        <v>33</v>
      </c>
      <c r="D24" s="67" t="s">
        <v>68</v>
      </c>
      <c r="E24" s="11" t="s">
        <v>34</v>
      </c>
      <c r="F24" s="6" t="s">
        <v>22</v>
      </c>
      <c r="G24" s="58">
        <f>G25</f>
        <v>1213.1000000000001</v>
      </c>
      <c r="H24" s="156">
        <v>396.71</v>
      </c>
      <c r="I24" s="41">
        <f>ROUND(H24*G24,2)</f>
        <v>481248.9</v>
      </c>
      <c r="K24" s="203">
        <v>360</v>
      </c>
      <c r="L24" s="203">
        <v>70.45</v>
      </c>
      <c r="M24" s="203">
        <v>254.03</v>
      </c>
    </row>
    <row r="25" spans="1:13" s="14" customFormat="1" outlineLevel="1" x14ac:dyDescent="0.2">
      <c r="A25" s="49"/>
      <c r="B25" s="42" t="s">
        <v>24</v>
      </c>
      <c r="C25" s="50" t="s">
        <v>0</v>
      </c>
      <c r="D25" s="69" t="s">
        <v>41</v>
      </c>
      <c r="E25" s="51" t="str">
        <f>E23</f>
        <v>1979,88 m2 "místní asfalt</v>
      </c>
      <c r="F25" s="52"/>
      <c r="G25" s="60">
        <f>1295.4-82.3</f>
        <v>1213.1000000000001</v>
      </c>
      <c r="H25" s="53"/>
      <c r="I25" s="55"/>
    </row>
    <row r="26" spans="1:13" s="181" customFormat="1" ht="27" customHeight="1" thickBot="1" x14ac:dyDescent="0.25">
      <c r="A26" s="40" t="s">
        <v>153</v>
      </c>
      <c r="B26" s="9"/>
      <c r="C26" s="10" t="s">
        <v>154</v>
      </c>
      <c r="D26" s="67"/>
      <c r="E26" s="11" t="s">
        <v>155</v>
      </c>
      <c r="F26" s="6" t="s">
        <v>100</v>
      </c>
      <c r="G26" s="58">
        <v>35</v>
      </c>
      <c r="H26" s="156">
        <v>4829</v>
      </c>
      <c r="I26" s="41">
        <f t="shared" ref="I26" si="0">ROUND(H26*G26,2)</f>
        <v>169015</v>
      </c>
    </row>
    <row r="27" spans="1:13" ht="12.75" x14ac:dyDescent="0.2">
      <c r="A27" s="71"/>
      <c r="B27" s="72" t="s">
        <v>10</v>
      </c>
      <c r="C27" s="73">
        <v>6</v>
      </c>
      <c r="D27" s="74" t="s">
        <v>68</v>
      </c>
      <c r="E27" s="73" t="s">
        <v>42</v>
      </c>
      <c r="F27" s="75"/>
      <c r="G27" s="71"/>
      <c r="H27" s="76"/>
      <c r="I27" s="77">
        <f>SUBTOTAL(9,I28:I38)</f>
        <v>1256915.97</v>
      </c>
    </row>
    <row r="28" spans="1:13" ht="24" customHeight="1" x14ac:dyDescent="0.2">
      <c r="A28" s="40">
        <v>3</v>
      </c>
      <c r="B28" s="9" t="s">
        <v>21</v>
      </c>
      <c r="C28" s="11" t="s">
        <v>43</v>
      </c>
      <c r="D28" s="12" t="s">
        <v>68</v>
      </c>
      <c r="E28" s="11" t="s">
        <v>75</v>
      </c>
      <c r="F28" s="11" t="s">
        <v>22</v>
      </c>
      <c r="G28" s="58">
        <f>G29</f>
        <v>1273.7550000000001</v>
      </c>
      <c r="H28" s="78">
        <v>257</v>
      </c>
      <c r="I28" s="41">
        <f>ROUND(H28*G28,2)</f>
        <v>327355.03999999998</v>
      </c>
    </row>
    <row r="29" spans="1:13" ht="10.9" customHeigh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86</v>
      </c>
      <c r="F29" s="52"/>
      <c r="G29" s="60">
        <f>G24*1.05</f>
        <v>1273.7550000000001</v>
      </c>
      <c r="H29" s="157"/>
      <c r="I29" s="55"/>
    </row>
    <row r="30" spans="1:13" ht="24" customHeight="1" x14ac:dyDescent="0.2">
      <c r="A30" s="40">
        <v>4</v>
      </c>
      <c r="B30" s="9" t="s">
        <v>21</v>
      </c>
      <c r="C30" s="11" t="s">
        <v>44</v>
      </c>
      <c r="D30" s="12" t="s">
        <v>68</v>
      </c>
      <c r="E30" s="11" t="s">
        <v>74</v>
      </c>
      <c r="F30" s="11" t="s">
        <v>22</v>
      </c>
      <c r="G30" s="58">
        <f>G28</f>
        <v>1273.7550000000001</v>
      </c>
      <c r="H30" s="78">
        <v>333</v>
      </c>
      <c r="I30" s="41">
        <f t="shared" ref="I30:I38" si="1">ROUND(H30*G30,2)</f>
        <v>424160.42</v>
      </c>
    </row>
    <row r="31" spans="1:13" ht="24" customHeight="1" x14ac:dyDescent="0.2">
      <c r="A31" s="40">
        <v>5</v>
      </c>
      <c r="B31" s="9" t="s">
        <v>21</v>
      </c>
      <c r="C31" s="11" t="s">
        <v>45</v>
      </c>
      <c r="D31" s="12" t="s">
        <v>68</v>
      </c>
      <c r="E31" s="11" t="s">
        <v>73</v>
      </c>
      <c r="F31" s="11" t="s">
        <v>22</v>
      </c>
      <c r="G31" s="58">
        <f>G30</f>
        <v>1273.7550000000001</v>
      </c>
      <c r="H31" s="78">
        <v>125</v>
      </c>
      <c r="I31" s="41">
        <f t="shared" si="1"/>
        <v>159219.38</v>
      </c>
    </row>
    <row r="32" spans="1:13" ht="24" customHeight="1" x14ac:dyDescent="0.2">
      <c r="A32" s="40">
        <v>6</v>
      </c>
      <c r="B32" s="9" t="s">
        <v>21</v>
      </c>
      <c r="C32" s="11" t="s">
        <v>46</v>
      </c>
      <c r="D32" s="12" t="s">
        <v>68</v>
      </c>
      <c r="E32" s="11" t="s">
        <v>47</v>
      </c>
      <c r="F32" s="11" t="s">
        <v>29</v>
      </c>
      <c r="G32" s="58">
        <v>0</v>
      </c>
      <c r="H32" s="78">
        <v>2150</v>
      </c>
      <c r="I32" s="41">
        <f t="shared" si="1"/>
        <v>0</v>
      </c>
      <c r="K32" s="203">
        <v>3</v>
      </c>
      <c r="L32" s="203">
        <v>3</v>
      </c>
      <c r="M32" s="203">
        <v>2</v>
      </c>
    </row>
    <row r="33" spans="1:13" ht="24" customHeight="1" x14ac:dyDescent="0.2">
      <c r="A33" s="40">
        <v>7</v>
      </c>
      <c r="B33" s="9" t="s">
        <v>21</v>
      </c>
      <c r="C33" s="11" t="s">
        <v>48</v>
      </c>
      <c r="D33" s="12" t="s">
        <v>68</v>
      </c>
      <c r="E33" s="11" t="s">
        <v>49</v>
      </c>
      <c r="F33" s="11" t="s">
        <v>29</v>
      </c>
      <c r="G33" s="58">
        <v>0</v>
      </c>
      <c r="H33" s="78">
        <v>1200</v>
      </c>
      <c r="I33" s="41">
        <f t="shared" si="1"/>
        <v>0</v>
      </c>
      <c r="K33" s="203">
        <v>4</v>
      </c>
      <c r="L33" s="203">
        <v>10</v>
      </c>
      <c r="M33" s="203">
        <v>4</v>
      </c>
    </row>
    <row r="34" spans="1:13" ht="24" customHeight="1" x14ac:dyDescent="0.2">
      <c r="A34" s="40">
        <v>8</v>
      </c>
      <c r="B34" s="9" t="s">
        <v>21</v>
      </c>
      <c r="C34" s="11" t="s">
        <v>50</v>
      </c>
      <c r="D34" s="12" t="s">
        <v>68</v>
      </c>
      <c r="E34" s="11" t="s">
        <v>51</v>
      </c>
      <c r="F34" s="11" t="s">
        <v>22</v>
      </c>
      <c r="G34" s="58">
        <f>G28</f>
        <v>1273.7550000000001</v>
      </c>
      <c r="H34" s="78">
        <v>6.88</v>
      </c>
      <c r="I34" s="41">
        <f t="shared" si="1"/>
        <v>8763.43</v>
      </c>
    </row>
    <row r="35" spans="1:13" ht="24" customHeight="1" x14ac:dyDescent="0.2">
      <c r="A35" s="40">
        <v>9</v>
      </c>
      <c r="B35" s="9" t="s">
        <v>21</v>
      </c>
      <c r="C35" s="11" t="s">
        <v>52</v>
      </c>
      <c r="D35" s="12" t="s">
        <v>68</v>
      </c>
      <c r="E35" s="11" t="s">
        <v>53</v>
      </c>
      <c r="F35" s="11" t="s">
        <v>22</v>
      </c>
      <c r="G35" s="58">
        <f>G34</f>
        <v>1273.7550000000001</v>
      </c>
      <c r="H35" s="78">
        <v>0.8</v>
      </c>
      <c r="I35" s="41">
        <f t="shared" si="1"/>
        <v>1019</v>
      </c>
    </row>
    <row r="36" spans="1:13" ht="24" customHeight="1" x14ac:dyDescent="0.2">
      <c r="A36" s="54">
        <v>10</v>
      </c>
      <c r="B36" s="15" t="s">
        <v>26</v>
      </c>
      <c r="C36" s="16" t="s">
        <v>54</v>
      </c>
      <c r="D36" s="70" t="s">
        <v>68</v>
      </c>
      <c r="E36" s="17" t="s">
        <v>55</v>
      </c>
      <c r="F36" s="57" t="s">
        <v>40</v>
      </c>
      <c r="G36" s="61">
        <f>G34*0.25*1.6</f>
        <v>509.50200000000007</v>
      </c>
      <c r="H36" s="79">
        <v>429</v>
      </c>
      <c r="I36" s="80">
        <f t="shared" si="1"/>
        <v>218576.36</v>
      </c>
    </row>
    <row r="37" spans="1:13" ht="24" customHeight="1" x14ac:dyDescent="0.2">
      <c r="A37" s="81" t="s">
        <v>56</v>
      </c>
      <c r="B37" s="82"/>
      <c r="C37" s="82"/>
      <c r="D37" s="83" t="s">
        <v>68</v>
      </c>
      <c r="E37" s="82"/>
      <c r="F37" s="84"/>
      <c r="G37" s="85"/>
      <c r="H37" s="86"/>
      <c r="I37" s="87"/>
    </row>
    <row r="38" spans="1:13" ht="24" customHeight="1" thickBot="1" x14ac:dyDescent="0.25">
      <c r="A38" s="91">
        <v>11</v>
      </c>
      <c r="B38" s="92" t="s">
        <v>26</v>
      </c>
      <c r="C38" s="93" t="s">
        <v>57</v>
      </c>
      <c r="D38" s="94" t="s">
        <v>68</v>
      </c>
      <c r="E38" s="97" t="s">
        <v>58</v>
      </c>
      <c r="F38" s="95" t="s">
        <v>28</v>
      </c>
      <c r="G38" s="88">
        <f>G34*25/1000</f>
        <v>31.843875000000004</v>
      </c>
      <c r="H38" s="89">
        <v>3700</v>
      </c>
      <c r="I38" s="90">
        <f t="shared" si="1"/>
        <v>117822.34</v>
      </c>
    </row>
    <row r="41" spans="1:13" ht="12.75" x14ac:dyDescent="0.2">
      <c r="B41" s="208" t="s">
        <v>163</v>
      </c>
      <c r="C41" s="209"/>
      <c r="D41" s="208" t="s">
        <v>168</v>
      </c>
      <c r="F41" s="210" t="s">
        <v>164</v>
      </c>
      <c r="G41" s="208"/>
      <c r="H41" s="211" t="s">
        <v>165</v>
      </c>
    </row>
    <row r="42" spans="1:13" ht="12.75" x14ac:dyDescent="0.2">
      <c r="B42" s="208"/>
      <c r="C42" s="209"/>
      <c r="D42" s="208"/>
      <c r="F42" s="208"/>
      <c r="G42" s="208"/>
      <c r="H42" s="212"/>
    </row>
    <row r="43" spans="1:13" ht="12.75" x14ac:dyDescent="0.2">
      <c r="B43" s="208" t="s">
        <v>166</v>
      </c>
      <c r="C43" s="209"/>
      <c r="D43" s="208" t="s">
        <v>166</v>
      </c>
      <c r="F43" s="208" t="s">
        <v>166</v>
      </c>
      <c r="G43" s="208"/>
      <c r="H43" s="211" t="s">
        <v>169</v>
      </c>
    </row>
    <row r="44" spans="1:13" x14ac:dyDescent="0.2">
      <c r="B44" s="205"/>
      <c r="C44" s="64"/>
      <c r="D44" s="205"/>
      <c r="E44" s="205"/>
      <c r="F44" s="205"/>
      <c r="G44" s="2"/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FC4BC-0F52-4208-B1EF-93BC9A2D8262}">
  <sheetPr>
    <tabColor rgb="FF00B050"/>
    <pageSetUpPr fitToPage="1"/>
  </sheetPr>
  <dimension ref="A1:P48"/>
  <sheetViews>
    <sheetView view="pageBreakPreview" topLeftCell="A34" zoomScale="110" zoomScaleNormal="100" zoomScaleSheetLayoutView="110" workbookViewId="0">
      <selection activeCell="E41" sqref="E41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0" width="9.1640625" style="3"/>
    <col min="11" max="14" width="14.1640625" style="171" customWidth="1"/>
    <col min="15" max="15" width="14.1640625" style="171" hidden="1" customWidth="1"/>
    <col min="16" max="16" width="0" style="3" hidden="1" customWidth="1"/>
    <col min="17" max="16384" width="9.1640625" style="3"/>
  </cols>
  <sheetData>
    <row r="1" spans="1:15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15" s="4" customFormat="1" ht="6.95" customHeight="1" x14ac:dyDescent="0.2">
      <c r="A2" s="20"/>
      <c r="B2" s="175"/>
      <c r="C2" s="175"/>
      <c r="D2" s="62"/>
      <c r="E2" s="175"/>
      <c r="F2" s="175"/>
      <c r="G2" s="175"/>
      <c r="H2" s="21"/>
      <c r="I2" s="22"/>
    </row>
    <row r="3" spans="1:15" s="4" customFormat="1" ht="12" customHeight="1" x14ac:dyDescent="0.2">
      <c r="A3" s="23" t="s">
        <v>1</v>
      </c>
      <c r="B3" s="175"/>
      <c r="C3" s="175"/>
      <c r="D3" s="62"/>
      <c r="E3" s="175"/>
      <c r="F3" s="175"/>
      <c r="G3" s="175"/>
      <c r="H3" s="21"/>
      <c r="I3" s="22"/>
    </row>
    <row r="4" spans="1:15" s="4" customFormat="1" ht="16.5" customHeight="1" x14ac:dyDescent="0.2">
      <c r="A4" s="20"/>
      <c r="B4" s="175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15" s="1" customFormat="1" ht="12" customHeight="1" x14ac:dyDescent="0.2">
      <c r="A5" s="23" t="s">
        <v>11</v>
      </c>
      <c r="B5" s="174"/>
      <c r="C5" s="174"/>
      <c r="D5" s="63"/>
      <c r="E5" s="174"/>
      <c r="F5" s="174"/>
      <c r="G5" s="174"/>
      <c r="H5" s="24"/>
      <c r="I5" s="25"/>
      <c r="K5" s="4"/>
      <c r="L5" s="4"/>
      <c r="M5" s="4"/>
      <c r="N5" s="4"/>
      <c r="O5" s="4"/>
    </row>
    <row r="6" spans="1:15" s="1" customFormat="1" ht="16.5" customHeight="1" x14ac:dyDescent="0.2">
      <c r="A6" s="26"/>
      <c r="B6" s="174"/>
      <c r="C6" s="262" t="s">
        <v>69</v>
      </c>
      <c r="D6" s="262"/>
      <c r="E6" s="263"/>
      <c r="F6" s="263"/>
      <c r="G6" s="263"/>
      <c r="H6" s="24"/>
      <c r="I6" s="25"/>
      <c r="K6" s="4"/>
      <c r="L6" s="4"/>
      <c r="M6" s="4"/>
      <c r="N6" s="4"/>
      <c r="O6" s="4"/>
    </row>
    <row r="7" spans="1:15" s="1" customFormat="1" ht="12" customHeight="1" x14ac:dyDescent="0.2">
      <c r="A7" s="23" t="s">
        <v>38</v>
      </c>
      <c r="B7" s="174"/>
      <c r="C7" s="174"/>
      <c r="D7" s="63"/>
      <c r="E7" s="174"/>
      <c r="F7" s="174"/>
      <c r="G7" s="174"/>
      <c r="H7" s="24"/>
      <c r="I7" s="25"/>
      <c r="K7" s="4"/>
      <c r="L7" s="4"/>
      <c r="M7" s="4"/>
      <c r="N7" s="4"/>
      <c r="O7" s="4"/>
    </row>
    <row r="8" spans="1:15" s="4" customFormat="1" ht="16.5" customHeight="1" x14ac:dyDescent="0.2">
      <c r="A8" s="20"/>
      <c r="B8" s="175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15" s="4" customFormat="1" ht="12" customHeight="1" x14ac:dyDescent="0.2">
      <c r="A9" s="23" t="s">
        <v>39</v>
      </c>
      <c r="B9" s="175"/>
      <c r="C9" s="175"/>
      <c r="D9" s="62"/>
      <c r="E9" s="175"/>
      <c r="F9" s="175"/>
      <c r="G9" s="175"/>
      <c r="H9" s="21"/>
      <c r="I9" s="22"/>
    </row>
    <row r="10" spans="1:15" s="4" customFormat="1" ht="16.5" customHeight="1" x14ac:dyDescent="0.2">
      <c r="A10" s="20"/>
      <c r="B10" s="175"/>
      <c r="C10" s="242" t="str">
        <f>+Rekapitulace!K17</f>
        <v>úsek 3 - v roce 2021</v>
      </c>
      <c r="D10" s="242"/>
      <c r="E10" s="265"/>
      <c r="F10" s="265"/>
      <c r="G10" s="265"/>
      <c r="H10" s="21"/>
      <c r="I10" s="22"/>
    </row>
    <row r="11" spans="1:15" s="4" customFormat="1" ht="6.95" customHeight="1" x14ac:dyDescent="0.2">
      <c r="A11" s="20"/>
      <c r="B11" s="175"/>
      <c r="C11" s="175"/>
      <c r="D11" s="62"/>
      <c r="E11" s="175"/>
      <c r="F11" s="175"/>
      <c r="G11" s="175"/>
      <c r="H11" s="21"/>
      <c r="I11" s="22"/>
    </row>
    <row r="12" spans="1:15" s="4" customFormat="1" ht="12" customHeight="1" x14ac:dyDescent="0.2">
      <c r="A12" s="23" t="s">
        <v>2</v>
      </c>
      <c r="B12" s="175"/>
      <c r="C12" s="175"/>
      <c r="D12" s="62"/>
      <c r="E12" s="173" t="str">
        <f>Rekapitulace!K5</f>
        <v>Kolomuty</v>
      </c>
      <c r="F12" s="175"/>
      <c r="G12" s="175"/>
      <c r="H12" s="28" t="s">
        <v>3</v>
      </c>
      <c r="I12" s="136">
        <f>Rekapitulace!AL5</f>
        <v>44791</v>
      </c>
    </row>
    <row r="13" spans="1:15" s="4" customFormat="1" ht="6.95" customHeight="1" x14ac:dyDescent="0.2">
      <c r="A13" s="20"/>
      <c r="B13" s="175"/>
      <c r="C13" s="175"/>
      <c r="D13" s="62"/>
      <c r="E13" s="175"/>
      <c r="F13" s="175"/>
      <c r="G13" s="175"/>
      <c r="H13" s="21"/>
      <c r="I13" s="22"/>
    </row>
    <row r="14" spans="1:15" s="4" customFormat="1" ht="15.2" customHeight="1" x14ac:dyDescent="0.2">
      <c r="A14" s="23" t="s">
        <v>4</v>
      </c>
      <c r="B14" s="175"/>
      <c r="C14" s="175"/>
      <c r="D14" s="62"/>
      <c r="E14" s="173" t="str">
        <f>Rekapitulace!K7</f>
        <v>Vodovody a kanalizace Mladá Boleslav, a.s.</v>
      </c>
      <c r="F14" s="175"/>
      <c r="G14" s="175"/>
      <c r="H14" s="28"/>
      <c r="I14" s="137"/>
    </row>
    <row r="15" spans="1:15" s="4" customFormat="1" ht="15.2" customHeight="1" x14ac:dyDescent="0.2">
      <c r="A15" s="23" t="s">
        <v>5</v>
      </c>
      <c r="B15" s="175"/>
      <c r="C15" s="175"/>
      <c r="D15" s="62"/>
      <c r="E15" s="173" t="str">
        <f>+Rekapitulace!K8</f>
        <v>VCES a.s</v>
      </c>
      <c r="F15" s="175"/>
      <c r="G15" s="175"/>
      <c r="H15" s="28" t="s">
        <v>6</v>
      </c>
      <c r="I15" s="137" t="str">
        <f>+Rekapitulace!AL8</f>
        <v>VCES a.s.</v>
      </c>
    </row>
    <row r="16" spans="1:15" s="4" customFormat="1" ht="15.2" customHeight="1" thickBot="1" x14ac:dyDescent="0.25">
      <c r="A16" s="23"/>
      <c r="B16" s="175"/>
      <c r="C16" s="175"/>
      <c r="D16" s="62"/>
      <c r="E16" s="173"/>
      <c r="F16" s="175"/>
      <c r="G16" s="175"/>
      <c r="H16" s="28"/>
      <c r="I16" s="137"/>
    </row>
    <row r="17" spans="1:16" s="4" customFormat="1" ht="31.35" customHeight="1" thickBot="1" x14ac:dyDescent="0.25">
      <c r="A17" s="20"/>
      <c r="B17" s="175"/>
      <c r="C17" s="175"/>
      <c r="D17" s="62"/>
      <c r="E17" s="175"/>
      <c r="F17" s="175"/>
      <c r="G17" s="266" t="str">
        <f>A1</f>
        <v>Rozpočet stavby (výkaz výměr)</v>
      </c>
      <c r="H17" s="267"/>
      <c r="I17" s="268"/>
    </row>
    <row r="18" spans="1:16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6" s="4" customFormat="1" ht="22.9" customHeight="1" x14ac:dyDescent="0.25">
      <c r="A19" s="30" t="s">
        <v>17</v>
      </c>
      <c r="B19" s="175"/>
      <c r="C19" s="175"/>
      <c r="D19" s="62"/>
      <c r="E19" s="175"/>
      <c r="F19" s="175"/>
      <c r="G19" s="20"/>
      <c r="H19" s="21"/>
      <c r="I19" s="31">
        <f>I20</f>
        <v>713118.04</v>
      </c>
    </row>
    <row r="20" spans="1:16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I27+I32+I21</f>
        <v>713118.04</v>
      </c>
      <c r="K20" s="166" t="s">
        <v>115</v>
      </c>
      <c r="L20" s="166" t="s">
        <v>114</v>
      </c>
      <c r="M20" s="166" t="s">
        <v>116</v>
      </c>
      <c r="N20" s="166" t="s">
        <v>117</v>
      </c>
      <c r="O20" s="166"/>
    </row>
    <row r="21" spans="1:16" s="8" customFormat="1" ht="25.9" customHeight="1" x14ac:dyDescent="0.2">
      <c r="A21" s="32"/>
      <c r="B21" s="33" t="s">
        <v>10</v>
      </c>
      <c r="C21" s="38">
        <v>1</v>
      </c>
      <c r="D21" s="66" t="s">
        <v>68</v>
      </c>
      <c r="E21" s="38" t="s">
        <v>20</v>
      </c>
      <c r="F21" s="35"/>
      <c r="G21" s="32"/>
      <c r="H21" s="36"/>
      <c r="I21" s="39">
        <f>I22+I24</f>
        <v>0</v>
      </c>
      <c r="K21" s="169"/>
      <c r="L21" s="169"/>
      <c r="M21" s="169"/>
      <c r="N21" s="169"/>
      <c r="O21" s="169"/>
    </row>
    <row r="22" spans="1:16" s="8" customFormat="1" ht="45.6" customHeight="1" x14ac:dyDescent="0.2">
      <c r="A22" s="40">
        <v>1</v>
      </c>
      <c r="B22" s="9" t="s">
        <v>21</v>
      </c>
      <c r="C22" s="10" t="s">
        <v>76</v>
      </c>
      <c r="D22" s="67" t="s">
        <v>68</v>
      </c>
      <c r="E22" s="11" t="s">
        <v>77</v>
      </c>
      <c r="F22" s="6" t="s">
        <v>22</v>
      </c>
      <c r="G22" s="58">
        <v>0</v>
      </c>
      <c r="H22" s="156">
        <v>98.64</v>
      </c>
      <c r="I22" s="41">
        <f>ROUND(H22*G22,2)</f>
        <v>0</v>
      </c>
      <c r="K22" s="169"/>
      <c r="L22" s="169"/>
      <c r="M22" s="169"/>
      <c r="N22" s="167">
        <f>370*5.5</f>
        <v>2035</v>
      </c>
      <c r="O22" s="167"/>
    </row>
    <row r="23" spans="1:16" s="8" customFormat="1" ht="19.149999999999999" customHeight="1" x14ac:dyDescent="0.2">
      <c r="A23" s="20"/>
      <c r="B23" s="42" t="s">
        <v>23</v>
      </c>
      <c r="C23" s="175"/>
      <c r="D23" s="62" t="s">
        <v>68</v>
      </c>
      <c r="E23" s="43" t="s">
        <v>87</v>
      </c>
      <c r="F23" s="175"/>
      <c r="G23" s="20"/>
      <c r="H23" s="158"/>
      <c r="I23" s="22"/>
      <c r="K23" s="169"/>
      <c r="L23" s="169"/>
      <c r="M23" s="169"/>
      <c r="N23" s="169"/>
      <c r="O23" s="169"/>
    </row>
    <row r="24" spans="1:16" s="8" customFormat="1" ht="25.9" customHeight="1" x14ac:dyDescent="0.2">
      <c r="A24" s="40">
        <v>2</v>
      </c>
      <c r="B24" s="9" t="s">
        <v>21</v>
      </c>
      <c r="C24" s="10" t="s">
        <v>35</v>
      </c>
      <c r="D24" s="67" t="s">
        <v>68</v>
      </c>
      <c r="E24" s="11" t="s">
        <v>36</v>
      </c>
      <c r="F24" s="6" t="s">
        <v>28</v>
      </c>
      <c r="G24" s="58">
        <f>G22*0.128</f>
        <v>0</v>
      </c>
      <c r="H24" s="156">
        <v>363.5</v>
      </c>
      <c r="I24" s="41">
        <f>ROUND(H24*G24,2)</f>
        <v>0</v>
      </c>
      <c r="K24" s="169"/>
      <c r="L24" s="169"/>
      <c r="M24" s="169"/>
      <c r="N24" s="167">
        <f>N22*0.128</f>
        <v>260.48</v>
      </c>
      <c r="O24" s="167"/>
    </row>
    <row r="25" spans="1:16" s="8" customFormat="1" ht="10.15" customHeight="1" x14ac:dyDescent="0.2">
      <c r="A25" s="44"/>
      <c r="B25" s="42" t="s">
        <v>24</v>
      </c>
      <c r="C25" s="45" t="s">
        <v>0</v>
      </c>
      <c r="D25" s="68" t="s">
        <v>68</v>
      </c>
      <c r="E25" s="46" t="s">
        <v>37</v>
      </c>
      <c r="F25" s="47"/>
      <c r="G25" s="59" t="s">
        <v>0</v>
      </c>
      <c r="H25" s="48"/>
      <c r="I25" s="56"/>
      <c r="K25" s="169"/>
      <c r="L25" s="169"/>
      <c r="M25" s="169"/>
      <c r="N25" s="169" t="s">
        <v>0</v>
      </c>
      <c r="O25" s="169"/>
    </row>
    <row r="26" spans="1:16" s="8" customFormat="1" ht="10.15" customHeight="1" x14ac:dyDescent="0.2">
      <c r="A26" s="44"/>
      <c r="B26" s="42" t="s">
        <v>24</v>
      </c>
      <c r="C26" s="45" t="s">
        <v>0</v>
      </c>
      <c r="D26" s="68" t="s">
        <v>68</v>
      </c>
      <c r="E26" s="46" t="s">
        <v>27</v>
      </c>
      <c r="F26" s="47"/>
      <c r="G26" s="59" t="s">
        <v>0</v>
      </c>
      <c r="H26" s="48"/>
      <c r="I26" s="56"/>
      <c r="K26" s="169"/>
      <c r="L26" s="169"/>
      <c r="M26" s="169"/>
      <c r="N26" s="169" t="s">
        <v>0</v>
      </c>
      <c r="O26" s="169"/>
    </row>
    <row r="27" spans="1:16" s="8" customFormat="1" ht="22.9" customHeight="1" x14ac:dyDescent="0.2">
      <c r="A27" s="32"/>
      <c r="B27" s="33" t="s">
        <v>10</v>
      </c>
      <c r="C27" s="38" t="s">
        <v>25</v>
      </c>
      <c r="D27" s="66" t="s">
        <v>68</v>
      </c>
      <c r="E27" s="38" t="s">
        <v>30</v>
      </c>
      <c r="F27" s="35"/>
      <c r="G27" s="32"/>
      <c r="H27" s="36"/>
      <c r="I27" s="39">
        <f>I28+I30</f>
        <v>203323.16999999998</v>
      </c>
      <c r="K27" s="169"/>
      <c r="L27" s="169"/>
      <c r="M27" s="169"/>
      <c r="N27" s="169"/>
      <c r="O27" s="169"/>
    </row>
    <row r="28" spans="1:16" s="4" customFormat="1" ht="24" customHeight="1" x14ac:dyDescent="0.2">
      <c r="A28" s="40">
        <v>3</v>
      </c>
      <c r="B28" s="9" t="s">
        <v>21</v>
      </c>
      <c r="C28" s="10" t="s">
        <v>31</v>
      </c>
      <c r="D28" s="67" t="s">
        <v>68</v>
      </c>
      <c r="E28" s="11" t="s">
        <v>32</v>
      </c>
      <c r="F28" s="6" t="s">
        <v>22</v>
      </c>
      <c r="G28" s="58">
        <f>G30</f>
        <v>487.2</v>
      </c>
      <c r="H28" s="156">
        <v>20.62</v>
      </c>
      <c r="I28" s="41">
        <f>ROUND(H28*G28,2)</f>
        <v>10046.06</v>
      </c>
      <c r="K28" s="167">
        <f>1664.7+365.5</f>
        <v>2030.2</v>
      </c>
      <c r="L28" s="167">
        <v>1543</v>
      </c>
      <c r="M28" s="167">
        <f>+K28-L28</f>
        <v>487.20000000000005</v>
      </c>
      <c r="N28" s="167">
        <f>N30</f>
        <v>2861</v>
      </c>
      <c r="O28" s="167">
        <f>+N28-M28</f>
        <v>2373.8000000000002</v>
      </c>
      <c r="P28" s="167">
        <f>+O28-G28</f>
        <v>1886.6000000000001</v>
      </c>
    </row>
    <row r="29" spans="1:16" s="14" customForma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127</v>
      </c>
      <c r="F29" s="52"/>
      <c r="G29" s="60">
        <f>G28</f>
        <v>487.2</v>
      </c>
      <c r="H29" s="157"/>
      <c r="I29" s="55"/>
      <c r="K29" s="168">
        <v>2030.2</v>
      </c>
      <c r="L29" s="168">
        <v>1543</v>
      </c>
      <c r="M29" s="168"/>
      <c r="N29" s="168">
        <f>N28</f>
        <v>2861</v>
      </c>
      <c r="O29" s="167">
        <f t="shared" ref="O29:O43" si="0">+N29-M29</f>
        <v>2861</v>
      </c>
      <c r="P29" s="167">
        <f t="shared" ref="P29:P43" si="1">+O29-G29</f>
        <v>2373.8000000000002</v>
      </c>
    </row>
    <row r="30" spans="1:16" s="4" customFormat="1" ht="36" customHeight="1" x14ac:dyDescent="0.2">
      <c r="A30" s="40">
        <v>4</v>
      </c>
      <c r="B30" s="9" t="s">
        <v>21</v>
      </c>
      <c r="C30" s="10" t="s">
        <v>33</v>
      </c>
      <c r="D30" s="67" t="s">
        <v>68</v>
      </c>
      <c r="E30" s="11" t="s">
        <v>34</v>
      </c>
      <c r="F30" s="6" t="s">
        <v>22</v>
      </c>
      <c r="G30" s="58">
        <f>G31</f>
        <v>487.2</v>
      </c>
      <c r="H30" s="156">
        <v>396.71</v>
      </c>
      <c r="I30" s="41">
        <f>ROUND(H30*G30,2)</f>
        <v>193277.11</v>
      </c>
      <c r="K30" s="167">
        <v>2030.2</v>
      </c>
      <c r="L30" s="167">
        <v>1543</v>
      </c>
      <c r="M30" s="167">
        <f>+K30-L30</f>
        <v>487.20000000000005</v>
      </c>
      <c r="N30" s="167">
        <f>N31</f>
        <v>2861</v>
      </c>
      <c r="O30" s="167">
        <f t="shared" si="0"/>
        <v>2373.8000000000002</v>
      </c>
      <c r="P30" s="167">
        <f t="shared" si="1"/>
        <v>1886.6000000000001</v>
      </c>
    </row>
    <row r="31" spans="1:16" s="14" customFormat="1" ht="12" outlineLevel="1" thickBot="1" x14ac:dyDescent="0.25">
      <c r="A31" s="49"/>
      <c r="B31" s="42" t="s">
        <v>24</v>
      </c>
      <c r="C31" s="50" t="s">
        <v>0</v>
      </c>
      <c r="D31" s="69" t="s">
        <v>41</v>
      </c>
      <c r="E31" s="51" t="str">
        <f>E29</f>
        <v>487,2 "místní asfalt</v>
      </c>
      <c r="F31" s="52"/>
      <c r="G31" s="60">
        <v>487.2</v>
      </c>
      <c r="H31" s="53"/>
      <c r="I31" s="55"/>
      <c r="K31" s="168">
        <v>2030.2</v>
      </c>
      <c r="L31" s="168">
        <v>1543</v>
      </c>
      <c r="M31" s="168"/>
      <c r="N31" s="168">
        <v>2861</v>
      </c>
      <c r="O31" s="167">
        <f t="shared" si="0"/>
        <v>2861</v>
      </c>
      <c r="P31" s="167">
        <f t="shared" si="1"/>
        <v>2373.8000000000002</v>
      </c>
    </row>
    <row r="32" spans="1:16" ht="12.75" x14ac:dyDescent="0.2">
      <c r="A32" s="71"/>
      <c r="B32" s="72" t="s">
        <v>10</v>
      </c>
      <c r="C32" s="73">
        <v>6</v>
      </c>
      <c r="D32" s="74" t="s">
        <v>68</v>
      </c>
      <c r="E32" s="73" t="s">
        <v>42</v>
      </c>
      <c r="F32" s="75"/>
      <c r="G32" s="71"/>
      <c r="H32" s="76"/>
      <c r="I32" s="77">
        <f>SUBTOTAL(9,I33:I43)</f>
        <v>509794.87000000005</v>
      </c>
      <c r="K32" s="170"/>
      <c r="L32" s="170"/>
      <c r="M32" s="170"/>
      <c r="N32" s="170"/>
      <c r="O32" s="167">
        <f t="shared" si="0"/>
        <v>0</v>
      </c>
      <c r="P32" s="167">
        <f t="shared" si="1"/>
        <v>0</v>
      </c>
    </row>
    <row r="33" spans="1:16" ht="24" customHeight="1" x14ac:dyDescent="0.2">
      <c r="A33" s="40">
        <v>5</v>
      </c>
      <c r="B33" s="9" t="s">
        <v>21</v>
      </c>
      <c r="C33" s="11" t="s">
        <v>43</v>
      </c>
      <c r="D33" s="12" t="s">
        <v>68</v>
      </c>
      <c r="E33" s="11" t="s">
        <v>75</v>
      </c>
      <c r="F33" s="11" t="s">
        <v>22</v>
      </c>
      <c r="G33" s="58">
        <f>G34</f>
        <v>555.66</v>
      </c>
      <c r="H33" s="78">
        <v>236</v>
      </c>
      <c r="I33" s="41">
        <f>ROUND(H33*G33,2)</f>
        <v>131135.76</v>
      </c>
      <c r="K33" s="170">
        <f>+K28*1.05</f>
        <v>2131.71</v>
      </c>
      <c r="L33" s="170">
        <v>1620.15</v>
      </c>
      <c r="M33" s="167">
        <f>+K33-L33</f>
        <v>511.55999999999995</v>
      </c>
      <c r="N33" s="167">
        <f>N34</f>
        <v>3004.05</v>
      </c>
      <c r="O33" s="167">
        <f t="shared" si="0"/>
        <v>2492.4900000000002</v>
      </c>
      <c r="P33" s="167">
        <f t="shared" si="1"/>
        <v>1936.8300000000004</v>
      </c>
    </row>
    <row r="34" spans="1:16" ht="10.9" customHeight="1" outlineLevel="1" x14ac:dyDescent="0.2">
      <c r="A34" s="49"/>
      <c r="B34" s="42" t="s">
        <v>24</v>
      </c>
      <c r="C34" s="50" t="s">
        <v>0</v>
      </c>
      <c r="D34" s="69" t="s">
        <v>41</v>
      </c>
      <c r="E34" s="51" t="s">
        <v>126</v>
      </c>
      <c r="F34" s="52"/>
      <c r="G34" s="60">
        <f>G30*1.05+44.1</f>
        <v>555.66</v>
      </c>
      <c r="H34" s="157"/>
      <c r="I34" s="55"/>
      <c r="K34" s="170"/>
      <c r="L34" s="170">
        <v>1620.15</v>
      </c>
      <c r="M34" s="170"/>
      <c r="N34" s="170">
        <f>N30*1.05</f>
        <v>3004.05</v>
      </c>
      <c r="O34" s="167">
        <f t="shared" si="0"/>
        <v>3004.05</v>
      </c>
      <c r="P34" s="167">
        <f t="shared" si="1"/>
        <v>2448.3900000000003</v>
      </c>
    </row>
    <row r="35" spans="1:16" ht="24" customHeight="1" x14ac:dyDescent="0.2">
      <c r="A35" s="40">
        <v>6</v>
      </c>
      <c r="B35" s="9" t="s">
        <v>21</v>
      </c>
      <c r="C35" s="11" t="s">
        <v>44</v>
      </c>
      <c r="D35" s="12" t="s">
        <v>68</v>
      </c>
      <c r="E35" s="11" t="s">
        <v>74</v>
      </c>
      <c r="F35" s="11" t="s">
        <v>22</v>
      </c>
      <c r="G35" s="58">
        <f>G33</f>
        <v>555.66</v>
      </c>
      <c r="H35" s="78">
        <v>300</v>
      </c>
      <c r="I35" s="41">
        <f t="shared" ref="I35:I43" si="2">ROUND(H35*G35,2)</f>
        <v>166698</v>
      </c>
      <c r="K35" s="170">
        <f>+K30*1.05</f>
        <v>2131.71</v>
      </c>
      <c r="L35" s="170">
        <v>1620.15</v>
      </c>
      <c r="M35" s="167">
        <f t="shared" ref="M35:M41" si="3">+K35-L35</f>
        <v>511.55999999999995</v>
      </c>
      <c r="N35" s="167">
        <f>N33</f>
        <v>3004.05</v>
      </c>
      <c r="O35" s="167">
        <f t="shared" si="0"/>
        <v>2492.4900000000002</v>
      </c>
      <c r="P35" s="167">
        <f t="shared" si="1"/>
        <v>1936.8300000000004</v>
      </c>
    </row>
    <row r="36" spans="1:16" ht="24" customHeight="1" x14ac:dyDescent="0.2">
      <c r="A36" s="40">
        <v>7</v>
      </c>
      <c r="B36" s="9" t="s">
        <v>21</v>
      </c>
      <c r="C36" s="11" t="s">
        <v>45</v>
      </c>
      <c r="D36" s="12" t="s">
        <v>68</v>
      </c>
      <c r="E36" s="11" t="s">
        <v>73</v>
      </c>
      <c r="F36" s="11" t="s">
        <v>22</v>
      </c>
      <c r="G36" s="58">
        <f>G35</f>
        <v>555.66</v>
      </c>
      <c r="H36" s="78">
        <v>115</v>
      </c>
      <c r="I36" s="41">
        <f t="shared" si="2"/>
        <v>63900.9</v>
      </c>
      <c r="K36" s="170">
        <f>+K31*1.05</f>
        <v>2131.71</v>
      </c>
      <c r="L36" s="170">
        <v>1620.15</v>
      </c>
      <c r="M36" s="167">
        <f t="shared" si="3"/>
        <v>511.55999999999995</v>
      </c>
      <c r="N36" s="167">
        <f>N35</f>
        <v>3004.05</v>
      </c>
      <c r="O36" s="167">
        <f t="shared" si="0"/>
        <v>2492.4900000000002</v>
      </c>
      <c r="P36" s="167">
        <f t="shared" si="1"/>
        <v>1936.8300000000004</v>
      </c>
    </row>
    <row r="37" spans="1:16" ht="24" customHeight="1" x14ac:dyDescent="0.2">
      <c r="A37" s="40">
        <v>8</v>
      </c>
      <c r="B37" s="9" t="s">
        <v>21</v>
      </c>
      <c r="C37" s="11" t="s">
        <v>46</v>
      </c>
      <c r="D37" s="12" t="s">
        <v>68</v>
      </c>
      <c r="E37" s="11" t="s">
        <v>47</v>
      </c>
      <c r="F37" s="11" t="s">
        <v>29</v>
      </c>
      <c r="G37" s="58">
        <v>4</v>
      </c>
      <c r="H37" s="78">
        <v>1870</v>
      </c>
      <c r="I37" s="41">
        <f t="shared" si="2"/>
        <v>7480</v>
      </c>
      <c r="K37" s="170">
        <v>9</v>
      </c>
      <c r="L37" s="170">
        <v>5</v>
      </c>
      <c r="M37" s="167">
        <f t="shared" si="3"/>
        <v>4</v>
      </c>
      <c r="N37" s="167">
        <v>13</v>
      </c>
      <c r="O37" s="167">
        <f t="shared" si="0"/>
        <v>9</v>
      </c>
      <c r="P37" s="167">
        <f t="shared" si="1"/>
        <v>5</v>
      </c>
    </row>
    <row r="38" spans="1:16" ht="24" customHeight="1" x14ac:dyDescent="0.2">
      <c r="A38" s="40">
        <v>9</v>
      </c>
      <c r="B38" s="9" t="s">
        <v>21</v>
      </c>
      <c r="C38" s="11" t="s">
        <v>48</v>
      </c>
      <c r="D38" s="12" t="s">
        <v>68</v>
      </c>
      <c r="E38" s="11" t="s">
        <v>49</v>
      </c>
      <c r="F38" s="11" t="s">
        <v>29</v>
      </c>
      <c r="G38" s="58">
        <v>9</v>
      </c>
      <c r="H38" s="78">
        <v>1050</v>
      </c>
      <c r="I38" s="41">
        <f t="shared" si="2"/>
        <v>9450</v>
      </c>
      <c r="K38" s="170">
        <v>13</v>
      </c>
      <c r="L38" s="170">
        <v>4</v>
      </c>
      <c r="M38" s="167">
        <f t="shared" si="3"/>
        <v>9</v>
      </c>
      <c r="N38" s="167">
        <v>24</v>
      </c>
      <c r="O38" s="167">
        <f t="shared" si="0"/>
        <v>15</v>
      </c>
      <c r="P38" s="167">
        <f t="shared" si="1"/>
        <v>6</v>
      </c>
    </row>
    <row r="39" spans="1:16" ht="24" customHeight="1" x14ac:dyDescent="0.2">
      <c r="A39" s="40">
        <v>10</v>
      </c>
      <c r="B39" s="9" t="s">
        <v>21</v>
      </c>
      <c r="C39" s="11" t="s">
        <v>50</v>
      </c>
      <c r="D39" s="12" t="s">
        <v>68</v>
      </c>
      <c r="E39" s="11" t="s">
        <v>51</v>
      </c>
      <c r="F39" s="11" t="s">
        <v>22</v>
      </c>
      <c r="G39" s="58">
        <f>G33</f>
        <v>555.66</v>
      </c>
      <c r="H39" s="78">
        <v>6.22</v>
      </c>
      <c r="I39" s="41">
        <f t="shared" si="2"/>
        <v>3456.21</v>
      </c>
      <c r="K39" s="170">
        <f>+K33</f>
        <v>2131.71</v>
      </c>
      <c r="L39" s="170">
        <v>1620.15</v>
      </c>
      <c r="M39" s="167">
        <f t="shared" si="3"/>
        <v>511.55999999999995</v>
      </c>
      <c r="N39" s="167">
        <f>N33</f>
        <v>3004.05</v>
      </c>
      <c r="O39" s="167">
        <f t="shared" si="0"/>
        <v>2492.4900000000002</v>
      </c>
      <c r="P39" s="167">
        <f t="shared" si="1"/>
        <v>1936.8300000000004</v>
      </c>
    </row>
    <row r="40" spans="1:16" ht="24" customHeight="1" x14ac:dyDescent="0.2">
      <c r="A40" s="40">
        <v>11</v>
      </c>
      <c r="B40" s="9" t="s">
        <v>21</v>
      </c>
      <c r="C40" s="11" t="s">
        <v>52</v>
      </c>
      <c r="D40" s="12" t="s">
        <v>68</v>
      </c>
      <c r="E40" s="11" t="s">
        <v>53</v>
      </c>
      <c r="F40" s="11" t="s">
        <v>22</v>
      </c>
      <c r="G40" s="58">
        <f>G39</f>
        <v>555.66</v>
      </c>
      <c r="H40" s="78">
        <v>0.67</v>
      </c>
      <c r="I40" s="41">
        <f t="shared" si="2"/>
        <v>372.29</v>
      </c>
      <c r="K40" s="170">
        <f>+K33</f>
        <v>2131.71</v>
      </c>
      <c r="L40" s="170">
        <v>1620.15</v>
      </c>
      <c r="M40" s="167">
        <f t="shared" si="3"/>
        <v>511.55999999999995</v>
      </c>
      <c r="N40" s="167">
        <f>N39</f>
        <v>3004.05</v>
      </c>
      <c r="O40" s="167">
        <f t="shared" si="0"/>
        <v>2492.4900000000002</v>
      </c>
      <c r="P40" s="167">
        <f t="shared" si="1"/>
        <v>1936.8300000000004</v>
      </c>
    </row>
    <row r="41" spans="1:16" ht="24" customHeight="1" x14ac:dyDescent="0.2">
      <c r="A41" s="54">
        <v>12</v>
      </c>
      <c r="B41" s="15" t="s">
        <v>26</v>
      </c>
      <c r="C41" s="16" t="s">
        <v>54</v>
      </c>
      <c r="D41" s="70" t="s">
        <v>68</v>
      </c>
      <c r="E41" s="17" t="s">
        <v>55</v>
      </c>
      <c r="F41" s="57" t="s">
        <v>40</v>
      </c>
      <c r="G41" s="61">
        <f>G39*0.25*1.6</f>
        <v>222.26400000000001</v>
      </c>
      <c r="H41" s="79">
        <v>404</v>
      </c>
      <c r="I41" s="80">
        <f t="shared" si="2"/>
        <v>89794.66</v>
      </c>
      <c r="K41" s="170">
        <f>K39*0.25*1.6</f>
        <v>852.68400000000008</v>
      </c>
      <c r="L41" s="170">
        <v>648.06000000000006</v>
      </c>
      <c r="M41" s="167">
        <f t="shared" si="3"/>
        <v>204.62400000000002</v>
      </c>
      <c r="N41" s="167">
        <f>N39*0.25*1.6</f>
        <v>1201.6200000000001</v>
      </c>
      <c r="O41" s="167">
        <f t="shared" si="0"/>
        <v>996.99600000000009</v>
      </c>
      <c r="P41" s="167">
        <f t="shared" si="1"/>
        <v>774.73200000000008</v>
      </c>
    </row>
    <row r="42" spans="1:16" ht="24" customHeight="1" x14ac:dyDescent="0.2">
      <c r="A42" s="81" t="s">
        <v>56</v>
      </c>
      <c r="B42" s="82"/>
      <c r="C42" s="82"/>
      <c r="D42" s="83" t="s">
        <v>68</v>
      </c>
      <c r="E42" s="82"/>
      <c r="F42" s="84"/>
      <c r="G42" s="85"/>
      <c r="H42" s="86"/>
      <c r="I42" s="87"/>
      <c r="K42" s="170"/>
      <c r="L42" s="170"/>
      <c r="M42" s="170"/>
      <c r="N42" s="170"/>
      <c r="O42" s="167">
        <f t="shared" si="0"/>
        <v>0</v>
      </c>
      <c r="P42" s="167">
        <f t="shared" si="1"/>
        <v>0</v>
      </c>
    </row>
    <row r="43" spans="1:16" ht="24" customHeight="1" thickBot="1" x14ac:dyDescent="0.25">
      <c r="A43" s="91">
        <v>13</v>
      </c>
      <c r="B43" s="92" t="s">
        <v>26</v>
      </c>
      <c r="C43" s="93" t="s">
        <v>57</v>
      </c>
      <c r="D43" s="94" t="s">
        <v>68</v>
      </c>
      <c r="E43" s="97" t="s">
        <v>58</v>
      </c>
      <c r="F43" s="95" t="s">
        <v>28</v>
      </c>
      <c r="G43" s="88">
        <f>G39*25/1000</f>
        <v>13.891500000000001</v>
      </c>
      <c r="H43" s="89">
        <v>2700</v>
      </c>
      <c r="I43" s="90">
        <f t="shared" si="2"/>
        <v>37507.050000000003</v>
      </c>
      <c r="K43" s="170">
        <f>K39*25/1000</f>
        <v>53.292749999999998</v>
      </c>
      <c r="L43" s="170">
        <v>40.503749999999997</v>
      </c>
      <c r="M43" s="167">
        <f>+K43-L43</f>
        <v>12.789000000000001</v>
      </c>
      <c r="N43" s="167">
        <f>N39*25/1000</f>
        <v>75.101249999999993</v>
      </c>
      <c r="O43" s="167">
        <f t="shared" si="0"/>
        <v>62.312249999999992</v>
      </c>
      <c r="P43" s="167">
        <f t="shared" si="1"/>
        <v>48.420749999999991</v>
      </c>
    </row>
    <row r="46" spans="1:16" ht="12.75" x14ac:dyDescent="0.2">
      <c r="B46" s="208" t="s">
        <v>163</v>
      </c>
      <c r="C46" s="209"/>
      <c r="D46" s="208" t="s">
        <v>168</v>
      </c>
      <c r="E46" s="205"/>
      <c r="F46" s="210" t="s">
        <v>164</v>
      </c>
      <c r="G46" s="208"/>
      <c r="H46" s="211" t="s">
        <v>165</v>
      </c>
    </row>
    <row r="47" spans="1:16" ht="12.75" x14ac:dyDescent="0.2">
      <c r="B47" s="208"/>
      <c r="C47" s="209"/>
      <c r="D47" s="208"/>
      <c r="E47" s="205"/>
      <c r="F47" s="208"/>
      <c r="G47" s="208"/>
      <c r="H47" s="212"/>
    </row>
    <row r="48" spans="1:16" ht="12.75" x14ac:dyDescent="0.2">
      <c r="B48" s="208" t="s">
        <v>166</v>
      </c>
      <c r="C48" s="209"/>
      <c r="D48" s="208" t="s">
        <v>166</v>
      </c>
      <c r="E48" s="205"/>
      <c r="F48" s="208" t="s">
        <v>166</v>
      </c>
      <c r="G48" s="208"/>
      <c r="H48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4B093D-52B6-4096-AE0D-7A4B32AE7DBB}">
  <sheetPr>
    <tabColor rgb="FFFFC000"/>
    <pageSetUpPr fitToPage="1"/>
  </sheetPr>
  <dimension ref="A1:U49"/>
  <sheetViews>
    <sheetView view="pageBreakPreview" topLeftCell="B36" zoomScale="110" zoomScaleNormal="100" zoomScaleSheetLayoutView="110" workbookViewId="0">
      <selection activeCell="B47" sqref="B47:H49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0" width="9.1640625" style="3"/>
    <col min="11" max="14" width="14.1640625" style="171" customWidth="1"/>
    <col min="15" max="15" width="14.1640625" style="171" hidden="1" customWidth="1"/>
    <col min="16" max="16" width="0" style="3" hidden="1" customWidth="1"/>
    <col min="17" max="16384" width="9.1640625" style="3"/>
  </cols>
  <sheetData>
    <row r="1" spans="1:15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15" s="4" customFormat="1" ht="6.95" customHeight="1" x14ac:dyDescent="0.2">
      <c r="A2" s="20"/>
      <c r="B2" s="135"/>
      <c r="C2" s="135"/>
      <c r="D2" s="62"/>
      <c r="E2" s="135"/>
      <c r="F2" s="135"/>
      <c r="G2" s="135"/>
      <c r="H2" s="21"/>
      <c r="I2" s="22"/>
    </row>
    <row r="3" spans="1:15" s="4" customFormat="1" ht="12" customHeight="1" x14ac:dyDescent="0.2">
      <c r="A3" s="23" t="s">
        <v>1</v>
      </c>
      <c r="B3" s="135"/>
      <c r="C3" s="135"/>
      <c r="D3" s="62"/>
      <c r="E3" s="135"/>
      <c r="F3" s="135"/>
      <c r="G3" s="135"/>
      <c r="H3" s="21"/>
      <c r="I3" s="22"/>
    </row>
    <row r="4" spans="1:15" s="4" customFormat="1" ht="16.5" customHeight="1" x14ac:dyDescent="0.2">
      <c r="A4" s="20"/>
      <c r="B4" s="135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15" s="1" customFormat="1" ht="12" customHeight="1" x14ac:dyDescent="0.2">
      <c r="A5" s="23" t="s">
        <v>11</v>
      </c>
      <c r="B5" s="134"/>
      <c r="C5" s="134"/>
      <c r="D5" s="63"/>
      <c r="E5" s="134"/>
      <c r="F5" s="134"/>
      <c r="G5" s="134"/>
      <c r="H5" s="24"/>
      <c r="I5" s="25"/>
      <c r="K5" s="4"/>
      <c r="L5" s="4"/>
      <c r="M5" s="4"/>
      <c r="N5" s="4"/>
      <c r="O5" s="4"/>
    </row>
    <row r="6" spans="1:15" s="1" customFormat="1" ht="16.5" customHeight="1" x14ac:dyDescent="0.2">
      <c r="A6" s="26"/>
      <c r="B6" s="134"/>
      <c r="C6" s="262" t="s">
        <v>69</v>
      </c>
      <c r="D6" s="262"/>
      <c r="E6" s="263"/>
      <c r="F6" s="263"/>
      <c r="G6" s="263"/>
      <c r="H6" s="24"/>
      <c r="I6" s="25"/>
      <c r="K6" s="4"/>
      <c r="L6" s="4"/>
      <c r="M6" s="4"/>
      <c r="N6" s="4"/>
      <c r="O6" s="4"/>
    </row>
    <row r="7" spans="1:15" s="1" customFormat="1" ht="12" customHeight="1" x14ac:dyDescent="0.2">
      <c r="A7" s="23" t="s">
        <v>38</v>
      </c>
      <c r="B7" s="134"/>
      <c r="C7" s="134"/>
      <c r="D7" s="63"/>
      <c r="E7" s="134"/>
      <c r="F7" s="134"/>
      <c r="G7" s="134"/>
      <c r="H7" s="24"/>
      <c r="I7" s="25"/>
      <c r="K7" s="4"/>
      <c r="L7" s="4"/>
      <c r="M7" s="4"/>
      <c r="N7" s="4"/>
      <c r="O7" s="4"/>
    </row>
    <row r="8" spans="1:15" s="4" customFormat="1" ht="16.5" customHeight="1" x14ac:dyDescent="0.2">
      <c r="A8" s="20"/>
      <c r="B8" s="135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15" s="4" customFormat="1" ht="12" customHeight="1" x14ac:dyDescent="0.2">
      <c r="A9" s="23" t="s">
        <v>39</v>
      </c>
      <c r="B9" s="135"/>
      <c r="C9" s="135"/>
      <c r="D9" s="62"/>
      <c r="E9" s="135"/>
      <c r="F9" s="135"/>
      <c r="G9" s="135"/>
      <c r="H9" s="21"/>
      <c r="I9" s="22"/>
    </row>
    <row r="10" spans="1:15" s="4" customFormat="1" ht="16.5" customHeight="1" x14ac:dyDescent="0.2">
      <c r="A10" s="20"/>
      <c r="B10" s="135"/>
      <c r="C10" s="242" t="str">
        <f>Rekapitulace!K18</f>
        <v>úsek 3  v roce 2022</v>
      </c>
      <c r="D10" s="242"/>
      <c r="E10" s="265"/>
      <c r="F10" s="265"/>
      <c r="G10" s="265"/>
      <c r="H10" s="21"/>
      <c r="I10" s="22"/>
    </row>
    <row r="11" spans="1:15" s="4" customFormat="1" ht="6.95" customHeight="1" x14ac:dyDescent="0.2">
      <c r="A11" s="20"/>
      <c r="B11" s="135"/>
      <c r="C11" s="135"/>
      <c r="D11" s="62"/>
      <c r="E11" s="135"/>
      <c r="F11" s="135"/>
      <c r="G11" s="135"/>
      <c r="H11" s="21"/>
      <c r="I11" s="22"/>
    </row>
    <row r="12" spans="1:15" s="4" customFormat="1" ht="12" customHeight="1" x14ac:dyDescent="0.2">
      <c r="A12" s="23" t="s">
        <v>2</v>
      </c>
      <c r="B12" s="135"/>
      <c r="C12" s="135"/>
      <c r="D12" s="62"/>
      <c r="E12" s="27" t="str">
        <f>Rekapitulace!K5</f>
        <v>Kolomuty</v>
      </c>
      <c r="F12" s="135"/>
      <c r="G12" s="135"/>
      <c r="H12" s="28" t="s">
        <v>3</v>
      </c>
      <c r="I12" s="136">
        <f>Rekapitulace!AL5</f>
        <v>44791</v>
      </c>
    </row>
    <row r="13" spans="1:15" s="4" customFormat="1" ht="6.95" customHeight="1" x14ac:dyDescent="0.2">
      <c r="A13" s="20"/>
      <c r="B13" s="135"/>
      <c r="C13" s="135"/>
      <c r="D13" s="62"/>
      <c r="E13" s="135"/>
      <c r="F13" s="135"/>
      <c r="G13" s="135"/>
      <c r="H13" s="21"/>
      <c r="I13" s="22"/>
    </row>
    <row r="14" spans="1:15" s="4" customFormat="1" ht="15.2" customHeight="1" x14ac:dyDescent="0.2">
      <c r="A14" s="23" t="s">
        <v>4</v>
      </c>
      <c r="B14" s="135"/>
      <c r="C14" s="135"/>
      <c r="D14" s="62"/>
      <c r="E14" s="27" t="str">
        <f>Rekapitulace!K7</f>
        <v>Vodovody a kanalizace Mladá Boleslav, a.s.</v>
      </c>
      <c r="F14" s="135"/>
      <c r="G14" s="135"/>
      <c r="H14" s="28"/>
      <c r="I14" s="137"/>
    </row>
    <row r="15" spans="1:15" s="4" customFormat="1" ht="15.2" customHeight="1" x14ac:dyDescent="0.2">
      <c r="A15" s="23" t="s">
        <v>5</v>
      </c>
      <c r="B15" s="135"/>
      <c r="C15" s="135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15" s="4" customFormat="1" ht="15.2" customHeight="1" thickBot="1" x14ac:dyDescent="0.25">
      <c r="A16" s="23"/>
      <c r="B16" s="135"/>
      <c r="C16" s="135"/>
      <c r="D16" s="62"/>
      <c r="E16" s="27"/>
      <c r="F16" s="135"/>
      <c r="G16" s="135"/>
      <c r="H16" s="28"/>
      <c r="I16" s="137"/>
    </row>
    <row r="17" spans="1:21" s="4" customFormat="1" ht="31.35" customHeight="1" thickBot="1" x14ac:dyDescent="0.25">
      <c r="A17" s="20"/>
      <c r="B17" s="135"/>
      <c r="C17" s="135"/>
      <c r="D17" s="62"/>
      <c r="E17" s="135"/>
      <c r="F17" s="135"/>
      <c r="G17" s="266" t="str">
        <f>A1</f>
        <v>Rozpočet stavby (výkaz výměr)</v>
      </c>
      <c r="H17" s="267"/>
      <c r="I17" s="268"/>
    </row>
    <row r="18" spans="1:21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21" s="4" customFormat="1" ht="22.9" customHeight="1" x14ac:dyDescent="0.25">
      <c r="A19" s="30" t="s">
        <v>17</v>
      </c>
      <c r="B19" s="135"/>
      <c r="C19" s="135"/>
      <c r="D19" s="62"/>
      <c r="E19" s="135"/>
      <c r="F19" s="135"/>
      <c r="G19" s="20"/>
      <c r="H19" s="21"/>
      <c r="I19" s="31">
        <f>I20</f>
        <v>2522537.92</v>
      </c>
    </row>
    <row r="20" spans="1:21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I27+I33+I21</f>
        <v>2522537.92</v>
      </c>
      <c r="K20" s="166" t="s">
        <v>115</v>
      </c>
      <c r="L20" s="166" t="s">
        <v>114</v>
      </c>
      <c r="M20" s="166" t="s">
        <v>116</v>
      </c>
      <c r="N20" s="166" t="s">
        <v>117</v>
      </c>
      <c r="O20" s="166"/>
    </row>
    <row r="21" spans="1:21" s="8" customFormat="1" ht="25.9" customHeight="1" x14ac:dyDescent="0.2">
      <c r="A21" s="32"/>
      <c r="B21" s="33" t="s">
        <v>10</v>
      </c>
      <c r="C21" s="38">
        <v>1</v>
      </c>
      <c r="D21" s="66" t="s">
        <v>68</v>
      </c>
      <c r="E21" s="38" t="s">
        <v>20</v>
      </c>
      <c r="F21" s="35"/>
      <c r="G21" s="32"/>
      <c r="H21" s="36"/>
      <c r="I21" s="39">
        <f>I22+I24</f>
        <v>214276.68</v>
      </c>
      <c r="K21" s="169"/>
      <c r="L21" s="169"/>
      <c r="M21" s="169"/>
      <c r="N21" s="169"/>
      <c r="O21" s="169"/>
    </row>
    <row r="22" spans="1:21" s="8" customFormat="1" ht="45.6" customHeight="1" x14ac:dyDescent="0.2">
      <c r="A22" s="40">
        <v>1</v>
      </c>
      <c r="B22" s="9" t="s">
        <v>21</v>
      </c>
      <c r="C22" s="10" t="s">
        <v>76</v>
      </c>
      <c r="D22" s="67" t="s">
        <v>68</v>
      </c>
      <c r="E22" s="11" t="s">
        <v>77</v>
      </c>
      <c r="F22" s="6" t="s">
        <v>22</v>
      </c>
      <c r="G22" s="58">
        <f>2507-R30-S30-T30</f>
        <v>1476.06</v>
      </c>
      <c r="H22" s="156">
        <v>98.64</v>
      </c>
      <c r="I22" s="41">
        <f>ROUND(H22*G22,2)</f>
        <v>145598.56</v>
      </c>
      <c r="K22" s="169"/>
      <c r="L22" s="169"/>
      <c r="M22" s="169"/>
      <c r="N22" s="167">
        <f>370*5.5</f>
        <v>2035</v>
      </c>
      <c r="O22" s="167"/>
    </row>
    <row r="23" spans="1:21" s="8" customFormat="1" ht="19.149999999999999" customHeight="1" x14ac:dyDescent="0.2">
      <c r="A23" s="20"/>
      <c r="B23" s="42" t="s">
        <v>23</v>
      </c>
      <c r="C23" s="135"/>
      <c r="D23" s="62" t="s">
        <v>68</v>
      </c>
      <c r="E23" s="43" t="s">
        <v>87</v>
      </c>
      <c r="F23" s="135"/>
      <c r="G23" s="20"/>
      <c r="H23" s="158"/>
      <c r="I23" s="22"/>
      <c r="K23" s="169"/>
      <c r="L23" s="169"/>
      <c r="M23" s="169"/>
      <c r="N23" s="169"/>
      <c r="O23" s="169"/>
    </row>
    <row r="24" spans="1:21" s="8" customFormat="1" ht="25.9" customHeight="1" x14ac:dyDescent="0.2">
      <c r="A24" s="40">
        <v>2</v>
      </c>
      <c r="B24" s="9" t="s">
        <v>21</v>
      </c>
      <c r="C24" s="10" t="s">
        <v>35</v>
      </c>
      <c r="D24" s="67" t="s">
        <v>68</v>
      </c>
      <c r="E24" s="11" t="s">
        <v>36</v>
      </c>
      <c r="F24" s="6" t="s">
        <v>28</v>
      </c>
      <c r="G24" s="58">
        <f>G22*0.128</f>
        <v>188.93567999999999</v>
      </c>
      <c r="H24" s="156">
        <v>363.5</v>
      </c>
      <c r="I24" s="41">
        <f>ROUND(H24*G24,2)</f>
        <v>68678.12</v>
      </c>
      <c r="K24" s="169"/>
      <c r="L24" s="169"/>
      <c r="M24" s="169"/>
      <c r="N24" s="167">
        <f>N22*0.128</f>
        <v>260.48</v>
      </c>
      <c r="O24" s="167"/>
    </row>
    <row r="25" spans="1:21" s="8" customFormat="1" ht="10.15" customHeight="1" x14ac:dyDescent="0.2">
      <c r="A25" s="44"/>
      <c r="B25" s="42" t="s">
        <v>24</v>
      </c>
      <c r="C25" s="45" t="s">
        <v>0</v>
      </c>
      <c r="D25" s="68" t="s">
        <v>68</v>
      </c>
      <c r="E25" s="46" t="s">
        <v>37</v>
      </c>
      <c r="F25" s="47"/>
      <c r="G25" s="59" t="s">
        <v>0</v>
      </c>
      <c r="H25" s="48"/>
      <c r="I25" s="56"/>
      <c r="K25" s="169"/>
      <c r="L25" s="169"/>
      <c r="M25" s="169"/>
      <c r="N25" s="169" t="s">
        <v>0</v>
      </c>
      <c r="O25" s="169"/>
    </row>
    <row r="26" spans="1:21" s="8" customFormat="1" ht="10.15" customHeight="1" x14ac:dyDescent="0.2">
      <c r="A26" s="44"/>
      <c r="B26" s="42" t="s">
        <v>24</v>
      </c>
      <c r="C26" s="45" t="s">
        <v>0</v>
      </c>
      <c r="D26" s="68" t="s">
        <v>68</v>
      </c>
      <c r="E26" s="46" t="s">
        <v>27</v>
      </c>
      <c r="F26" s="47"/>
      <c r="G26" s="59" t="s">
        <v>0</v>
      </c>
      <c r="H26" s="48"/>
      <c r="I26" s="56"/>
      <c r="K26" s="169"/>
      <c r="L26" s="169"/>
      <c r="M26" s="169"/>
      <c r="N26" s="169" t="s">
        <v>0</v>
      </c>
      <c r="O26" s="169"/>
    </row>
    <row r="27" spans="1:21" s="8" customFormat="1" ht="22.9" customHeight="1" x14ac:dyDescent="0.2">
      <c r="A27" s="32"/>
      <c r="B27" s="33" t="s">
        <v>10</v>
      </c>
      <c r="C27" s="38" t="s">
        <v>25</v>
      </c>
      <c r="D27" s="66" t="s">
        <v>68</v>
      </c>
      <c r="E27" s="38" t="s">
        <v>30</v>
      </c>
      <c r="F27" s="35"/>
      <c r="G27" s="32"/>
      <c r="H27" s="36"/>
      <c r="I27" s="39">
        <f>I28+I30+I32</f>
        <v>804546.74</v>
      </c>
      <c r="K27" s="169"/>
      <c r="L27" s="169"/>
      <c r="M27" s="169"/>
      <c r="N27" s="169"/>
      <c r="O27" s="169"/>
    </row>
    <row r="28" spans="1:21" s="4" customFormat="1" ht="24" customHeight="1" x14ac:dyDescent="0.2">
      <c r="A28" s="40">
        <v>3</v>
      </c>
      <c r="B28" s="9" t="s">
        <v>21</v>
      </c>
      <c r="C28" s="10" t="s">
        <v>31</v>
      </c>
      <c r="D28" s="67" t="s">
        <v>68</v>
      </c>
      <c r="E28" s="11" t="s">
        <v>32</v>
      </c>
      <c r="F28" s="6" t="s">
        <v>22</v>
      </c>
      <c r="G28" s="58">
        <f>G30</f>
        <v>1407.14</v>
      </c>
      <c r="H28" s="156">
        <v>20.62</v>
      </c>
      <c r="I28" s="41">
        <f>ROUND(H28*G28,2)</f>
        <v>29015.23</v>
      </c>
      <c r="K28" s="167">
        <f>1664.7+365.5</f>
        <v>2030.2</v>
      </c>
      <c r="L28" s="167">
        <v>1543</v>
      </c>
      <c r="M28" s="167">
        <f>+K28-L28</f>
        <v>487.20000000000005</v>
      </c>
      <c r="N28" s="167">
        <f>N30</f>
        <v>2861</v>
      </c>
      <c r="O28" s="167">
        <f>+N28-M28</f>
        <v>2373.8000000000002</v>
      </c>
      <c r="P28" s="167">
        <f>+O28-G28</f>
        <v>966.66000000000008</v>
      </c>
    </row>
    <row r="29" spans="1:21" s="14" customForma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143</v>
      </c>
      <c r="F29" s="52"/>
      <c r="G29" s="60">
        <f>G28</f>
        <v>1407.14</v>
      </c>
      <c r="H29" s="157"/>
      <c r="I29" s="55"/>
      <c r="K29" s="168">
        <v>2030.2</v>
      </c>
      <c r="L29" s="168">
        <v>1543</v>
      </c>
      <c r="M29" s="168"/>
      <c r="N29" s="168">
        <f>N28</f>
        <v>2861</v>
      </c>
      <c r="O29" s="167">
        <f t="shared" ref="O29:O44" si="0">+N29-M29</f>
        <v>2861</v>
      </c>
      <c r="P29" s="167">
        <f t="shared" ref="P29:P44" si="1">+O29-G29</f>
        <v>1453.86</v>
      </c>
    </row>
    <row r="30" spans="1:21" s="4" customFormat="1" ht="36" customHeight="1" x14ac:dyDescent="0.2">
      <c r="A30" s="40">
        <v>4</v>
      </c>
      <c r="B30" s="9" t="s">
        <v>21</v>
      </c>
      <c r="C30" s="10" t="s">
        <v>33</v>
      </c>
      <c r="D30" s="67" t="s">
        <v>68</v>
      </c>
      <c r="E30" s="11" t="s">
        <v>34</v>
      </c>
      <c r="F30" s="6" t="s">
        <v>22</v>
      </c>
      <c r="G30" s="58">
        <f>G31</f>
        <v>1407.14</v>
      </c>
      <c r="H30" s="156">
        <v>396.71</v>
      </c>
      <c r="I30" s="41">
        <f>ROUND(H30*G30,2)</f>
        <v>558226.51</v>
      </c>
      <c r="K30" s="167">
        <v>2030.2</v>
      </c>
      <c r="L30" s="167">
        <v>1543</v>
      </c>
      <c r="M30" s="167">
        <f>+K30-L30</f>
        <v>487.20000000000005</v>
      </c>
      <c r="N30" s="167">
        <f>N31</f>
        <v>2861</v>
      </c>
      <c r="O30" s="167">
        <f t="shared" si="0"/>
        <v>2373.8000000000002</v>
      </c>
      <c r="P30" s="167">
        <f t="shared" si="1"/>
        <v>966.66000000000008</v>
      </c>
      <c r="R30" s="203">
        <v>228.42000000000002</v>
      </c>
      <c r="S30" s="203">
        <v>520.78</v>
      </c>
      <c r="T30" s="203">
        <v>281.74</v>
      </c>
      <c r="U30" s="203">
        <f>+G30-R30-S30-T30</f>
        <v>376.20000000000005</v>
      </c>
    </row>
    <row r="31" spans="1:21" s="14" customFormat="1" outlineLevel="1" x14ac:dyDescent="0.2">
      <c r="A31" s="49"/>
      <c r="B31" s="42" t="s">
        <v>24</v>
      </c>
      <c r="C31" s="50" t="s">
        <v>0</v>
      </c>
      <c r="D31" s="69" t="s">
        <v>41</v>
      </c>
      <c r="E31" s="51" t="str">
        <f>E29</f>
        <v>2688,08 m2 "místní asfalt</v>
      </c>
      <c r="F31" s="52"/>
      <c r="G31" s="60">
        <f>1657.14-250</f>
        <v>1407.14</v>
      </c>
      <c r="H31" s="53"/>
      <c r="I31" s="55"/>
      <c r="K31" s="168">
        <v>2030.2</v>
      </c>
      <c r="L31" s="168">
        <v>1543</v>
      </c>
      <c r="M31" s="168"/>
      <c r="N31" s="168">
        <v>2861</v>
      </c>
      <c r="O31" s="167">
        <f t="shared" si="0"/>
        <v>2861</v>
      </c>
      <c r="P31" s="167">
        <f t="shared" si="1"/>
        <v>1453.86</v>
      </c>
    </row>
    <row r="32" spans="1:21" s="181" customFormat="1" ht="27" customHeight="1" thickBot="1" x14ac:dyDescent="0.25">
      <c r="A32" s="40" t="s">
        <v>153</v>
      </c>
      <c r="B32" s="9"/>
      <c r="C32" s="10" t="s">
        <v>154</v>
      </c>
      <c r="D32" s="67"/>
      <c r="E32" s="11" t="s">
        <v>155</v>
      </c>
      <c r="F32" s="6" t="s">
        <v>100</v>
      </c>
      <c r="G32" s="58">
        <v>45</v>
      </c>
      <c r="H32" s="156">
        <v>4829</v>
      </c>
      <c r="I32" s="41">
        <f t="shared" ref="I32" si="2">ROUND(H32*G32,2)</f>
        <v>217305</v>
      </c>
    </row>
    <row r="33" spans="1:21" ht="12.75" x14ac:dyDescent="0.2">
      <c r="A33" s="71"/>
      <c r="B33" s="72" t="s">
        <v>10</v>
      </c>
      <c r="C33" s="73">
        <v>6</v>
      </c>
      <c r="D33" s="74" t="s">
        <v>68</v>
      </c>
      <c r="E33" s="73" t="s">
        <v>42</v>
      </c>
      <c r="F33" s="75"/>
      <c r="G33" s="71"/>
      <c r="H33" s="76"/>
      <c r="I33" s="77">
        <f>SUBTOTAL(9,I34:I44)</f>
        <v>1503714.4999999998</v>
      </c>
      <c r="K33" s="170"/>
      <c r="L33" s="170"/>
      <c r="M33" s="170"/>
      <c r="N33" s="170"/>
      <c r="O33" s="167">
        <f t="shared" si="0"/>
        <v>0</v>
      </c>
      <c r="P33" s="167">
        <f t="shared" si="1"/>
        <v>0</v>
      </c>
    </row>
    <row r="34" spans="1:21" ht="24" customHeight="1" x14ac:dyDescent="0.2">
      <c r="A34" s="40">
        <v>5</v>
      </c>
      <c r="B34" s="9" t="s">
        <v>21</v>
      </c>
      <c r="C34" s="11" t="s">
        <v>43</v>
      </c>
      <c r="D34" s="12" t="s">
        <v>68</v>
      </c>
      <c r="E34" s="11" t="s">
        <v>75</v>
      </c>
      <c r="F34" s="11" t="s">
        <v>22</v>
      </c>
      <c r="G34" s="58">
        <f>G35</f>
        <v>1477.4970000000001</v>
      </c>
      <c r="H34" s="78">
        <v>257</v>
      </c>
      <c r="I34" s="41">
        <f>ROUND(H34*G34,2)</f>
        <v>379716.73</v>
      </c>
      <c r="K34" s="170">
        <f>+K28*1.05</f>
        <v>2131.71</v>
      </c>
      <c r="L34" s="170">
        <v>1620.15</v>
      </c>
      <c r="M34" s="167">
        <f>+K34-L34</f>
        <v>511.55999999999995</v>
      </c>
      <c r="N34" s="167">
        <f>N35</f>
        <v>3004.05</v>
      </c>
      <c r="O34" s="167">
        <f t="shared" si="0"/>
        <v>2492.4900000000002</v>
      </c>
      <c r="P34" s="167">
        <f t="shared" si="1"/>
        <v>1014.9930000000002</v>
      </c>
    </row>
    <row r="35" spans="1:21" ht="10.9" customHeight="1" outlineLevel="1" x14ac:dyDescent="0.2">
      <c r="A35" s="49"/>
      <c r="B35" s="42" t="s">
        <v>24</v>
      </c>
      <c r="C35" s="50" t="s">
        <v>0</v>
      </c>
      <c r="D35" s="69" t="s">
        <v>41</v>
      </c>
      <c r="E35" s="51" t="s">
        <v>144</v>
      </c>
      <c r="F35" s="52"/>
      <c r="G35" s="60">
        <f>G30*1.05</f>
        <v>1477.4970000000001</v>
      </c>
      <c r="H35" s="157"/>
      <c r="I35" s="55"/>
      <c r="K35" s="170"/>
      <c r="L35" s="170">
        <v>1620.15</v>
      </c>
      <c r="M35" s="170"/>
      <c r="N35" s="170">
        <f>N30*1.05</f>
        <v>3004.05</v>
      </c>
      <c r="O35" s="167">
        <f t="shared" si="0"/>
        <v>3004.05</v>
      </c>
      <c r="P35" s="167">
        <f t="shared" si="1"/>
        <v>1526.5530000000001</v>
      </c>
    </row>
    <row r="36" spans="1:21" ht="24" customHeight="1" x14ac:dyDescent="0.2">
      <c r="A36" s="40">
        <v>6</v>
      </c>
      <c r="B36" s="9" t="s">
        <v>21</v>
      </c>
      <c r="C36" s="11" t="s">
        <v>44</v>
      </c>
      <c r="D36" s="12" t="s">
        <v>68</v>
      </c>
      <c r="E36" s="11" t="s">
        <v>74</v>
      </c>
      <c r="F36" s="11" t="s">
        <v>22</v>
      </c>
      <c r="G36" s="58">
        <f>G34</f>
        <v>1477.4970000000001</v>
      </c>
      <c r="H36" s="78">
        <v>333</v>
      </c>
      <c r="I36" s="41">
        <f t="shared" ref="I36:I44" si="3">ROUND(H36*G36,2)</f>
        <v>492006.5</v>
      </c>
      <c r="K36" s="170">
        <f>+K30*1.05</f>
        <v>2131.71</v>
      </c>
      <c r="L36" s="170">
        <v>1620.15</v>
      </c>
      <c r="M36" s="167">
        <f t="shared" ref="M36:M42" si="4">+K36-L36</f>
        <v>511.55999999999995</v>
      </c>
      <c r="N36" s="167">
        <f>N34</f>
        <v>3004.05</v>
      </c>
      <c r="O36" s="167">
        <f t="shared" si="0"/>
        <v>2492.4900000000002</v>
      </c>
      <c r="P36" s="167">
        <f t="shared" si="1"/>
        <v>1014.9930000000002</v>
      </c>
    </row>
    <row r="37" spans="1:21" ht="24" customHeight="1" x14ac:dyDescent="0.2">
      <c r="A37" s="40">
        <v>7</v>
      </c>
      <c r="B37" s="9" t="s">
        <v>21</v>
      </c>
      <c r="C37" s="11" t="s">
        <v>45</v>
      </c>
      <c r="D37" s="12" t="s">
        <v>68</v>
      </c>
      <c r="E37" s="11" t="s">
        <v>73</v>
      </c>
      <c r="F37" s="11" t="s">
        <v>22</v>
      </c>
      <c r="G37" s="58">
        <f>G36</f>
        <v>1477.4970000000001</v>
      </c>
      <c r="H37" s="78">
        <v>125</v>
      </c>
      <c r="I37" s="41">
        <f t="shared" si="3"/>
        <v>184687.13</v>
      </c>
      <c r="K37" s="170">
        <f>+K31*1.05</f>
        <v>2131.71</v>
      </c>
      <c r="L37" s="170">
        <v>1620.15</v>
      </c>
      <c r="M37" s="167">
        <f t="shared" si="4"/>
        <v>511.55999999999995</v>
      </c>
      <c r="N37" s="167">
        <f>N36</f>
        <v>3004.05</v>
      </c>
      <c r="O37" s="167">
        <f t="shared" si="0"/>
        <v>2492.4900000000002</v>
      </c>
      <c r="P37" s="167">
        <f t="shared" si="1"/>
        <v>1014.9930000000002</v>
      </c>
    </row>
    <row r="38" spans="1:21" ht="24" customHeight="1" x14ac:dyDescent="0.2">
      <c r="A38" s="40">
        <v>8</v>
      </c>
      <c r="B38" s="9" t="s">
        <v>21</v>
      </c>
      <c r="C38" s="11" t="s">
        <v>46</v>
      </c>
      <c r="D38" s="12" t="s">
        <v>68</v>
      </c>
      <c r="E38" s="11" t="s">
        <v>47</v>
      </c>
      <c r="F38" s="11" t="s">
        <v>29</v>
      </c>
      <c r="G38" s="58">
        <v>9</v>
      </c>
      <c r="H38" s="78">
        <v>2150</v>
      </c>
      <c r="I38" s="41">
        <f t="shared" si="3"/>
        <v>19350</v>
      </c>
      <c r="K38" s="170">
        <v>9</v>
      </c>
      <c r="L38" s="170">
        <v>5</v>
      </c>
      <c r="M38" s="167">
        <f t="shared" si="4"/>
        <v>4</v>
      </c>
      <c r="N38" s="167">
        <v>13</v>
      </c>
      <c r="O38" s="167">
        <f t="shared" si="0"/>
        <v>9</v>
      </c>
      <c r="P38" s="167">
        <f t="shared" si="1"/>
        <v>0</v>
      </c>
      <c r="R38" s="203">
        <v>3</v>
      </c>
      <c r="S38" s="203">
        <v>3</v>
      </c>
      <c r="T38" s="203">
        <v>3</v>
      </c>
      <c r="U38" s="203">
        <f>+G38-R38-S38-T38</f>
        <v>0</v>
      </c>
    </row>
    <row r="39" spans="1:21" ht="24" customHeight="1" x14ac:dyDescent="0.2">
      <c r="A39" s="40">
        <v>9</v>
      </c>
      <c r="B39" s="9" t="s">
        <v>21</v>
      </c>
      <c r="C39" s="11" t="s">
        <v>48</v>
      </c>
      <c r="D39" s="12" t="s">
        <v>68</v>
      </c>
      <c r="E39" s="11" t="s">
        <v>49</v>
      </c>
      <c r="F39" s="11" t="s">
        <v>29</v>
      </c>
      <c r="G39" s="58">
        <v>22</v>
      </c>
      <c r="H39" s="78">
        <v>1200</v>
      </c>
      <c r="I39" s="41">
        <f t="shared" si="3"/>
        <v>26400</v>
      </c>
      <c r="K39" s="170">
        <v>13</v>
      </c>
      <c r="L39" s="170">
        <v>4</v>
      </c>
      <c r="M39" s="167">
        <f t="shared" si="4"/>
        <v>9</v>
      </c>
      <c r="N39" s="167">
        <v>24</v>
      </c>
      <c r="O39" s="167">
        <f t="shared" si="0"/>
        <v>15</v>
      </c>
      <c r="P39" s="167">
        <f t="shared" si="1"/>
        <v>-7</v>
      </c>
      <c r="R39" s="203">
        <v>7</v>
      </c>
      <c r="S39" s="203">
        <v>7</v>
      </c>
      <c r="T39" s="203">
        <v>8</v>
      </c>
      <c r="U39" s="203">
        <f>+G39-R39-S39-T39</f>
        <v>0</v>
      </c>
    </row>
    <row r="40" spans="1:21" ht="24" customHeight="1" x14ac:dyDescent="0.2">
      <c r="A40" s="40">
        <v>10</v>
      </c>
      <c r="B40" s="9" t="s">
        <v>21</v>
      </c>
      <c r="C40" s="11" t="s">
        <v>50</v>
      </c>
      <c r="D40" s="12" t="s">
        <v>68</v>
      </c>
      <c r="E40" s="11" t="s">
        <v>51</v>
      </c>
      <c r="F40" s="11" t="s">
        <v>22</v>
      </c>
      <c r="G40" s="58">
        <f>G34</f>
        <v>1477.4970000000001</v>
      </c>
      <c r="H40" s="78">
        <v>6.88</v>
      </c>
      <c r="I40" s="41">
        <f t="shared" si="3"/>
        <v>10165.18</v>
      </c>
      <c r="K40" s="170">
        <f>+K34</f>
        <v>2131.71</v>
      </c>
      <c r="L40" s="170">
        <v>1620.15</v>
      </c>
      <c r="M40" s="167">
        <f t="shared" si="4"/>
        <v>511.55999999999995</v>
      </c>
      <c r="N40" s="167">
        <f>N34</f>
        <v>3004.05</v>
      </c>
      <c r="O40" s="167">
        <f t="shared" si="0"/>
        <v>2492.4900000000002</v>
      </c>
      <c r="P40" s="167">
        <f t="shared" si="1"/>
        <v>1014.9930000000002</v>
      </c>
    </row>
    <row r="41" spans="1:21" ht="24" customHeight="1" x14ac:dyDescent="0.2">
      <c r="A41" s="40">
        <v>11</v>
      </c>
      <c r="B41" s="9" t="s">
        <v>21</v>
      </c>
      <c r="C41" s="11" t="s">
        <v>52</v>
      </c>
      <c r="D41" s="12" t="s">
        <v>68</v>
      </c>
      <c r="E41" s="11" t="s">
        <v>53</v>
      </c>
      <c r="F41" s="11" t="s">
        <v>22</v>
      </c>
      <c r="G41" s="58">
        <f>G40</f>
        <v>1477.4970000000001</v>
      </c>
      <c r="H41" s="78">
        <v>0.8</v>
      </c>
      <c r="I41" s="41">
        <f t="shared" si="3"/>
        <v>1182</v>
      </c>
      <c r="K41" s="170">
        <f>+K34</f>
        <v>2131.71</v>
      </c>
      <c r="L41" s="170">
        <v>1620.15</v>
      </c>
      <c r="M41" s="167">
        <f t="shared" si="4"/>
        <v>511.55999999999995</v>
      </c>
      <c r="N41" s="167">
        <f>N40</f>
        <v>3004.05</v>
      </c>
      <c r="O41" s="167">
        <f t="shared" si="0"/>
        <v>2492.4900000000002</v>
      </c>
      <c r="P41" s="167">
        <f t="shared" si="1"/>
        <v>1014.9930000000002</v>
      </c>
    </row>
    <row r="42" spans="1:21" ht="24" customHeight="1" x14ac:dyDescent="0.2">
      <c r="A42" s="54">
        <v>12</v>
      </c>
      <c r="B42" s="15" t="s">
        <v>26</v>
      </c>
      <c r="C42" s="16" t="s">
        <v>54</v>
      </c>
      <c r="D42" s="70" t="s">
        <v>68</v>
      </c>
      <c r="E42" s="17" t="s">
        <v>55</v>
      </c>
      <c r="F42" s="57" t="s">
        <v>40</v>
      </c>
      <c r="G42" s="61">
        <f>G40*0.25*1.6</f>
        <v>590.99880000000007</v>
      </c>
      <c r="H42" s="79">
        <v>429</v>
      </c>
      <c r="I42" s="80">
        <f t="shared" si="3"/>
        <v>253538.49</v>
      </c>
      <c r="K42" s="170">
        <f>K40*0.25*1.6</f>
        <v>852.68400000000008</v>
      </c>
      <c r="L42" s="170">
        <v>648.06000000000006</v>
      </c>
      <c r="M42" s="167">
        <f t="shared" si="4"/>
        <v>204.62400000000002</v>
      </c>
      <c r="N42" s="167">
        <f>N40*0.25*1.6</f>
        <v>1201.6200000000001</v>
      </c>
      <c r="O42" s="167">
        <f t="shared" si="0"/>
        <v>996.99600000000009</v>
      </c>
      <c r="P42" s="167">
        <f t="shared" si="1"/>
        <v>405.99720000000002</v>
      </c>
    </row>
    <row r="43" spans="1:21" ht="24" customHeight="1" x14ac:dyDescent="0.2">
      <c r="A43" s="81" t="s">
        <v>56</v>
      </c>
      <c r="B43" s="82"/>
      <c r="C43" s="82"/>
      <c r="D43" s="83" t="s">
        <v>68</v>
      </c>
      <c r="E43" s="82"/>
      <c r="F43" s="84"/>
      <c r="G43" s="85"/>
      <c r="H43" s="86"/>
      <c r="I43" s="87"/>
      <c r="K43" s="170"/>
      <c r="L43" s="170"/>
      <c r="M43" s="170"/>
      <c r="N43" s="170"/>
      <c r="O43" s="167">
        <f t="shared" si="0"/>
        <v>0</v>
      </c>
      <c r="P43" s="167">
        <f t="shared" si="1"/>
        <v>0</v>
      </c>
    </row>
    <row r="44" spans="1:21" ht="24" customHeight="1" thickBot="1" x14ac:dyDescent="0.25">
      <c r="A44" s="91">
        <v>13</v>
      </c>
      <c r="B44" s="92" t="s">
        <v>26</v>
      </c>
      <c r="C44" s="93" t="s">
        <v>57</v>
      </c>
      <c r="D44" s="94" t="s">
        <v>68</v>
      </c>
      <c r="E44" s="97" t="s">
        <v>58</v>
      </c>
      <c r="F44" s="95" t="s">
        <v>28</v>
      </c>
      <c r="G44" s="88">
        <f>G40*25/1000</f>
        <v>36.937425000000005</v>
      </c>
      <c r="H44" s="89">
        <v>3700</v>
      </c>
      <c r="I44" s="90">
        <f t="shared" si="3"/>
        <v>136668.47</v>
      </c>
      <c r="K44" s="170">
        <f>K40*25/1000</f>
        <v>53.292749999999998</v>
      </c>
      <c r="L44" s="170">
        <v>40.503749999999997</v>
      </c>
      <c r="M44" s="167">
        <f>+K44-L44</f>
        <v>12.789000000000001</v>
      </c>
      <c r="N44" s="167">
        <f>N40*25/1000</f>
        <v>75.101249999999993</v>
      </c>
      <c r="O44" s="167">
        <f t="shared" si="0"/>
        <v>62.312249999999992</v>
      </c>
      <c r="P44" s="167">
        <f t="shared" si="1"/>
        <v>25.374824999999987</v>
      </c>
    </row>
    <row r="47" spans="1:21" ht="12.75" x14ac:dyDescent="0.2">
      <c r="B47" s="208" t="s">
        <v>163</v>
      </c>
      <c r="C47" s="209"/>
      <c r="D47" s="208" t="s">
        <v>168</v>
      </c>
      <c r="E47" s="205"/>
      <c r="F47" s="210" t="s">
        <v>164</v>
      </c>
      <c r="G47" s="208"/>
      <c r="H47" s="211" t="s">
        <v>165</v>
      </c>
    </row>
    <row r="48" spans="1:21" ht="12.75" x14ac:dyDescent="0.2">
      <c r="B48" s="208"/>
      <c r="C48" s="209"/>
      <c r="D48" s="208"/>
      <c r="E48" s="205"/>
      <c r="F48" s="208"/>
      <c r="G48" s="208"/>
      <c r="H48" s="212"/>
    </row>
    <row r="49" spans="2:8" ht="12.75" x14ac:dyDescent="0.2">
      <c r="B49" s="208" t="s">
        <v>166</v>
      </c>
      <c r="C49" s="209"/>
      <c r="D49" s="208" t="s">
        <v>166</v>
      </c>
      <c r="E49" s="205"/>
      <c r="F49" s="208" t="s">
        <v>166</v>
      </c>
      <c r="G49" s="208"/>
      <c r="H49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honeticPr fontId="0" type="noConversion"/>
  <pageMargins left="0.7" right="0.7" top="0.78740157499999996" bottom="0.78740157499999996" header="0.3" footer="0.3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DF0F0-9B0E-4829-9B9B-A25B611A506C}">
  <sheetPr>
    <pageSetUpPr fitToPage="1"/>
  </sheetPr>
  <dimension ref="A1:L43"/>
  <sheetViews>
    <sheetView view="pageBreakPreview" topLeftCell="A30" zoomScale="110" zoomScaleNormal="100" zoomScaleSheetLayoutView="110" workbookViewId="0">
      <selection activeCell="B41" sqref="B41:H43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35"/>
      <c r="C2" s="135"/>
      <c r="D2" s="62"/>
      <c r="E2" s="135"/>
      <c r="F2" s="135"/>
      <c r="G2" s="135"/>
      <c r="H2" s="21"/>
      <c r="I2" s="22"/>
    </row>
    <row r="3" spans="1:9" s="4" customFormat="1" ht="12" customHeight="1" x14ac:dyDescent="0.2">
      <c r="A3" s="23" t="s">
        <v>1</v>
      </c>
      <c r="B3" s="135"/>
      <c r="C3" s="135"/>
      <c r="D3" s="62"/>
      <c r="E3" s="135"/>
      <c r="F3" s="135"/>
      <c r="G3" s="135"/>
      <c r="H3" s="21"/>
      <c r="I3" s="22"/>
    </row>
    <row r="4" spans="1:9" s="4" customFormat="1" ht="16.5" customHeight="1" x14ac:dyDescent="0.2">
      <c r="A4" s="20"/>
      <c r="B4" s="135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34"/>
      <c r="C5" s="134"/>
      <c r="D5" s="63"/>
      <c r="E5" s="134"/>
      <c r="F5" s="134"/>
      <c r="G5" s="134"/>
      <c r="H5" s="24"/>
      <c r="I5" s="25"/>
    </row>
    <row r="6" spans="1:9" s="1" customFormat="1" ht="16.5" customHeight="1" x14ac:dyDescent="0.2">
      <c r="A6" s="26"/>
      <c r="B6" s="134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34"/>
      <c r="C7" s="134"/>
      <c r="D7" s="63"/>
      <c r="E7" s="134"/>
      <c r="F7" s="134"/>
      <c r="G7" s="134"/>
      <c r="H7" s="24"/>
      <c r="I7" s="25"/>
    </row>
    <row r="8" spans="1:9" s="4" customFormat="1" ht="16.5" customHeight="1" x14ac:dyDescent="0.2">
      <c r="A8" s="20"/>
      <c r="B8" s="135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35"/>
      <c r="C9" s="135"/>
      <c r="D9" s="62"/>
      <c r="E9" s="135"/>
      <c r="F9" s="135"/>
      <c r="G9" s="135"/>
      <c r="H9" s="21"/>
      <c r="I9" s="22"/>
    </row>
    <row r="10" spans="1:9" s="4" customFormat="1" ht="16.5" customHeight="1" x14ac:dyDescent="0.2">
      <c r="A10" s="20"/>
      <c r="B10" s="135"/>
      <c r="C10" s="242" t="str">
        <f>Rekapitulace!K19</f>
        <v>úsek 4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35"/>
      <c r="C11" s="135"/>
      <c r="D11" s="62"/>
      <c r="E11" s="135"/>
      <c r="F11" s="135"/>
      <c r="G11" s="135"/>
      <c r="H11" s="21"/>
      <c r="I11" s="22"/>
    </row>
    <row r="12" spans="1:9" s="4" customFormat="1" ht="12" customHeight="1" x14ac:dyDescent="0.2">
      <c r="A12" s="23" t="s">
        <v>2</v>
      </c>
      <c r="B12" s="135"/>
      <c r="C12" s="135"/>
      <c r="D12" s="62"/>
      <c r="E12" s="27" t="str">
        <f>Rekapitulace!K5</f>
        <v>Kolomuty</v>
      </c>
      <c r="F12" s="135"/>
      <c r="G12" s="135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35"/>
      <c r="C13" s="135"/>
      <c r="D13" s="62"/>
      <c r="E13" s="135"/>
      <c r="F13" s="135"/>
      <c r="G13" s="135"/>
      <c r="H13" s="21"/>
      <c r="I13" s="22"/>
    </row>
    <row r="14" spans="1:9" s="4" customFormat="1" ht="15.2" customHeight="1" x14ac:dyDescent="0.2">
      <c r="A14" s="23" t="s">
        <v>4</v>
      </c>
      <c r="B14" s="135"/>
      <c r="C14" s="135"/>
      <c r="D14" s="62"/>
      <c r="E14" s="27" t="str">
        <f>Rekapitulace!K7</f>
        <v>Vodovody a kanalizace Mladá Boleslav, a.s.</v>
      </c>
      <c r="F14" s="135"/>
      <c r="G14" s="135"/>
      <c r="H14" s="28"/>
      <c r="I14" s="137"/>
    </row>
    <row r="15" spans="1:9" s="4" customFormat="1" ht="15.2" customHeight="1" x14ac:dyDescent="0.2">
      <c r="A15" s="23" t="s">
        <v>5</v>
      </c>
      <c r="B15" s="135"/>
      <c r="C15" s="135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35"/>
      <c r="C16" s="135"/>
      <c r="D16" s="62"/>
      <c r="E16" s="27"/>
      <c r="F16" s="135"/>
      <c r="G16" s="135"/>
      <c r="H16" s="28"/>
      <c r="I16" s="137"/>
    </row>
    <row r="17" spans="1:12" s="4" customFormat="1" ht="31.35" customHeight="1" thickBot="1" x14ac:dyDescent="0.25">
      <c r="A17" s="20"/>
      <c r="B17" s="135"/>
      <c r="C17" s="135"/>
      <c r="D17" s="62"/>
      <c r="E17" s="135"/>
      <c r="F17" s="135"/>
      <c r="G17" s="266" t="str">
        <f>A1</f>
        <v>Rozpočet stavby (výkaz výměr)</v>
      </c>
      <c r="H17" s="267"/>
      <c r="I17" s="268"/>
      <c r="K17" s="4" t="s">
        <v>152</v>
      </c>
    </row>
    <row r="18" spans="1:12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2" s="4" customFormat="1" ht="22.9" customHeight="1" x14ac:dyDescent="0.25">
      <c r="A19" s="30" t="s">
        <v>17</v>
      </c>
      <c r="B19" s="135"/>
      <c r="C19" s="135"/>
      <c r="D19" s="62"/>
      <c r="E19" s="135"/>
      <c r="F19" s="135"/>
      <c r="G19" s="20"/>
      <c r="H19" s="21"/>
      <c r="I19" s="31">
        <f>I20</f>
        <v>317672.57999999996</v>
      </c>
    </row>
    <row r="20" spans="1:12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I21+I27</f>
        <v>317672.57999999996</v>
      </c>
    </row>
    <row r="21" spans="1:12" s="8" customFormat="1" ht="22.9" customHeight="1" x14ac:dyDescent="0.2">
      <c r="A21" s="32"/>
      <c r="B21" s="33" t="s">
        <v>10</v>
      </c>
      <c r="C21" s="38" t="s">
        <v>25</v>
      </c>
      <c r="D21" s="66" t="s">
        <v>68</v>
      </c>
      <c r="E21" s="38" t="s">
        <v>30</v>
      </c>
      <c r="F21" s="35"/>
      <c r="G21" s="32"/>
      <c r="H21" s="36"/>
      <c r="I21" s="39">
        <f>I22+I24+I26</f>
        <v>111868.26</v>
      </c>
    </row>
    <row r="22" spans="1:12" s="4" customFormat="1" ht="24" customHeight="1" x14ac:dyDescent="0.2">
      <c r="A22" s="40">
        <v>1</v>
      </c>
      <c r="B22" s="9" t="s">
        <v>21</v>
      </c>
      <c r="C22" s="10" t="s">
        <v>31</v>
      </c>
      <c r="D22" s="67" t="s">
        <v>68</v>
      </c>
      <c r="E22" s="11" t="s">
        <v>32</v>
      </c>
      <c r="F22" s="6" t="s">
        <v>22</v>
      </c>
      <c r="G22" s="58">
        <f>G24</f>
        <v>198.63</v>
      </c>
      <c r="H22" s="156">
        <v>20.62</v>
      </c>
      <c r="I22" s="41">
        <f>ROUND(H22*G22,2)</f>
        <v>4095.75</v>
      </c>
    </row>
    <row r="23" spans="1:12" s="14" customFormat="1" outlineLevel="1" x14ac:dyDescent="0.2">
      <c r="A23" s="49"/>
      <c r="B23" s="42" t="s">
        <v>24</v>
      </c>
      <c r="C23" s="50" t="s">
        <v>0</v>
      </c>
      <c r="D23" s="69" t="s">
        <v>41</v>
      </c>
      <c r="E23" s="51" t="s">
        <v>139</v>
      </c>
      <c r="F23" s="52"/>
      <c r="G23" s="60">
        <f>G22</f>
        <v>198.63</v>
      </c>
      <c r="H23" s="157"/>
      <c r="I23" s="55"/>
    </row>
    <row r="24" spans="1:12" s="4" customFormat="1" ht="36" customHeight="1" x14ac:dyDescent="0.2">
      <c r="A24" s="40">
        <v>2</v>
      </c>
      <c r="B24" s="9" t="s">
        <v>21</v>
      </c>
      <c r="C24" s="10" t="s">
        <v>33</v>
      </c>
      <c r="D24" s="67" t="s">
        <v>68</v>
      </c>
      <c r="E24" s="11" t="s">
        <v>34</v>
      </c>
      <c r="F24" s="6" t="s">
        <v>22</v>
      </c>
      <c r="G24" s="58">
        <f>G25</f>
        <v>198.63</v>
      </c>
      <c r="H24" s="156">
        <v>396.71</v>
      </c>
      <c r="I24" s="41">
        <f>ROUND(H24*G24,2)</f>
        <v>78798.509999999995</v>
      </c>
      <c r="K24" s="203">
        <v>291.39999999999998</v>
      </c>
      <c r="L24" s="167">
        <f>+G24-K24</f>
        <v>-92.769999999999982</v>
      </c>
    </row>
    <row r="25" spans="1:12" s="14" customFormat="1" outlineLevel="1" x14ac:dyDescent="0.2">
      <c r="A25" s="49"/>
      <c r="B25" s="42" t="s">
        <v>24</v>
      </c>
      <c r="C25" s="50" t="s">
        <v>0</v>
      </c>
      <c r="D25" s="69" t="s">
        <v>41</v>
      </c>
      <c r="E25" s="51" t="str">
        <f>E23</f>
        <v>540,03 m2 "místní asfalt</v>
      </c>
      <c r="F25" s="52"/>
      <c r="G25" s="60">
        <f>248.63-50</f>
        <v>198.63</v>
      </c>
      <c r="H25" s="53"/>
      <c r="I25" s="55"/>
    </row>
    <row r="26" spans="1:12" s="181" customFormat="1" ht="27" customHeight="1" thickBot="1" x14ac:dyDescent="0.25">
      <c r="A26" s="40" t="s">
        <v>153</v>
      </c>
      <c r="B26" s="9"/>
      <c r="C26" s="10" t="s">
        <v>154</v>
      </c>
      <c r="D26" s="67"/>
      <c r="E26" s="11" t="s">
        <v>155</v>
      </c>
      <c r="F26" s="6" t="s">
        <v>100</v>
      </c>
      <c r="G26" s="58">
        <v>6</v>
      </c>
      <c r="H26" s="156">
        <v>4829</v>
      </c>
      <c r="I26" s="41">
        <f t="shared" ref="I26" si="0">ROUND(H26*G26,2)</f>
        <v>28974</v>
      </c>
    </row>
    <row r="27" spans="1:12" ht="12.75" x14ac:dyDescent="0.2">
      <c r="A27" s="71"/>
      <c r="B27" s="72" t="s">
        <v>10</v>
      </c>
      <c r="C27" s="73">
        <v>6</v>
      </c>
      <c r="D27" s="74" t="s">
        <v>68</v>
      </c>
      <c r="E27" s="73" t="s">
        <v>42</v>
      </c>
      <c r="F27" s="75"/>
      <c r="G27" s="71"/>
      <c r="H27" s="76"/>
      <c r="I27" s="77">
        <f>SUBTOTAL(9,I28:I38)</f>
        <v>205804.31999999998</v>
      </c>
    </row>
    <row r="28" spans="1:12" ht="24" customHeight="1" x14ac:dyDescent="0.2">
      <c r="A28" s="40">
        <v>3</v>
      </c>
      <c r="B28" s="9" t="s">
        <v>21</v>
      </c>
      <c r="C28" s="11" t="s">
        <v>43</v>
      </c>
      <c r="D28" s="12" t="s">
        <v>68</v>
      </c>
      <c r="E28" s="11" t="s">
        <v>75</v>
      </c>
      <c r="F28" s="11" t="s">
        <v>22</v>
      </c>
      <c r="G28" s="58">
        <f>G29</f>
        <v>208.5615</v>
      </c>
      <c r="H28" s="78">
        <v>257</v>
      </c>
      <c r="I28" s="41">
        <f>ROUND(H28*G28,2)</f>
        <v>53600.31</v>
      </c>
    </row>
    <row r="29" spans="1:12" ht="10.9" customHeight="1" outlineLevel="1" x14ac:dyDescent="0.2">
      <c r="A29" s="49"/>
      <c r="B29" s="42" t="s">
        <v>24</v>
      </c>
      <c r="C29" s="50" t="s">
        <v>0</v>
      </c>
      <c r="D29" s="69" t="s">
        <v>41</v>
      </c>
      <c r="E29" s="51" t="s">
        <v>140</v>
      </c>
      <c r="F29" s="52"/>
      <c r="G29" s="60">
        <f>G24*1.05</f>
        <v>208.5615</v>
      </c>
      <c r="H29" s="157"/>
      <c r="I29" s="55"/>
    </row>
    <row r="30" spans="1:12" ht="24" customHeight="1" x14ac:dyDescent="0.2">
      <c r="A30" s="40">
        <v>4</v>
      </c>
      <c r="B30" s="9" t="s">
        <v>21</v>
      </c>
      <c r="C30" s="11" t="s">
        <v>44</v>
      </c>
      <c r="D30" s="12" t="s">
        <v>68</v>
      </c>
      <c r="E30" s="11" t="s">
        <v>74</v>
      </c>
      <c r="F30" s="11" t="s">
        <v>22</v>
      </c>
      <c r="G30" s="58">
        <f>G28</f>
        <v>208.5615</v>
      </c>
      <c r="H30" s="78">
        <v>333</v>
      </c>
      <c r="I30" s="41">
        <f t="shared" ref="I30:I38" si="1">ROUND(H30*G30,2)</f>
        <v>69450.98</v>
      </c>
    </row>
    <row r="31" spans="1:12" ht="24" customHeight="1" x14ac:dyDescent="0.2">
      <c r="A31" s="40">
        <v>5</v>
      </c>
      <c r="B31" s="9" t="s">
        <v>21</v>
      </c>
      <c r="C31" s="11" t="s">
        <v>45</v>
      </c>
      <c r="D31" s="12" t="s">
        <v>68</v>
      </c>
      <c r="E31" s="11" t="s">
        <v>73</v>
      </c>
      <c r="F31" s="11" t="s">
        <v>22</v>
      </c>
      <c r="G31" s="58">
        <f>G30</f>
        <v>208.5615</v>
      </c>
      <c r="H31" s="78">
        <v>125</v>
      </c>
      <c r="I31" s="41">
        <f t="shared" si="1"/>
        <v>26070.19</v>
      </c>
    </row>
    <row r="32" spans="1:12" ht="24" customHeight="1" x14ac:dyDescent="0.2">
      <c r="A32" s="40">
        <v>6</v>
      </c>
      <c r="B32" s="9" t="s">
        <v>21</v>
      </c>
      <c r="C32" s="11" t="s">
        <v>46</v>
      </c>
      <c r="D32" s="12" t="s">
        <v>68</v>
      </c>
      <c r="E32" s="11" t="s">
        <v>47</v>
      </c>
      <c r="F32" s="11" t="s">
        <v>29</v>
      </c>
      <c r="G32" s="58">
        <v>0</v>
      </c>
      <c r="H32" s="78">
        <v>2150</v>
      </c>
      <c r="I32" s="41">
        <f t="shared" si="1"/>
        <v>0</v>
      </c>
      <c r="K32" s="203">
        <v>5</v>
      </c>
    </row>
    <row r="33" spans="1:11" ht="24" customHeight="1" x14ac:dyDescent="0.2">
      <c r="A33" s="40">
        <v>7</v>
      </c>
      <c r="B33" s="9" t="s">
        <v>21</v>
      </c>
      <c r="C33" s="11" t="s">
        <v>48</v>
      </c>
      <c r="D33" s="12" t="s">
        <v>68</v>
      </c>
      <c r="E33" s="11" t="s">
        <v>49</v>
      </c>
      <c r="F33" s="11" t="s">
        <v>29</v>
      </c>
      <c r="G33" s="58">
        <v>0</v>
      </c>
      <c r="H33" s="78">
        <v>1200</v>
      </c>
      <c r="I33" s="41">
        <f t="shared" si="1"/>
        <v>0</v>
      </c>
      <c r="K33" s="203">
        <v>6</v>
      </c>
    </row>
    <row r="34" spans="1:11" ht="24" customHeight="1" x14ac:dyDescent="0.2">
      <c r="A34" s="40">
        <v>8</v>
      </c>
      <c r="B34" s="9" t="s">
        <v>21</v>
      </c>
      <c r="C34" s="11" t="s">
        <v>50</v>
      </c>
      <c r="D34" s="12" t="s">
        <v>68</v>
      </c>
      <c r="E34" s="11" t="s">
        <v>51</v>
      </c>
      <c r="F34" s="11" t="s">
        <v>22</v>
      </c>
      <c r="G34" s="58">
        <f>G28</f>
        <v>208.5615</v>
      </c>
      <c r="H34" s="78">
        <v>6.88</v>
      </c>
      <c r="I34" s="41">
        <f t="shared" si="1"/>
        <v>1434.9</v>
      </c>
    </row>
    <row r="35" spans="1:11" ht="24" customHeight="1" x14ac:dyDescent="0.2">
      <c r="A35" s="40">
        <v>9</v>
      </c>
      <c r="B35" s="9" t="s">
        <v>21</v>
      </c>
      <c r="C35" s="11" t="s">
        <v>52</v>
      </c>
      <c r="D35" s="12" t="s">
        <v>68</v>
      </c>
      <c r="E35" s="11" t="s">
        <v>53</v>
      </c>
      <c r="F35" s="11" t="s">
        <v>22</v>
      </c>
      <c r="G35" s="58">
        <f>G34</f>
        <v>208.5615</v>
      </c>
      <c r="H35" s="78">
        <v>0.8</v>
      </c>
      <c r="I35" s="41">
        <f t="shared" si="1"/>
        <v>166.85</v>
      </c>
    </row>
    <row r="36" spans="1:11" ht="24" customHeight="1" x14ac:dyDescent="0.2">
      <c r="A36" s="54">
        <v>10</v>
      </c>
      <c r="B36" s="15" t="s">
        <v>26</v>
      </c>
      <c r="C36" s="16" t="s">
        <v>54</v>
      </c>
      <c r="D36" s="70" t="s">
        <v>68</v>
      </c>
      <c r="E36" s="17" t="s">
        <v>55</v>
      </c>
      <c r="F36" s="57" t="s">
        <v>40</v>
      </c>
      <c r="G36" s="61">
        <f>G34*0.25*1.6</f>
        <v>83.424599999999998</v>
      </c>
      <c r="H36" s="79">
        <v>429</v>
      </c>
      <c r="I36" s="80">
        <f t="shared" si="1"/>
        <v>35789.15</v>
      </c>
    </row>
    <row r="37" spans="1:11" ht="24" customHeight="1" x14ac:dyDescent="0.2">
      <c r="A37" s="81" t="s">
        <v>56</v>
      </c>
      <c r="B37" s="82"/>
      <c r="C37" s="82"/>
      <c r="D37" s="83" t="s">
        <v>68</v>
      </c>
      <c r="E37" s="82"/>
      <c r="F37" s="84"/>
      <c r="G37" s="85"/>
      <c r="H37" s="86"/>
      <c r="I37" s="87"/>
    </row>
    <row r="38" spans="1:11" ht="24" customHeight="1" thickBot="1" x14ac:dyDescent="0.25">
      <c r="A38" s="91">
        <v>11</v>
      </c>
      <c r="B38" s="92" t="s">
        <v>26</v>
      </c>
      <c r="C38" s="93" t="s">
        <v>57</v>
      </c>
      <c r="D38" s="94" t="s">
        <v>68</v>
      </c>
      <c r="E38" s="97" t="s">
        <v>58</v>
      </c>
      <c r="F38" s="95" t="s">
        <v>28</v>
      </c>
      <c r="G38" s="88">
        <f>G34*25/1000</f>
        <v>5.2140374999999999</v>
      </c>
      <c r="H38" s="89">
        <v>3700</v>
      </c>
      <c r="I38" s="90">
        <f t="shared" si="1"/>
        <v>19291.939999999999</v>
      </c>
    </row>
    <row r="41" spans="1:11" ht="12.75" x14ac:dyDescent="0.2">
      <c r="B41" s="208" t="s">
        <v>163</v>
      </c>
      <c r="C41" s="209"/>
      <c r="D41" s="208" t="s">
        <v>168</v>
      </c>
      <c r="E41" s="205"/>
      <c r="F41" s="210" t="s">
        <v>164</v>
      </c>
      <c r="G41" s="208"/>
      <c r="H41" s="211" t="s">
        <v>165</v>
      </c>
    </row>
    <row r="42" spans="1:11" ht="12.75" x14ac:dyDescent="0.2">
      <c r="B42" s="208"/>
      <c r="C42" s="209"/>
      <c r="D42" s="208"/>
      <c r="E42" s="205"/>
      <c r="F42" s="208"/>
      <c r="G42" s="208"/>
      <c r="H42" s="212"/>
    </row>
    <row r="43" spans="1:11" ht="12.75" x14ac:dyDescent="0.2">
      <c r="B43" s="208" t="s">
        <v>166</v>
      </c>
      <c r="C43" s="209"/>
      <c r="D43" s="208" t="s">
        <v>166</v>
      </c>
      <c r="E43" s="205"/>
      <c r="F43" s="208" t="s">
        <v>166</v>
      </c>
      <c r="G43" s="208"/>
      <c r="H43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3950D2-7573-418D-8741-A68D7707BBFA}">
  <sheetPr>
    <tabColor rgb="FF00B050"/>
    <pageSetUpPr fitToPage="1"/>
  </sheetPr>
  <dimension ref="A1:I42"/>
  <sheetViews>
    <sheetView view="pageBreakPreview" topLeftCell="A34" zoomScaleNormal="100" zoomScaleSheetLayoutView="100" workbookViewId="0">
      <selection activeCell="B40" sqref="B40:H42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20.1640625" style="1" customWidth="1"/>
    <col min="10" max="16384" width="9.1640625" style="3"/>
  </cols>
  <sheetData>
    <row r="1" spans="1:9" s="4" customFormat="1" ht="24.95" customHeight="1" x14ac:dyDescent="0.2">
      <c r="A1" s="259" t="str">
        <f>úsek1!A1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B2" s="135"/>
      <c r="C2" s="135"/>
      <c r="D2" s="62"/>
      <c r="E2" s="135"/>
      <c r="F2" s="135"/>
      <c r="G2" s="135"/>
      <c r="H2" s="21"/>
      <c r="I2" s="22"/>
    </row>
    <row r="3" spans="1:9" s="4" customFormat="1" ht="12" customHeight="1" x14ac:dyDescent="0.2">
      <c r="A3" s="23" t="s">
        <v>1</v>
      </c>
      <c r="B3" s="135"/>
      <c r="C3" s="135"/>
      <c r="D3" s="62"/>
      <c r="E3" s="135"/>
      <c r="F3" s="135"/>
      <c r="G3" s="135"/>
      <c r="H3" s="21"/>
      <c r="I3" s="22"/>
    </row>
    <row r="4" spans="1:9" s="4" customFormat="1" ht="16.5" customHeight="1" x14ac:dyDescent="0.2">
      <c r="A4" s="20"/>
      <c r="B4" s="135"/>
      <c r="C4" s="262" t="str">
        <f>Rekapitulace!K4</f>
        <v>Rozdílový výkaz výněr změny č. 009-01</v>
      </c>
      <c r="D4" s="262"/>
      <c r="E4" s="269"/>
      <c r="F4" s="269"/>
      <c r="G4" s="269"/>
      <c r="H4" s="21"/>
      <c r="I4" s="22"/>
    </row>
    <row r="5" spans="1:9" s="1" customFormat="1" ht="12" customHeight="1" x14ac:dyDescent="0.2">
      <c r="A5" s="23" t="s">
        <v>11</v>
      </c>
      <c r="B5" s="134"/>
      <c r="C5" s="134"/>
      <c r="D5" s="63"/>
      <c r="E5" s="134"/>
      <c r="F5" s="134"/>
      <c r="G5" s="134"/>
      <c r="H5" s="24"/>
      <c r="I5" s="25"/>
    </row>
    <row r="6" spans="1:9" s="1" customFormat="1" ht="16.5" customHeight="1" x14ac:dyDescent="0.2">
      <c r="A6" s="26"/>
      <c r="B6" s="134"/>
      <c r="C6" s="262" t="s">
        <v>69</v>
      </c>
      <c r="D6" s="262"/>
      <c r="E6" s="263"/>
      <c r="F6" s="263"/>
      <c r="G6" s="263"/>
      <c r="H6" s="24"/>
      <c r="I6" s="25"/>
    </row>
    <row r="7" spans="1:9" s="1" customFormat="1" ht="12" customHeight="1" x14ac:dyDescent="0.2">
      <c r="A7" s="23" t="s">
        <v>38</v>
      </c>
      <c r="B7" s="134"/>
      <c r="C7" s="134"/>
      <c r="D7" s="63"/>
      <c r="E7" s="134"/>
      <c r="F7" s="134"/>
      <c r="G7" s="134"/>
      <c r="H7" s="24"/>
      <c r="I7" s="25"/>
    </row>
    <row r="8" spans="1:9" s="4" customFormat="1" ht="16.5" customHeight="1" x14ac:dyDescent="0.2">
      <c r="A8" s="20"/>
      <c r="B8" s="135"/>
      <c r="C8" s="264" t="str">
        <f>C6</f>
        <v>MK Komunikace</v>
      </c>
      <c r="D8" s="264"/>
      <c r="E8" s="265"/>
      <c r="F8" s="265"/>
      <c r="G8" s="265"/>
      <c r="H8" s="21"/>
      <c r="I8" s="22"/>
    </row>
    <row r="9" spans="1:9" s="4" customFormat="1" ht="12" customHeight="1" x14ac:dyDescent="0.2">
      <c r="A9" s="23" t="s">
        <v>39</v>
      </c>
      <c r="B9" s="135"/>
      <c r="C9" s="135"/>
      <c r="D9" s="62"/>
      <c r="E9" s="135"/>
      <c r="F9" s="135"/>
      <c r="G9" s="135"/>
      <c r="H9" s="21"/>
      <c r="I9" s="22"/>
    </row>
    <row r="10" spans="1:9" s="4" customFormat="1" ht="16.5" customHeight="1" x14ac:dyDescent="0.2">
      <c r="A10" s="20"/>
      <c r="B10" s="135"/>
      <c r="C10" s="242" t="str">
        <f>Rekapitulace!K20</f>
        <v>úsek 5 - provedeno v roce 2021</v>
      </c>
      <c r="D10" s="242"/>
      <c r="E10" s="265"/>
      <c r="F10" s="265"/>
      <c r="G10" s="265"/>
      <c r="H10" s="21"/>
      <c r="I10" s="22"/>
    </row>
    <row r="11" spans="1:9" s="4" customFormat="1" ht="6.95" customHeight="1" x14ac:dyDescent="0.2">
      <c r="A11" s="20"/>
      <c r="B11" s="135"/>
      <c r="C11" s="135"/>
      <c r="D11" s="62"/>
      <c r="E11" s="135"/>
      <c r="F11" s="135"/>
      <c r="G11" s="135"/>
      <c r="H11" s="21"/>
      <c r="I11" s="22"/>
    </row>
    <row r="12" spans="1:9" s="4" customFormat="1" ht="12" customHeight="1" x14ac:dyDescent="0.2">
      <c r="A12" s="23" t="s">
        <v>2</v>
      </c>
      <c r="B12" s="135"/>
      <c r="C12" s="135"/>
      <c r="D12" s="62"/>
      <c r="E12" s="27" t="str">
        <f>Rekapitulace!K5</f>
        <v>Kolomuty</v>
      </c>
      <c r="F12" s="135"/>
      <c r="G12" s="135"/>
      <c r="H12" s="28" t="s">
        <v>3</v>
      </c>
      <c r="I12" s="136">
        <f>Rekapitulace!AL5</f>
        <v>44791</v>
      </c>
    </row>
    <row r="13" spans="1:9" s="4" customFormat="1" ht="6.95" customHeight="1" x14ac:dyDescent="0.2">
      <c r="A13" s="20"/>
      <c r="B13" s="135"/>
      <c r="C13" s="135"/>
      <c r="D13" s="62"/>
      <c r="E13" s="135"/>
      <c r="F13" s="135"/>
      <c r="G13" s="135"/>
      <c r="H13" s="21"/>
      <c r="I13" s="22"/>
    </row>
    <row r="14" spans="1:9" s="4" customFormat="1" ht="15.2" customHeight="1" x14ac:dyDescent="0.2">
      <c r="A14" s="23" t="s">
        <v>4</v>
      </c>
      <c r="B14" s="135"/>
      <c r="C14" s="135"/>
      <c r="D14" s="62"/>
      <c r="E14" s="27" t="str">
        <f>Rekapitulace!K7</f>
        <v>Vodovody a kanalizace Mladá Boleslav, a.s.</v>
      </c>
      <c r="F14" s="135"/>
      <c r="G14" s="135"/>
      <c r="H14" s="28"/>
      <c r="I14" s="137"/>
    </row>
    <row r="15" spans="1:9" s="4" customFormat="1" ht="15.2" customHeight="1" x14ac:dyDescent="0.2">
      <c r="A15" s="23" t="s">
        <v>5</v>
      </c>
      <c r="B15" s="135"/>
      <c r="C15" s="135"/>
      <c r="D15" s="62"/>
      <c r="E15" s="162" t="str">
        <f>+Rekapitulace!K8</f>
        <v>VCES a.s</v>
      </c>
      <c r="F15" s="164"/>
      <c r="G15" s="164"/>
      <c r="H15" s="28" t="s">
        <v>6</v>
      </c>
      <c r="I15" s="137" t="str">
        <f>+Rekapitulace!AL8</f>
        <v>VCES a.s.</v>
      </c>
    </row>
    <row r="16" spans="1:9" s="4" customFormat="1" ht="15.2" customHeight="1" thickBot="1" x14ac:dyDescent="0.25">
      <c r="A16" s="23"/>
      <c r="B16" s="135"/>
      <c r="C16" s="135"/>
      <c r="D16" s="62"/>
      <c r="E16" s="27"/>
      <c r="F16" s="135"/>
      <c r="G16" s="135"/>
      <c r="H16" s="28"/>
      <c r="I16" s="137"/>
    </row>
    <row r="17" spans="1:9" s="4" customFormat="1" ht="31.35" customHeight="1" thickBot="1" x14ac:dyDescent="0.25">
      <c r="A17" s="20"/>
      <c r="B17" s="135"/>
      <c r="C17" s="135"/>
      <c r="D17" s="62"/>
      <c r="E17" s="135"/>
      <c r="F17" s="135"/>
      <c r="G17" s="266" t="str">
        <f>A1</f>
        <v>Rozpočet stavby (výkaz výměr)</v>
      </c>
      <c r="H17" s="267"/>
      <c r="I17" s="268"/>
    </row>
    <row r="18" spans="1:9" s="5" customFormat="1" ht="29.2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9" s="4" customFormat="1" ht="22.9" customHeight="1" x14ac:dyDescent="0.25">
      <c r="A19" s="30" t="s">
        <v>17</v>
      </c>
      <c r="B19" s="135"/>
      <c r="C19" s="135"/>
      <c r="D19" s="62"/>
      <c r="E19" s="135"/>
      <c r="F19" s="135"/>
      <c r="G19" s="20"/>
      <c r="H19" s="21"/>
      <c r="I19" s="31">
        <f>I20</f>
        <v>1601608.34</v>
      </c>
    </row>
    <row r="20" spans="1:9" s="8" customFormat="1" ht="25.9" customHeight="1" x14ac:dyDescent="0.2">
      <c r="A20" s="32"/>
      <c r="B20" s="33" t="s">
        <v>10</v>
      </c>
      <c r="C20" s="34" t="s">
        <v>18</v>
      </c>
      <c r="D20" s="65"/>
      <c r="E20" s="34" t="s">
        <v>19</v>
      </c>
      <c r="F20" s="35"/>
      <c r="G20" s="32"/>
      <c r="H20" s="36"/>
      <c r="I20" s="37">
        <f>I21+I26</f>
        <v>1601608.34</v>
      </c>
    </row>
    <row r="21" spans="1:9" s="8" customFormat="1" ht="22.9" customHeight="1" x14ac:dyDescent="0.2">
      <c r="A21" s="32"/>
      <c r="B21" s="33" t="s">
        <v>10</v>
      </c>
      <c r="C21" s="38" t="s">
        <v>25</v>
      </c>
      <c r="D21" s="66" t="s">
        <v>68</v>
      </c>
      <c r="E21" s="38" t="s">
        <v>30</v>
      </c>
      <c r="F21" s="35"/>
      <c r="G21" s="32"/>
      <c r="H21" s="36"/>
      <c r="I21" s="39">
        <f>I22+I24</f>
        <v>491406.08000000002</v>
      </c>
    </row>
    <row r="22" spans="1:9" s="4" customFormat="1" ht="24" customHeight="1" x14ac:dyDescent="0.2">
      <c r="A22" s="40">
        <v>1</v>
      </c>
      <c r="B22" s="9" t="s">
        <v>21</v>
      </c>
      <c r="C22" s="10" t="s">
        <v>31</v>
      </c>
      <c r="D22" s="67" t="s">
        <v>68</v>
      </c>
      <c r="E22" s="11" t="s">
        <v>32</v>
      </c>
      <c r="F22" s="6" t="s">
        <v>22</v>
      </c>
      <c r="G22" s="58">
        <f>G24</f>
        <v>1177.5</v>
      </c>
      <c r="H22" s="156">
        <v>20.62</v>
      </c>
      <c r="I22" s="41">
        <f>ROUND(H22*G22,2)</f>
        <v>24280.05</v>
      </c>
    </row>
    <row r="23" spans="1:9" s="14" customFormat="1" outlineLevel="1" x14ac:dyDescent="0.2">
      <c r="A23" s="49"/>
      <c r="B23" s="42" t="s">
        <v>24</v>
      </c>
      <c r="C23" s="50" t="s">
        <v>0</v>
      </c>
      <c r="D23" s="69" t="s">
        <v>41</v>
      </c>
      <c r="E23" s="51" t="s">
        <v>141</v>
      </c>
      <c r="F23" s="52"/>
      <c r="G23" s="60">
        <f>G22</f>
        <v>1177.5</v>
      </c>
      <c r="H23" s="157"/>
      <c r="I23" s="55"/>
    </row>
    <row r="24" spans="1:9" s="4" customFormat="1" ht="36" customHeight="1" x14ac:dyDescent="0.2">
      <c r="A24" s="40">
        <v>2</v>
      </c>
      <c r="B24" s="9" t="s">
        <v>21</v>
      </c>
      <c r="C24" s="10" t="s">
        <v>33</v>
      </c>
      <c r="D24" s="67" t="s">
        <v>68</v>
      </c>
      <c r="E24" s="11" t="s">
        <v>34</v>
      </c>
      <c r="F24" s="6" t="s">
        <v>22</v>
      </c>
      <c r="G24" s="58">
        <f>G25</f>
        <v>1177.5</v>
      </c>
      <c r="H24" s="156">
        <v>396.71</v>
      </c>
      <c r="I24" s="41">
        <f>ROUND(H24*G24,2)</f>
        <v>467126.03</v>
      </c>
    </row>
    <row r="25" spans="1:9" s="14" customFormat="1" ht="12" outlineLevel="1" thickBot="1" x14ac:dyDescent="0.25">
      <c r="A25" s="49"/>
      <c r="B25" s="42" t="s">
        <v>24</v>
      </c>
      <c r="C25" s="50" t="s">
        <v>0</v>
      </c>
      <c r="D25" s="69" t="s">
        <v>41</v>
      </c>
      <c r="E25" s="51" t="str">
        <f>E23</f>
        <v>1177,5 "místní asfalt</v>
      </c>
      <c r="F25" s="52"/>
      <c r="G25" s="60">
        <v>1177.5</v>
      </c>
      <c r="H25" s="53"/>
      <c r="I25" s="55"/>
    </row>
    <row r="26" spans="1:9" ht="12.75" x14ac:dyDescent="0.2">
      <c r="A26" s="71"/>
      <c r="B26" s="72" t="s">
        <v>10</v>
      </c>
      <c r="C26" s="73">
        <v>6</v>
      </c>
      <c r="D26" s="74" t="s">
        <v>68</v>
      </c>
      <c r="E26" s="73" t="s">
        <v>42</v>
      </c>
      <c r="F26" s="75"/>
      <c r="G26" s="71"/>
      <c r="H26" s="76"/>
      <c r="I26" s="77">
        <f>SUBTOTAL(9,I27:I37)</f>
        <v>1110202.26</v>
      </c>
    </row>
    <row r="27" spans="1:9" ht="24" customHeight="1" x14ac:dyDescent="0.2">
      <c r="A27" s="40">
        <v>3</v>
      </c>
      <c r="B27" s="9" t="s">
        <v>21</v>
      </c>
      <c r="C27" s="11" t="s">
        <v>43</v>
      </c>
      <c r="D27" s="12" t="s">
        <v>68</v>
      </c>
      <c r="E27" s="11" t="s">
        <v>75</v>
      </c>
      <c r="F27" s="11" t="s">
        <v>22</v>
      </c>
      <c r="G27" s="58">
        <f>G28</f>
        <v>1236.375</v>
      </c>
      <c r="H27" s="78">
        <v>236</v>
      </c>
      <c r="I27" s="41">
        <f>ROUND(H27*G27,2)</f>
        <v>291784.5</v>
      </c>
    </row>
    <row r="28" spans="1:9" ht="10.9" customHeight="1" outlineLevel="1" x14ac:dyDescent="0.2">
      <c r="A28" s="49"/>
      <c r="B28" s="42" t="s">
        <v>24</v>
      </c>
      <c r="C28" s="50" t="s">
        <v>0</v>
      </c>
      <c r="D28" s="69" t="s">
        <v>41</v>
      </c>
      <c r="E28" s="51" t="s">
        <v>142</v>
      </c>
      <c r="F28" s="52"/>
      <c r="G28" s="60">
        <f>+G24*1.05</f>
        <v>1236.375</v>
      </c>
      <c r="H28" s="53"/>
      <c r="I28" s="55"/>
    </row>
    <row r="29" spans="1:9" ht="24" customHeight="1" x14ac:dyDescent="0.2">
      <c r="A29" s="40">
        <v>4</v>
      </c>
      <c r="B29" s="9" t="s">
        <v>21</v>
      </c>
      <c r="C29" s="11" t="s">
        <v>44</v>
      </c>
      <c r="D29" s="12" t="s">
        <v>68</v>
      </c>
      <c r="E29" s="11" t="s">
        <v>74</v>
      </c>
      <c r="F29" s="11" t="s">
        <v>22</v>
      </c>
      <c r="G29" s="58">
        <f>G27</f>
        <v>1236.375</v>
      </c>
      <c r="H29" s="78">
        <v>300</v>
      </c>
      <c r="I29" s="41">
        <f t="shared" ref="I29:I37" si="0">ROUND(H29*G29,2)</f>
        <v>370912.5</v>
      </c>
    </row>
    <row r="30" spans="1:9" ht="24" customHeight="1" x14ac:dyDescent="0.2">
      <c r="A30" s="40">
        <v>5</v>
      </c>
      <c r="B30" s="9" t="s">
        <v>21</v>
      </c>
      <c r="C30" s="11" t="s">
        <v>45</v>
      </c>
      <c r="D30" s="12" t="s">
        <v>68</v>
      </c>
      <c r="E30" s="11" t="s">
        <v>73</v>
      </c>
      <c r="F30" s="11" t="s">
        <v>22</v>
      </c>
      <c r="G30" s="58">
        <f>G29</f>
        <v>1236.375</v>
      </c>
      <c r="H30" s="78">
        <v>115</v>
      </c>
      <c r="I30" s="41">
        <f t="shared" si="0"/>
        <v>142183.13</v>
      </c>
    </row>
    <row r="31" spans="1:9" ht="24" customHeight="1" x14ac:dyDescent="0.2">
      <c r="A31" s="40">
        <v>6</v>
      </c>
      <c r="B31" s="9" t="s">
        <v>21</v>
      </c>
      <c r="C31" s="11" t="s">
        <v>46</v>
      </c>
      <c r="D31" s="12" t="s">
        <v>68</v>
      </c>
      <c r="E31" s="11" t="s">
        <v>47</v>
      </c>
      <c r="F31" s="11" t="s">
        <v>29</v>
      </c>
      <c r="G31" s="58">
        <v>5</v>
      </c>
      <c r="H31" s="78">
        <v>1870</v>
      </c>
      <c r="I31" s="41">
        <f t="shared" si="0"/>
        <v>9350</v>
      </c>
    </row>
    <row r="32" spans="1:9" ht="24" customHeight="1" x14ac:dyDescent="0.2">
      <c r="A32" s="40">
        <v>7</v>
      </c>
      <c r="B32" s="9" t="s">
        <v>21</v>
      </c>
      <c r="C32" s="11" t="s">
        <v>48</v>
      </c>
      <c r="D32" s="12" t="s">
        <v>68</v>
      </c>
      <c r="E32" s="11" t="s">
        <v>49</v>
      </c>
      <c r="F32" s="11" t="s">
        <v>29</v>
      </c>
      <c r="G32" s="58">
        <v>4</v>
      </c>
      <c r="H32" s="78">
        <v>1050</v>
      </c>
      <c r="I32" s="41">
        <f t="shared" si="0"/>
        <v>4200</v>
      </c>
    </row>
    <row r="33" spans="1:9" ht="24" customHeight="1" x14ac:dyDescent="0.2">
      <c r="A33" s="40">
        <v>8</v>
      </c>
      <c r="B33" s="9" t="s">
        <v>21</v>
      </c>
      <c r="C33" s="11" t="s">
        <v>50</v>
      </c>
      <c r="D33" s="12" t="s">
        <v>68</v>
      </c>
      <c r="E33" s="11" t="s">
        <v>51</v>
      </c>
      <c r="F33" s="11" t="s">
        <v>22</v>
      </c>
      <c r="G33" s="58">
        <f>G27</f>
        <v>1236.375</v>
      </c>
      <c r="H33" s="78">
        <v>6.22</v>
      </c>
      <c r="I33" s="41">
        <f t="shared" si="0"/>
        <v>7690.25</v>
      </c>
    </row>
    <row r="34" spans="1:9" ht="24" customHeight="1" x14ac:dyDescent="0.2">
      <c r="A34" s="40">
        <v>9</v>
      </c>
      <c r="B34" s="9" t="s">
        <v>21</v>
      </c>
      <c r="C34" s="11" t="s">
        <v>52</v>
      </c>
      <c r="D34" s="12" t="s">
        <v>68</v>
      </c>
      <c r="E34" s="11" t="s">
        <v>53</v>
      </c>
      <c r="F34" s="11" t="s">
        <v>22</v>
      </c>
      <c r="G34" s="58">
        <f>G33</f>
        <v>1236.375</v>
      </c>
      <c r="H34" s="78">
        <v>0.67</v>
      </c>
      <c r="I34" s="41">
        <f t="shared" si="0"/>
        <v>828.37</v>
      </c>
    </row>
    <row r="35" spans="1:9" ht="24" customHeight="1" x14ac:dyDescent="0.2">
      <c r="A35" s="54">
        <v>10</v>
      </c>
      <c r="B35" s="15" t="s">
        <v>26</v>
      </c>
      <c r="C35" s="16" t="s">
        <v>54</v>
      </c>
      <c r="D35" s="70" t="s">
        <v>68</v>
      </c>
      <c r="E35" s="17" t="s">
        <v>55</v>
      </c>
      <c r="F35" s="57" t="s">
        <v>40</v>
      </c>
      <c r="G35" s="61">
        <f>G33*0.25*1.6</f>
        <v>494.55</v>
      </c>
      <c r="H35" s="79">
        <v>404</v>
      </c>
      <c r="I35" s="80">
        <f t="shared" si="0"/>
        <v>199798.2</v>
      </c>
    </row>
    <row r="36" spans="1:9" ht="24" customHeight="1" x14ac:dyDescent="0.2">
      <c r="A36" s="81" t="s">
        <v>56</v>
      </c>
      <c r="B36" s="82"/>
      <c r="C36" s="82"/>
      <c r="D36" s="83" t="s">
        <v>68</v>
      </c>
      <c r="E36" s="82"/>
      <c r="F36" s="84"/>
      <c r="G36" s="85"/>
      <c r="H36" s="86"/>
      <c r="I36" s="87"/>
    </row>
    <row r="37" spans="1:9" ht="24" customHeight="1" thickBot="1" x14ac:dyDescent="0.25">
      <c r="A37" s="91">
        <v>11</v>
      </c>
      <c r="B37" s="92" t="s">
        <v>26</v>
      </c>
      <c r="C37" s="93" t="s">
        <v>57</v>
      </c>
      <c r="D37" s="94" t="s">
        <v>68</v>
      </c>
      <c r="E37" s="97" t="s">
        <v>58</v>
      </c>
      <c r="F37" s="95" t="s">
        <v>28</v>
      </c>
      <c r="G37" s="88">
        <f>G33*25/1000</f>
        <v>30.909375000000001</v>
      </c>
      <c r="H37" s="89">
        <v>2700</v>
      </c>
      <c r="I37" s="90">
        <f t="shared" si="0"/>
        <v>83455.31</v>
      </c>
    </row>
    <row r="40" spans="1:9" ht="12.75" x14ac:dyDescent="0.2">
      <c r="B40" s="208" t="s">
        <v>163</v>
      </c>
      <c r="C40" s="209"/>
      <c r="D40" s="208" t="s">
        <v>168</v>
      </c>
      <c r="E40" s="205"/>
      <c r="F40" s="210" t="s">
        <v>164</v>
      </c>
      <c r="G40" s="208"/>
      <c r="H40" s="211" t="s">
        <v>165</v>
      </c>
    </row>
    <row r="41" spans="1:9" ht="12.75" x14ac:dyDescent="0.2">
      <c r="B41" s="208"/>
      <c r="C41" s="209"/>
      <c r="D41" s="208"/>
      <c r="E41" s="205"/>
      <c r="F41" s="208"/>
      <c r="G41" s="208"/>
      <c r="H41" s="212"/>
    </row>
    <row r="42" spans="1:9" ht="12.75" x14ac:dyDescent="0.2">
      <c r="B42" s="208" t="s">
        <v>166</v>
      </c>
      <c r="C42" s="209"/>
      <c r="D42" s="208" t="s">
        <v>166</v>
      </c>
      <c r="E42" s="205"/>
      <c r="F42" s="208" t="s">
        <v>166</v>
      </c>
      <c r="G42" s="208"/>
      <c r="H42" s="211" t="s">
        <v>169</v>
      </c>
    </row>
  </sheetData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F3D817-03E7-4393-90AF-76F752A6BA73}">
  <sheetPr>
    <tabColor rgb="FF00B050"/>
    <pageSetUpPr fitToPage="1"/>
  </sheetPr>
  <dimension ref="A1:N37"/>
  <sheetViews>
    <sheetView view="pageBreakPreview" topLeftCell="A16" zoomScale="110" zoomScaleNormal="100" zoomScaleSheetLayoutView="110" workbookViewId="0">
      <selection activeCell="E36" sqref="E36"/>
    </sheetView>
  </sheetViews>
  <sheetFormatPr defaultColWidth="9.1640625" defaultRowHeight="11.25" outlineLevelRow="1" x14ac:dyDescent="0.2"/>
  <cols>
    <col min="1" max="1" width="5.33203125" style="1" customWidth="1"/>
    <col min="2" max="2" width="4.33203125" style="1" customWidth="1"/>
    <col min="3" max="3" width="17.1640625" style="1" customWidth="1"/>
    <col min="4" max="4" width="3.83203125" style="64" customWidth="1"/>
    <col min="5" max="5" width="71.83203125" style="1" customWidth="1"/>
    <col min="6" max="6" width="7" style="1" customWidth="1"/>
    <col min="7" max="7" width="11.5" style="1" customWidth="1"/>
    <col min="8" max="8" width="20.1640625" style="2" customWidth="1"/>
    <col min="9" max="9" width="44" style="1" customWidth="1"/>
    <col min="10" max="16384" width="9.1640625" style="3"/>
  </cols>
  <sheetData>
    <row r="1" spans="1:9" s="4" customFormat="1" ht="24.95" customHeight="1" x14ac:dyDescent="0.2">
      <c r="A1" s="259" t="str">
        <f>[1]Rekapitulace!A2</f>
        <v>Rozpočet stavby (výkaz výměr)</v>
      </c>
      <c r="B1" s="260"/>
      <c r="C1" s="260"/>
      <c r="D1" s="260"/>
      <c r="E1" s="260"/>
      <c r="F1" s="260"/>
      <c r="G1" s="260"/>
      <c r="H1" s="260"/>
      <c r="I1" s="261"/>
    </row>
    <row r="2" spans="1:9" s="4" customFormat="1" ht="6.95" customHeight="1" x14ac:dyDescent="0.2">
      <c r="A2" s="20"/>
      <c r="D2" s="180"/>
      <c r="H2" s="158"/>
      <c r="I2" s="22"/>
    </row>
    <row r="3" spans="1:9" s="4" customFormat="1" ht="12" customHeight="1" x14ac:dyDescent="0.2">
      <c r="A3" s="23" t="s">
        <v>1</v>
      </c>
      <c r="D3" s="180"/>
      <c r="H3" s="158"/>
      <c r="I3" s="22"/>
    </row>
    <row r="4" spans="1:9" s="4" customFormat="1" ht="16.5" customHeight="1" x14ac:dyDescent="0.2">
      <c r="A4" s="20"/>
      <c r="C4" s="270" t="str">
        <f>[1]Rekapitulace!K4</f>
        <v>Oprava MK Kolomuty 2021</v>
      </c>
      <c r="D4" s="270"/>
      <c r="E4" s="271"/>
      <c r="F4" s="271"/>
      <c r="G4" s="271"/>
      <c r="H4" s="158"/>
      <c r="I4" s="22"/>
    </row>
    <row r="5" spans="1:9" s="1" customFormat="1" ht="12" customHeight="1" x14ac:dyDescent="0.2">
      <c r="A5" s="23" t="s">
        <v>11</v>
      </c>
      <c r="D5" s="64"/>
      <c r="H5" s="2"/>
      <c r="I5" s="25"/>
    </row>
    <row r="6" spans="1:9" s="1" customFormat="1" ht="16.5" customHeight="1" x14ac:dyDescent="0.2">
      <c r="A6" s="26"/>
      <c r="C6" s="270" t="s">
        <v>69</v>
      </c>
      <c r="D6" s="270"/>
      <c r="E6" s="272"/>
      <c r="F6" s="272"/>
      <c r="G6" s="272"/>
      <c r="H6" s="2"/>
      <c r="I6" s="25"/>
    </row>
    <row r="7" spans="1:9" s="1" customFormat="1" ht="12" customHeight="1" x14ac:dyDescent="0.2">
      <c r="A7" s="23" t="s">
        <v>38</v>
      </c>
      <c r="D7" s="64"/>
      <c r="H7" s="2"/>
      <c r="I7" s="25"/>
    </row>
    <row r="8" spans="1:9" s="4" customFormat="1" ht="16.5" customHeight="1" x14ac:dyDescent="0.2">
      <c r="A8" s="20"/>
      <c r="C8" s="273" t="str">
        <f>C6</f>
        <v>MK Komunikace</v>
      </c>
      <c r="D8" s="273"/>
      <c r="E8" s="274"/>
      <c r="F8" s="274"/>
      <c r="G8" s="274"/>
      <c r="H8" s="158"/>
      <c r="I8" s="22"/>
    </row>
    <row r="9" spans="1:9" s="4" customFormat="1" ht="12" customHeight="1" x14ac:dyDescent="0.2">
      <c r="A9" s="23" t="s">
        <v>39</v>
      </c>
      <c r="D9" s="180"/>
      <c r="H9" s="158"/>
      <c r="I9" s="22"/>
    </row>
    <row r="10" spans="1:9" s="4" customFormat="1" ht="16.5" customHeight="1" x14ac:dyDescent="0.2">
      <c r="A10" s="20"/>
      <c r="C10" s="275" t="str">
        <f>+Rekapitulace!K21</f>
        <v>úsek 5 - ACO 50 mm v roce 2021</v>
      </c>
      <c r="D10" s="275"/>
      <c r="E10" s="274"/>
      <c r="F10" s="274"/>
      <c r="G10" s="274"/>
      <c r="H10" s="158"/>
      <c r="I10" s="22"/>
    </row>
    <row r="11" spans="1:9" s="4" customFormat="1" ht="6.95" customHeight="1" x14ac:dyDescent="0.2">
      <c r="A11" s="20"/>
      <c r="D11" s="180"/>
      <c r="H11" s="158"/>
      <c r="I11" s="22"/>
    </row>
    <row r="12" spans="1:9" s="4" customFormat="1" ht="12" customHeight="1" x14ac:dyDescent="0.2">
      <c r="A12" s="23" t="s">
        <v>2</v>
      </c>
      <c r="D12" s="180"/>
      <c r="E12" s="182" t="str">
        <f>[1]Rekapitulace!K5</f>
        <v>Kolomuty</v>
      </c>
      <c r="H12" s="183" t="s">
        <v>3</v>
      </c>
      <c r="I12" s="136">
        <f>[1]Rekapitulace!AL5</f>
        <v>44514</v>
      </c>
    </row>
    <row r="13" spans="1:9" s="4" customFormat="1" ht="6.95" customHeight="1" x14ac:dyDescent="0.2">
      <c r="A13" s="20"/>
      <c r="D13" s="180"/>
      <c r="H13" s="158"/>
      <c r="I13" s="22"/>
    </row>
    <row r="14" spans="1:9" s="4" customFormat="1" ht="15.2" customHeight="1" x14ac:dyDescent="0.2">
      <c r="A14" s="23" t="s">
        <v>4</v>
      </c>
      <c r="D14" s="180"/>
      <c r="E14" s="182" t="str">
        <f>[1]Rekapitulace!K7</f>
        <v>Vodovody a kanalizace Mladá Boleslav, a.s.</v>
      </c>
      <c r="H14" s="183"/>
      <c r="I14" s="137"/>
    </row>
    <row r="15" spans="1:9" s="4" customFormat="1" ht="15.2" customHeight="1" x14ac:dyDescent="0.2">
      <c r="A15" s="23" t="s">
        <v>5</v>
      </c>
      <c r="D15" s="180"/>
      <c r="E15" s="182" t="str">
        <f>I15</f>
        <v>POHL cz, a.s.</v>
      </c>
      <c r="H15" s="183" t="s">
        <v>6</v>
      </c>
      <c r="I15" s="137" t="s">
        <v>130</v>
      </c>
    </row>
    <row r="16" spans="1:9" s="4" customFormat="1" ht="15.2" customHeight="1" thickBot="1" x14ac:dyDescent="0.25">
      <c r="A16" s="23"/>
      <c r="D16" s="180"/>
      <c r="E16" s="182"/>
      <c r="H16" s="183"/>
      <c r="I16" s="137"/>
    </row>
    <row r="17" spans="1:14" s="4" customFormat="1" ht="16.5" customHeight="1" thickBot="1" x14ac:dyDescent="0.25">
      <c r="A17" s="20"/>
      <c r="D17" s="180"/>
      <c r="G17" s="266" t="str">
        <f>A1</f>
        <v>Rozpočet stavby (výkaz výměr)</v>
      </c>
      <c r="H17" s="267"/>
      <c r="I17" s="268"/>
    </row>
    <row r="18" spans="1:14" s="5" customFormat="1" ht="13.5" customHeight="1" x14ac:dyDescent="0.2">
      <c r="A18" s="29" t="s">
        <v>13</v>
      </c>
      <c r="B18" s="7" t="s">
        <v>9</v>
      </c>
      <c r="C18" s="7" t="s">
        <v>7</v>
      </c>
      <c r="D18" s="7"/>
      <c r="E18" s="7" t="s">
        <v>8</v>
      </c>
      <c r="F18" s="7" t="s">
        <v>14</v>
      </c>
      <c r="G18" s="18" t="s">
        <v>15</v>
      </c>
      <c r="H18" s="19" t="s">
        <v>16</v>
      </c>
      <c r="I18" s="96" t="s">
        <v>12</v>
      </c>
    </row>
    <row r="19" spans="1:14" s="4" customFormat="1" ht="22.9" customHeight="1" x14ac:dyDescent="0.25">
      <c r="A19" s="30" t="s">
        <v>17</v>
      </c>
      <c r="D19" s="180"/>
      <c r="G19" s="20"/>
      <c r="H19" s="158"/>
      <c r="I19" s="31">
        <f>I20</f>
        <v>189730.32</v>
      </c>
    </row>
    <row r="20" spans="1:14" s="8" customFormat="1" ht="15" customHeight="1" x14ac:dyDescent="0.2">
      <c r="A20" s="32"/>
      <c r="B20" s="184" t="s">
        <v>10</v>
      </c>
      <c r="C20" s="185" t="s">
        <v>18</v>
      </c>
      <c r="D20" s="186"/>
      <c r="E20" s="185" t="s">
        <v>19</v>
      </c>
      <c r="G20" s="32"/>
      <c r="H20" s="187"/>
      <c r="I20" s="37">
        <f>+I21+I27</f>
        <v>189730.32</v>
      </c>
    </row>
    <row r="21" spans="1:14" s="8" customFormat="1" ht="18.75" customHeight="1" x14ac:dyDescent="0.2">
      <c r="A21" s="32"/>
      <c r="B21" s="184" t="s">
        <v>10</v>
      </c>
      <c r="C21" s="188">
        <v>1</v>
      </c>
      <c r="D21" s="189" t="s">
        <v>68</v>
      </c>
      <c r="E21" s="188" t="s">
        <v>20</v>
      </c>
      <c r="G21" s="32"/>
      <c r="H21" s="187"/>
      <c r="I21" s="39">
        <f>I22+I24</f>
        <v>37196.199999999997</v>
      </c>
    </row>
    <row r="22" spans="1:14" s="8" customFormat="1" ht="45.6" customHeight="1" x14ac:dyDescent="0.2">
      <c r="A22" s="40">
        <v>1</v>
      </c>
      <c r="B22" s="9" t="s">
        <v>21</v>
      </c>
      <c r="C22" s="10" t="s">
        <v>76</v>
      </c>
      <c r="D22" s="67" t="s">
        <v>68</v>
      </c>
      <c r="E22" s="11" t="s">
        <v>77</v>
      </c>
      <c r="F22" s="6" t="s">
        <v>22</v>
      </c>
      <c r="G22" s="58">
        <f>+G28</f>
        <v>365.5</v>
      </c>
      <c r="H22" s="156">
        <v>55.24</v>
      </c>
      <c r="I22" s="41">
        <f>ROUND(H22*G22,2)</f>
        <v>20190.22</v>
      </c>
    </row>
    <row r="23" spans="1:14" s="8" customFormat="1" ht="19.149999999999999" customHeight="1" x14ac:dyDescent="0.2">
      <c r="A23" s="20"/>
      <c r="B23" s="176" t="s">
        <v>23</v>
      </c>
      <c r="C23" s="4"/>
      <c r="D23" s="180" t="s">
        <v>68</v>
      </c>
      <c r="E23" s="190" t="s">
        <v>131</v>
      </c>
      <c r="F23" s="4"/>
      <c r="G23" s="20"/>
      <c r="H23" s="158"/>
      <c r="I23" s="22"/>
    </row>
    <row r="24" spans="1:14" s="8" customFormat="1" ht="25.9" customHeight="1" x14ac:dyDescent="0.2">
      <c r="A24" s="40">
        <v>2</v>
      </c>
      <c r="B24" s="9" t="s">
        <v>21</v>
      </c>
      <c r="C24" s="10" t="s">
        <v>35</v>
      </c>
      <c r="D24" s="67" t="s">
        <v>68</v>
      </c>
      <c r="E24" s="11" t="s">
        <v>36</v>
      </c>
      <c r="F24" s="6" t="s">
        <v>28</v>
      </c>
      <c r="G24" s="58">
        <f>G22*0.128</f>
        <v>46.783999999999999</v>
      </c>
      <c r="H24" s="156">
        <v>363.5</v>
      </c>
      <c r="I24" s="41">
        <f>ROUND(H24*G24,2)</f>
        <v>17005.98</v>
      </c>
      <c r="N24" s="140"/>
    </row>
    <row r="25" spans="1:14" s="8" customFormat="1" ht="10.15" customHeight="1" x14ac:dyDescent="0.2">
      <c r="A25" s="44"/>
      <c r="B25" s="176" t="s">
        <v>24</v>
      </c>
      <c r="C25" s="191" t="s">
        <v>0</v>
      </c>
      <c r="D25" s="192" t="s">
        <v>68</v>
      </c>
      <c r="E25" s="193" t="s">
        <v>37</v>
      </c>
      <c r="F25" s="194"/>
      <c r="G25" s="59" t="s">
        <v>0</v>
      </c>
      <c r="H25" s="195"/>
      <c r="I25" s="56"/>
    </row>
    <row r="26" spans="1:14" s="8" customFormat="1" ht="10.15" customHeight="1" x14ac:dyDescent="0.2">
      <c r="A26" s="44"/>
      <c r="B26" s="176" t="s">
        <v>24</v>
      </c>
      <c r="C26" s="191" t="s">
        <v>0</v>
      </c>
      <c r="D26" s="192" t="s">
        <v>68</v>
      </c>
      <c r="E26" s="193" t="s">
        <v>27</v>
      </c>
      <c r="F26" s="194"/>
      <c r="G26" s="59" t="s">
        <v>0</v>
      </c>
      <c r="H26" s="195"/>
      <c r="I26" s="56"/>
    </row>
    <row r="27" spans="1:14" s="8" customFormat="1" ht="22.9" customHeight="1" x14ac:dyDescent="0.2">
      <c r="A27" s="32"/>
      <c r="B27" s="184" t="s">
        <v>10</v>
      </c>
      <c r="C27" s="188" t="s">
        <v>25</v>
      </c>
      <c r="D27" s="189" t="s">
        <v>68</v>
      </c>
      <c r="E27" s="188" t="s">
        <v>30</v>
      </c>
      <c r="G27" s="32"/>
      <c r="H27" s="187"/>
      <c r="I27" s="39">
        <f>I28+I30</f>
        <v>152534.12</v>
      </c>
    </row>
    <row r="28" spans="1:14" s="4" customFormat="1" ht="24" customHeight="1" x14ac:dyDescent="0.2">
      <c r="A28" s="40">
        <v>1</v>
      </c>
      <c r="B28" s="9" t="s">
        <v>21</v>
      </c>
      <c r="C28" s="10" t="s">
        <v>31</v>
      </c>
      <c r="D28" s="67" t="s">
        <v>68</v>
      </c>
      <c r="E28" s="11" t="s">
        <v>32</v>
      </c>
      <c r="F28" s="6" t="s">
        <v>22</v>
      </c>
      <c r="G28" s="58">
        <f>+G29</f>
        <v>365.5</v>
      </c>
      <c r="H28" s="156">
        <v>20.62</v>
      </c>
      <c r="I28" s="41">
        <f>ROUND(H28*G28,2)</f>
        <v>7536.61</v>
      </c>
    </row>
    <row r="29" spans="1:14" s="14" customFormat="1" outlineLevel="1" x14ac:dyDescent="0.2">
      <c r="A29" s="49"/>
      <c r="B29" s="176" t="s">
        <v>24</v>
      </c>
      <c r="C29" s="177" t="s">
        <v>0</v>
      </c>
      <c r="D29" s="178" t="s">
        <v>41</v>
      </c>
      <c r="E29" s="179" t="s">
        <v>132</v>
      </c>
      <c r="G29" s="60">
        <f>73.1*5</f>
        <v>365.5</v>
      </c>
      <c r="H29" s="157"/>
      <c r="I29" s="55"/>
    </row>
    <row r="30" spans="1:14" s="4" customFormat="1" ht="36" customHeight="1" x14ac:dyDescent="0.2">
      <c r="A30" s="40">
        <v>2</v>
      </c>
      <c r="B30" s="9" t="s">
        <v>21</v>
      </c>
      <c r="C30" s="10" t="s">
        <v>33</v>
      </c>
      <c r="D30" s="67" t="s">
        <v>68</v>
      </c>
      <c r="E30" s="11" t="s">
        <v>34</v>
      </c>
      <c r="F30" s="6" t="s">
        <v>22</v>
      </c>
      <c r="G30" s="58">
        <f>G31</f>
        <v>365.5</v>
      </c>
      <c r="H30" s="156">
        <v>396.71</v>
      </c>
      <c r="I30" s="41">
        <f>ROUND(H30*G30,2)</f>
        <v>144997.51</v>
      </c>
    </row>
    <row r="31" spans="1:14" s="14" customFormat="1" outlineLevel="1" x14ac:dyDescent="0.2">
      <c r="A31" s="49"/>
      <c r="B31" s="176" t="s">
        <v>24</v>
      </c>
      <c r="C31" s="177" t="s">
        <v>0</v>
      </c>
      <c r="D31" s="178" t="s">
        <v>41</v>
      </c>
      <c r="E31" s="179" t="str">
        <f>E29</f>
        <v>73,1 * 5,0 "místní asfalt</v>
      </c>
      <c r="G31" s="60">
        <f>+G29</f>
        <v>365.5</v>
      </c>
      <c r="H31" s="157"/>
      <c r="I31" s="55"/>
    </row>
    <row r="32" spans="1:14" ht="7.5" customHeight="1" x14ac:dyDescent="0.2"/>
    <row r="33" spans="2:8" hidden="1" x14ac:dyDescent="0.2"/>
    <row r="35" spans="2:8" ht="12.75" x14ac:dyDescent="0.2">
      <c r="B35" s="208" t="s">
        <v>163</v>
      </c>
      <c r="C35" s="209"/>
      <c r="E35" s="208" t="s">
        <v>168</v>
      </c>
      <c r="F35" s="210" t="s">
        <v>164</v>
      </c>
      <c r="G35" s="208"/>
      <c r="H35" s="211" t="s">
        <v>165</v>
      </c>
    </row>
    <row r="36" spans="2:8" ht="12.75" x14ac:dyDescent="0.2">
      <c r="B36" s="208"/>
      <c r="C36" s="209"/>
      <c r="E36" s="208"/>
      <c r="F36" s="208"/>
      <c r="G36" s="208"/>
      <c r="H36" s="212"/>
    </row>
    <row r="37" spans="2:8" ht="12.75" x14ac:dyDescent="0.2">
      <c r="B37" s="208" t="s">
        <v>166</v>
      </c>
      <c r="C37" s="209"/>
      <c r="E37" s="208" t="s">
        <v>166</v>
      </c>
      <c r="F37" s="208" t="s">
        <v>166</v>
      </c>
      <c r="G37" s="208"/>
      <c r="H37" s="211" t="s">
        <v>169</v>
      </c>
    </row>
  </sheetData>
  <autoFilter ref="A20:I31" xr:uid="{ADC52172-0D32-4B34-B6F0-D79BCE86E72E}"/>
  <mergeCells count="6">
    <mergeCell ref="G17:I17"/>
    <mergeCell ref="A1:I1"/>
    <mergeCell ref="C4:G4"/>
    <mergeCell ref="C6:G6"/>
    <mergeCell ref="C8:G8"/>
    <mergeCell ref="C10:G10"/>
  </mergeCells>
  <pageMargins left="0.7" right="0.7" top="0.78740157499999996" bottom="0.78740157499999996" header="0.3" footer="0.3"/>
  <pageSetup paperSize="9" scale="9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14</vt:i4>
      </vt:variant>
    </vt:vector>
  </HeadingPairs>
  <TitlesOfParts>
    <vt:vector size="28" baseType="lpstr">
      <vt:lpstr>Rekapitulace Celkem</vt:lpstr>
      <vt:lpstr>Rekapitulace</vt:lpstr>
      <vt:lpstr>úsek1</vt:lpstr>
      <vt:lpstr>úsek2</vt:lpstr>
      <vt:lpstr>úsek3 - 21</vt:lpstr>
      <vt:lpstr>úsek3 - 22</vt:lpstr>
      <vt:lpstr>úsek4</vt:lpstr>
      <vt:lpstr>úsek5</vt:lpstr>
      <vt:lpstr>úsek5 ACO</vt:lpstr>
      <vt:lpstr>úsek6</vt:lpstr>
      <vt:lpstr>úsek7</vt:lpstr>
      <vt:lpstr>úsek8</vt:lpstr>
      <vt:lpstr>úsek9</vt:lpstr>
      <vt:lpstr>obruby</vt:lpstr>
      <vt:lpstr>obruby!Oblast_tisku</vt:lpstr>
      <vt:lpstr>Rekapitulace!Oblast_tisku</vt:lpstr>
      <vt:lpstr>'Rekapitulace Celkem'!Oblast_tisku</vt:lpstr>
      <vt:lpstr>úsek1!Oblast_tisku</vt:lpstr>
      <vt:lpstr>úsek2!Oblast_tisku</vt:lpstr>
      <vt:lpstr>'úsek3 - 21'!Oblast_tisku</vt:lpstr>
      <vt:lpstr>'úsek3 - 22'!Oblast_tisku</vt:lpstr>
      <vt:lpstr>úsek4!Oblast_tisku</vt:lpstr>
      <vt:lpstr>úsek5!Oblast_tisku</vt:lpstr>
      <vt:lpstr>'úsek5 ACO'!Oblast_tisku</vt:lpstr>
      <vt:lpstr>úsek6!Oblast_tisku</vt:lpstr>
      <vt:lpstr>úsek7!Oblast_tisku</vt:lpstr>
      <vt:lpstr>úsek8!Oblast_tisku</vt:lpstr>
      <vt:lpstr>úsek9!Oblast_tisku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ANTALOVÁ, Zdena</cp:lastModifiedBy>
  <cp:lastPrinted>2023-01-09T14:37:21Z</cp:lastPrinted>
  <dcterms:created xsi:type="dcterms:W3CDTF">2019-12-13T14:47:47Z</dcterms:created>
  <dcterms:modified xsi:type="dcterms:W3CDTF">2023-01-09T14:38:46Z</dcterms:modified>
</cp:coreProperties>
</file>