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drawings/drawing21.xml" ContentType="application/vnd.openxmlformats-officedocument.drawing+xml"/>
  <Override PartName="/xl/drawings/drawing22.xml" ContentType="application/vnd.openxmlformats-officedocument.drawing+xml"/>
  <Override PartName="/xl/drawings/drawing23.xml" ContentType="application/vnd.openxmlformats-officedocument.drawing+xml"/>
  <Override PartName="/xl/drawings/drawing24.xml" ContentType="application/vnd.openxmlformats-officedocument.drawing+xml"/>
  <Override PartName="/xl/drawings/drawing25.xml" ContentType="application/vnd.openxmlformats-officedocument.drawing+xml"/>
  <Override PartName="/xl/drawings/drawing26.xml" ContentType="application/vnd.openxmlformats-officedocument.drawing+xml"/>
  <Override PartName="/xl/drawings/drawing27.xml" ContentType="application/vnd.openxmlformats-officedocument.drawing+xml"/>
  <Override PartName="/xl/drawings/drawing28.xml" ContentType="application/vnd.openxmlformats-officedocument.drawing+xml"/>
  <Override PartName="/xl/drawings/drawing29.xml" ContentType="application/vnd.openxmlformats-officedocument.drawing+xml"/>
  <Override PartName="/xl/drawings/drawing30.xml" ContentType="application/vnd.openxmlformats-officedocument.drawing+xml"/>
  <Override PartName="/xl/drawings/drawing31.xml" ContentType="application/vnd.openxmlformats-officedocument.drawing+xml"/>
  <Override PartName="/xl/drawings/drawing32.xml" ContentType="application/vnd.openxmlformats-officedocument.drawing+xml"/>
  <Override PartName="/xl/drawings/drawing33.xml" ContentType="application/vnd.openxmlformats-officedocument.drawing+xml"/>
  <Override PartName="/xl/drawings/drawing3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/>
  <mc:AlternateContent xmlns:mc="http://schemas.openxmlformats.org/markup-compatibility/2006">
    <mc:Choice Requires="x15">
      <x15ac:absPath xmlns:x15ac="http://schemas.microsoft.com/office/spreadsheetml/2010/11/ac" url="S:\6003_Výstavba kanalizace - Kolomuty\#VÍCEPRÁCE\00_INVESTOR\00_Změnové listy_INVESTOR_projednané\6003_Jizera B_Dodatek D3 - úprava ZA - oprava 6.1.2023\"/>
    </mc:Choice>
  </mc:AlternateContent>
  <xr:revisionPtr revIDLastSave="0" documentId="13_ncr:1_{64025B3C-D21A-47B2-8528-A51AE9587F6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kapitulace stavby" sheetId="1" r:id="rId1"/>
    <sheet name="01 - SO 01.A - Stoka A.0 " sheetId="2" r:id="rId2"/>
    <sheet name="02 - SO 01.B - Stoka A.0.1" sheetId="3" r:id="rId3"/>
    <sheet name="03 - SO 01.C - Stoka A" sheetId="4" r:id="rId4"/>
    <sheet name="05 - SO 01.E - Stoka A.1.1" sheetId="6" r:id="rId5"/>
    <sheet name="04 - SO 01.D - Stoka A.1" sheetId="5" r:id="rId6"/>
    <sheet name="06 - SO 01.F - Stoka A.1.2" sheetId="7" r:id="rId7"/>
    <sheet name="07 - SO 01.G - Stoka A.2" sheetId="8" r:id="rId8"/>
    <sheet name="08 - SO 01.H - Stoka A.2.1" sheetId="9" r:id="rId9"/>
    <sheet name="09 - SO 01.I - Stoka A.3" sheetId="10" r:id="rId10"/>
    <sheet name="10 - SO 01.J - Stoka A.4" sheetId="11" r:id="rId11"/>
    <sheet name="11 - SO 01.J - Stoka A.4.1" sheetId="12" r:id="rId12"/>
    <sheet name="12 - SO 01.K - Stoka A.5" sheetId="13" r:id="rId13"/>
    <sheet name="13 - SO 01.L - Stoka B" sheetId="14" r:id="rId14"/>
    <sheet name="14 - SO 01.M - Stoka B.1" sheetId="15" r:id="rId15"/>
    <sheet name="15 - SO 01.N - Stoka B.2" sheetId="16" r:id="rId16"/>
    <sheet name="16 - SO 01.O - Stoka B.2.1" sheetId="17" r:id="rId17"/>
    <sheet name="17 - SO 01.P - Stoka B.3" sheetId="18" r:id="rId18"/>
    <sheet name="18 - SO 01.L - Stoka B.4" sheetId="19" r:id="rId19"/>
    <sheet name="01 - SAO 01.1.A - Tlaková..." sheetId="20" r:id="rId20"/>
    <sheet name="01 - SO 02.A - ČSOV 1 - s..." sheetId="21" r:id="rId21"/>
    <sheet name="02 - SO 02.B - Výtlačný ř..." sheetId="22" r:id="rId22"/>
    <sheet name="03 - PS 02.1 - Strojně te..." sheetId="23" r:id="rId23"/>
    <sheet name="04 - PS 02.2 - Elektrotec..." sheetId="24" r:id="rId24"/>
    <sheet name="05 - PS 02.3 - Systém říz..." sheetId="25" r:id="rId25"/>
    <sheet name="04 - SO 02.1 - Přípojka N..." sheetId="26" r:id="rId26"/>
    <sheet name="05 - SO 02.2 - Výtlačný ř..." sheetId="27" r:id="rId27"/>
    <sheet name="01 - SO 03.A - ČSOV 2 - s..." sheetId="28" r:id="rId28"/>
    <sheet name="02 - SO 03.B - Výtlačný ř..." sheetId="29" r:id="rId29"/>
    <sheet name="03 - PS 03.1 - Strojně te..." sheetId="30" r:id="rId30"/>
    <sheet name="04 - PS 03.2 - Elektrotec..." sheetId="31" r:id="rId31"/>
    <sheet name="05 - PS 03.3 - Systém říz..." sheetId="32" r:id="rId32"/>
    <sheet name="07 - SO 03.1 - Přípojka N..." sheetId="33" r:id="rId33"/>
    <sheet name="08 - VRN" sheetId="34" r:id="rId34"/>
  </sheets>
  <externalReferences>
    <externalReference r:id="rId35"/>
  </externalReferences>
  <definedNames>
    <definedName name="_xlnm._FilterDatabase" localSheetId="19" hidden="1">'01 - SAO 01.1.A - Tlaková...'!$C$10:$P$94</definedName>
    <definedName name="_xlnm._FilterDatabase" localSheetId="1" hidden="1">'01 - SO 01.A - Stoka A.0 '!$C$10:$P$96</definedName>
    <definedName name="_xlnm._FilterDatabase" localSheetId="20" hidden="1">'01 - SO 02.A - ČSOV 1 - s...'!$C$10:$P$102</definedName>
    <definedName name="_xlnm._FilterDatabase" localSheetId="27" hidden="1">'01 - SO 03.A - ČSOV 2 - s...'!$C$10:$P$102</definedName>
    <definedName name="_xlnm._FilterDatabase" localSheetId="2" hidden="1">'02 - SO 01.B - Stoka A.0.1'!$C$10:$P$88</definedName>
    <definedName name="_xlnm._FilterDatabase" localSheetId="21" hidden="1">'02 - SO 02.B - Výtlačný ř...'!$C$10:$P$93</definedName>
    <definedName name="_xlnm._FilterDatabase" localSheetId="28" hidden="1">'02 - SO 03.B - Výtlačný ř...'!$C$10:$P$88</definedName>
    <definedName name="_xlnm._FilterDatabase" localSheetId="22" hidden="1">'03 - PS 02.1 - Strojně te...'!$C$12:$J$21</definedName>
    <definedName name="_xlnm._FilterDatabase" localSheetId="29" hidden="1">'03 - PS 03.1 - Strojně te...'!$C$12:$J$21</definedName>
    <definedName name="_xlnm._FilterDatabase" localSheetId="3" hidden="1">'03 - SO 01.C - Stoka A'!$C$10:$P$113</definedName>
    <definedName name="_xlnm._FilterDatabase" localSheetId="5" hidden="1">'04 - SO 01.D - Stoka A.1'!$C$10:$P$94</definedName>
    <definedName name="_xlnm._FilterDatabase" localSheetId="25" hidden="1">'04 - SO 02.1 - Přípojka N...'!$C$10:$P$27</definedName>
    <definedName name="_xlnm._FilterDatabase" localSheetId="4" hidden="1">'05 - SO 01.E - Stoka A.1.1'!$C$10:$P$88</definedName>
    <definedName name="_xlnm._FilterDatabase" localSheetId="26" hidden="1">'05 - SO 02.2 - Výtlačný ř...'!$C$10:$P$115</definedName>
    <definedName name="_xlnm._FilterDatabase" localSheetId="6" hidden="1">'06 - SO 01.F - Stoka A.1.2'!$C$10:$P$84</definedName>
    <definedName name="_xlnm._FilterDatabase" localSheetId="7" hidden="1">'07 - SO 01.G - Stoka A.2'!$C$10:$P$92</definedName>
    <definedName name="_xlnm._FilterDatabase" localSheetId="32" hidden="1">'07 - SO 03.1 - Přípojka N...'!$C$10:$P$27</definedName>
    <definedName name="_xlnm._FilterDatabase" localSheetId="8" hidden="1">'08 - SO 01.H - Stoka A.2.1'!$C$10:$P$78</definedName>
    <definedName name="_xlnm._FilterDatabase" localSheetId="33" hidden="1">'08 - VRN'!$C$10:$P$33</definedName>
    <definedName name="_xlnm._FilterDatabase" localSheetId="9" hidden="1">'09 - SO 01.I - Stoka A.3'!$C$10:$P$90</definedName>
    <definedName name="_xlnm._FilterDatabase" localSheetId="10" hidden="1">'10 - SO 01.J - Stoka A.4'!$C$10:$P$79</definedName>
    <definedName name="_xlnm._FilterDatabase" localSheetId="11" hidden="1">'11 - SO 01.J - Stoka A.4.1'!$C$10:$P$79</definedName>
    <definedName name="_xlnm._FilterDatabase" localSheetId="12" hidden="1">'12 - SO 01.K - Stoka A.5'!$C$10:$P$72</definedName>
    <definedName name="_xlnm._FilterDatabase" localSheetId="13" hidden="1">'13 - SO 01.L - Stoka B'!$C$10:$P$111</definedName>
    <definedName name="_xlnm._FilterDatabase" localSheetId="14" hidden="1">'14 - SO 01.M - Stoka B.1'!$C$10:$P$75</definedName>
    <definedName name="_xlnm._FilterDatabase" localSheetId="15" hidden="1">'15 - SO 01.N - Stoka B.2'!$C$10:$P$94</definedName>
    <definedName name="_xlnm._FilterDatabase" localSheetId="16" hidden="1">'16 - SO 01.O - Stoka B.2.1'!$C$10:$P$85</definedName>
    <definedName name="_xlnm._FilterDatabase" localSheetId="17" hidden="1">'17 - SO 01.P - Stoka B.3'!$C$10:$P$70</definedName>
    <definedName name="_xlnm._FilterDatabase" localSheetId="18" hidden="1">'18 - SO 01.L - Stoka B.4'!$C$10:$P$78</definedName>
    <definedName name="_xlnm._FilterDatabase" localSheetId="0" hidden="1">'Rekapitulace stavby'!$B$11:$H$50</definedName>
    <definedName name="_xlnm.Print_Titles" localSheetId="19">'01 - SAO 01.1.A - Tlaková...'!$1:$10</definedName>
    <definedName name="_xlnm.Print_Titles" localSheetId="1">'01 - SO 01.A - Stoka A.0 '!$1:$10</definedName>
    <definedName name="_xlnm.Print_Titles" localSheetId="20">'01 - SO 02.A - ČSOV 1 - s...'!$1:$10</definedName>
    <definedName name="_xlnm.Print_Titles" localSheetId="27">'01 - SO 03.A - ČSOV 2 - s...'!$1:$10</definedName>
    <definedName name="_xlnm.Print_Titles" localSheetId="2">'02 - SO 01.B - Stoka A.0.1'!$1:$10</definedName>
    <definedName name="_xlnm.Print_Titles" localSheetId="21">'02 - SO 02.B - Výtlačný ř...'!$1:$10</definedName>
    <definedName name="_xlnm.Print_Titles" localSheetId="28">'02 - SO 03.B - Výtlačný ř...'!$1:$10</definedName>
    <definedName name="_xlnm.Print_Titles" localSheetId="22">'03 - PS 02.1 - Strojně te...'!$1:$10</definedName>
    <definedName name="_xlnm.Print_Titles" localSheetId="29">'03 - PS 03.1 - Strojně te...'!$1:$10</definedName>
    <definedName name="_xlnm.Print_Titles" localSheetId="3">'03 - SO 01.C - Stoka A'!$1:$10</definedName>
    <definedName name="_xlnm.Print_Titles" localSheetId="23">'04 - PS 02.2 - Elektrotec...'!$1:$10</definedName>
    <definedName name="_xlnm.Print_Titles" localSheetId="30">'04 - PS 03.2 - Elektrotec...'!$1:$10</definedName>
    <definedName name="_xlnm.Print_Titles" localSheetId="5">'04 - SO 01.D - Stoka A.1'!$1:$10</definedName>
    <definedName name="_xlnm.Print_Titles" localSheetId="25">'04 - SO 02.1 - Přípojka N...'!$1:$10</definedName>
    <definedName name="_xlnm.Print_Titles" localSheetId="24">'05 - PS 02.3 - Systém říz...'!$1:$10</definedName>
    <definedName name="_xlnm.Print_Titles" localSheetId="31">'05 - PS 03.3 - Systém říz...'!$1:$10</definedName>
    <definedName name="_xlnm.Print_Titles" localSheetId="4">'05 - SO 01.E - Stoka A.1.1'!$1:$10</definedName>
    <definedName name="_xlnm.Print_Titles" localSheetId="26">'05 - SO 02.2 - Výtlačný ř...'!$1:$10</definedName>
    <definedName name="_xlnm.Print_Titles" localSheetId="6">'06 - SO 01.F - Stoka A.1.2'!$1:$10</definedName>
    <definedName name="_xlnm.Print_Titles" localSheetId="7">'07 - SO 01.G - Stoka A.2'!$1:$10</definedName>
    <definedName name="_xlnm.Print_Titles" localSheetId="32">'07 - SO 03.1 - Přípojka N...'!$1:$10</definedName>
    <definedName name="_xlnm.Print_Titles" localSheetId="8">'08 - SO 01.H - Stoka A.2.1'!$1:$10</definedName>
    <definedName name="_xlnm.Print_Titles" localSheetId="33">'08 - VRN'!$1:$10</definedName>
    <definedName name="_xlnm.Print_Titles" localSheetId="9">'09 - SO 01.I - Stoka A.3'!$1:$10</definedName>
    <definedName name="_xlnm.Print_Titles" localSheetId="10">'10 - SO 01.J - Stoka A.4'!$1:$10</definedName>
    <definedName name="_xlnm.Print_Titles" localSheetId="11">'11 - SO 01.J - Stoka A.4.1'!$1:$10</definedName>
    <definedName name="_xlnm.Print_Titles" localSheetId="12">'12 - SO 01.K - Stoka A.5'!$1:$10</definedName>
    <definedName name="_xlnm.Print_Titles" localSheetId="13">'13 - SO 01.L - Stoka B'!$1:$10</definedName>
    <definedName name="_xlnm.Print_Titles" localSheetId="14">'14 - SO 01.M - Stoka B.1'!$1:$10</definedName>
    <definedName name="_xlnm.Print_Titles" localSheetId="15">'15 - SO 01.N - Stoka B.2'!$1:$10</definedName>
    <definedName name="_xlnm.Print_Titles" localSheetId="16">'16 - SO 01.O - Stoka B.2.1'!$1:$10</definedName>
    <definedName name="_xlnm.Print_Titles" localSheetId="17">'17 - SO 01.P - Stoka B.3'!$1:$10</definedName>
    <definedName name="_xlnm.Print_Titles" localSheetId="18">'18 - SO 01.L - Stoka B.4'!$1:$10</definedName>
    <definedName name="_xlnm.Print_Titles" localSheetId="0">'Rekapitulace stavby'!$1:$11</definedName>
    <definedName name="_xlnm.Print_Area" localSheetId="19">'01 - SAO 01.1.A - Tlaková...'!$B$1:$P$98</definedName>
    <definedName name="_xlnm.Print_Area" localSheetId="1">'01 - SO 01.A - Stoka A.0 '!$B$1:$P$100</definedName>
    <definedName name="_xlnm.Print_Area" localSheetId="20">'01 - SO 02.A - ČSOV 1 - s...'!$B$1:$P$106</definedName>
    <definedName name="_xlnm.Print_Area" localSheetId="27">'01 - SO 03.A - ČSOV 2 - s...'!$B$1:$P$106</definedName>
    <definedName name="_xlnm.Print_Area" localSheetId="2">'02 - SO 01.B - Stoka A.0.1'!$B$1:$P$92</definedName>
    <definedName name="_xlnm.Print_Area" localSheetId="21">'02 - SO 02.B - Výtlačný ř...'!$B$1:$P$97</definedName>
    <definedName name="_xlnm.Print_Area" localSheetId="28">'02 - SO 03.B - Výtlačný ř...'!$B$1:$P$92</definedName>
    <definedName name="_xlnm.Print_Area" localSheetId="22">'03 - PS 02.1 - Strojně te...'!$B$1:$P$25</definedName>
    <definedName name="_xlnm.Print_Area" localSheetId="29">'03 - PS 03.1 - Strojně te...'!$B$1:$P$25</definedName>
    <definedName name="_xlnm.Print_Area" localSheetId="3">'03 - SO 01.C - Stoka A'!$B$1:$AF$117</definedName>
    <definedName name="_xlnm.Print_Area" localSheetId="23">'04 - PS 02.2 - Elektrotec...'!$B$1:$P$79</definedName>
    <definedName name="_xlnm.Print_Area" localSheetId="30">'04 - PS 03.2 - Elektrotec...'!$B$1:$P$79</definedName>
    <definedName name="_xlnm.Print_Area" localSheetId="5">'04 - SO 01.D - Stoka A.1'!$B$1:$P$98</definedName>
    <definedName name="_xlnm.Print_Area" localSheetId="25">'04 - SO 02.1 - Přípojka N...'!$B$1:$P$31</definedName>
    <definedName name="_xlnm.Print_Area" localSheetId="24">'05 - PS 02.3 - Systém říz...'!$B$1:$P$36</definedName>
    <definedName name="_xlnm.Print_Area" localSheetId="31">'05 - PS 03.3 - Systém říz...'!$B$1:$P$36</definedName>
    <definedName name="_xlnm.Print_Area" localSheetId="4">'05 - SO 01.E - Stoka A.1.1'!$C$1:$P$91</definedName>
    <definedName name="_xlnm.Print_Area" localSheetId="26">'05 - SO 02.2 - Výtlačný ř...'!$B$1:$P$119</definedName>
    <definedName name="_xlnm.Print_Area" localSheetId="6">'06 - SO 01.F - Stoka A.1.2'!$B$1:$AC$88</definedName>
    <definedName name="_xlnm.Print_Area" localSheetId="7">'07 - SO 01.G - Stoka A.2'!$B$1:$P$96</definedName>
    <definedName name="_xlnm.Print_Area" localSheetId="32">'07 - SO 03.1 - Přípojka N...'!$B$1:$P$31</definedName>
    <definedName name="_xlnm.Print_Area" localSheetId="8">'08 - SO 01.H - Stoka A.2.1'!$B$1:$P$82</definedName>
    <definedName name="_xlnm.Print_Area" localSheetId="33">'08 - VRN'!$B$1:$P$37</definedName>
    <definedName name="_xlnm.Print_Area" localSheetId="9">'09 - SO 01.I - Stoka A.3'!$B$1:$P$94</definedName>
    <definedName name="_xlnm.Print_Area" localSheetId="10">'10 - SO 01.J - Stoka A.4'!$B$1:$P$83</definedName>
    <definedName name="_xlnm.Print_Area" localSheetId="11">'11 - SO 01.J - Stoka A.4.1'!$B$1:$P$83</definedName>
    <definedName name="_xlnm.Print_Area" localSheetId="12">'12 - SO 01.K - Stoka A.5'!$B$1:$P$76</definedName>
    <definedName name="_xlnm.Print_Area" localSheetId="13">'13 - SO 01.L - Stoka B'!$B$1:$P$116</definedName>
    <definedName name="_xlnm.Print_Area" localSheetId="14">'14 - SO 01.M - Stoka B.1'!$B$1:$P$79</definedName>
    <definedName name="_xlnm.Print_Area" localSheetId="15">'15 - SO 01.N - Stoka B.2'!$B$1:$AA$98</definedName>
    <definedName name="_xlnm.Print_Area" localSheetId="16">'16 - SO 01.O - Stoka B.2.1'!$B$1:$P$89</definedName>
    <definedName name="_xlnm.Print_Area" localSheetId="17">'17 - SO 01.P - Stoka B.3'!$B$1:$P$74</definedName>
    <definedName name="_xlnm.Print_Area" localSheetId="18">'18 - SO 01.L - Stoka B.4'!$B$1:$P$82</definedName>
    <definedName name="_xlnm.Print_Area" localSheetId="0">'Rekapitulace stavby'!$B$1:$H$59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115" i="27" l="1"/>
  <c r="K114" i="27"/>
  <c r="K111" i="27"/>
  <c r="K109" i="27"/>
  <c r="K107" i="27"/>
  <c r="K98" i="27"/>
  <c r="K97" i="27"/>
  <c r="K96" i="27"/>
  <c r="K78" i="27"/>
  <c r="K68" i="27"/>
  <c r="K67" i="27"/>
  <c r="K48" i="27"/>
  <c r="K21" i="27"/>
  <c r="K22" i="27"/>
  <c r="K23" i="27"/>
  <c r="K24" i="27"/>
  <c r="K25" i="27"/>
  <c r="K26" i="27"/>
  <c r="K27" i="27"/>
  <c r="K28" i="27"/>
  <c r="K29" i="27"/>
  <c r="K30" i="27"/>
  <c r="K31" i="27"/>
  <c r="K32" i="27"/>
  <c r="K33" i="27"/>
  <c r="K34" i="27"/>
  <c r="K35" i="27"/>
  <c r="K36" i="27"/>
  <c r="K37" i="27"/>
  <c r="K38" i="27"/>
  <c r="K39" i="27"/>
  <c r="K40" i="27"/>
  <c r="K41" i="27"/>
  <c r="K42" i="27"/>
  <c r="K43" i="27"/>
  <c r="K44" i="27"/>
  <c r="K20" i="27"/>
  <c r="K90" i="10"/>
  <c r="K88" i="10"/>
  <c r="K87" i="10"/>
  <c r="K86" i="10"/>
  <c r="K84" i="10"/>
  <c r="K74" i="10"/>
  <c r="K62" i="10"/>
  <c r="K40" i="10"/>
  <c r="K22" i="10"/>
  <c r="K23" i="10"/>
  <c r="K24" i="10"/>
  <c r="K25" i="10"/>
  <c r="K26" i="10"/>
  <c r="K27" i="10"/>
  <c r="K28" i="10"/>
  <c r="K29" i="10"/>
  <c r="K30" i="10"/>
  <c r="K31" i="10"/>
  <c r="K32" i="10"/>
  <c r="K33" i="10"/>
  <c r="K34" i="10"/>
  <c r="K35" i="10"/>
  <c r="K36" i="10"/>
  <c r="K37" i="10"/>
  <c r="K38" i="10"/>
  <c r="Q22" i="10"/>
  <c r="Q23" i="10"/>
  <c r="Q24" i="10"/>
  <c r="Q25" i="10"/>
  <c r="Q26" i="10"/>
  <c r="Q27" i="10"/>
  <c r="Q28" i="10"/>
  <c r="Q29" i="10"/>
  <c r="Q30" i="10"/>
  <c r="Q31" i="10"/>
  <c r="Q32" i="10"/>
  <c r="Q33" i="10"/>
  <c r="Q34" i="10"/>
  <c r="Q35" i="10"/>
  <c r="Q36" i="10"/>
  <c r="Q37" i="10"/>
  <c r="Q38" i="10"/>
  <c r="Q40" i="10"/>
  <c r="Q42" i="10"/>
  <c r="Q43" i="10"/>
  <c r="Q44" i="10"/>
  <c r="Q45" i="10"/>
  <c r="Q46" i="10"/>
  <c r="Q48" i="10"/>
  <c r="Q49" i="10"/>
  <c r="Q50" i="10"/>
  <c r="Q51" i="10"/>
  <c r="Q52" i="10"/>
  <c r="Q53" i="10"/>
  <c r="Q54" i="10"/>
  <c r="Q55" i="10"/>
  <c r="Q56" i="10"/>
  <c r="Q58" i="10"/>
  <c r="Q59" i="10"/>
  <c r="Q60" i="10"/>
  <c r="Q61" i="10"/>
  <c r="Q62" i="10"/>
  <c r="Q63" i="10"/>
  <c r="Q64" i="10"/>
  <c r="Q65" i="10"/>
  <c r="Q66" i="10"/>
  <c r="Q67" i="10"/>
  <c r="Q68" i="10"/>
  <c r="Q69" i="10"/>
  <c r="Q70" i="10"/>
  <c r="Q71" i="10"/>
  <c r="Q72" i="10"/>
  <c r="Q73" i="10"/>
  <c r="Q74" i="10"/>
  <c r="Q75" i="10"/>
  <c r="Q77" i="10"/>
  <c r="Q78" i="10"/>
  <c r="Q79" i="10"/>
  <c r="Q80" i="10"/>
  <c r="Q81" i="10"/>
  <c r="Q82" i="10"/>
  <c r="Q84" i="10"/>
  <c r="Q85" i="10"/>
  <c r="Q86" i="10"/>
  <c r="Q87" i="10"/>
  <c r="Q88" i="10"/>
  <c r="Q90" i="10"/>
  <c r="K21" i="10"/>
  <c r="Q21" i="10"/>
  <c r="N16" i="11"/>
  <c r="N17" i="11"/>
  <c r="N18" i="11"/>
  <c r="N19" i="11"/>
  <c r="N20" i="11"/>
  <c r="N21" i="11"/>
  <c r="N22" i="11"/>
  <c r="N23" i="11"/>
  <c r="N24" i="11"/>
  <c r="N25" i="11"/>
  <c r="N26" i="11"/>
  <c r="N27" i="11"/>
  <c r="N28" i="11"/>
  <c r="N29" i="11"/>
  <c r="N30" i="11"/>
  <c r="N31" i="11"/>
  <c r="N32" i="11"/>
  <c r="N33" i="11"/>
  <c r="N34" i="11"/>
  <c r="N35" i="11"/>
  <c r="N37" i="11"/>
  <c r="N39" i="11"/>
  <c r="N40" i="11"/>
  <c r="N42" i="11"/>
  <c r="N43" i="11"/>
  <c r="N44" i="11"/>
  <c r="N45" i="11"/>
  <c r="N46" i="11"/>
  <c r="N47" i="11"/>
  <c r="N49" i="11"/>
  <c r="N50" i="11"/>
  <c r="N51" i="11"/>
  <c r="N52" i="11"/>
  <c r="N53" i="11"/>
  <c r="N54" i="11"/>
  <c r="N55" i="11"/>
  <c r="N56" i="11"/>
  <c r="N57" i="11"/>
  <c r="N58" i="11"/>
  <c r="N59" i="11"/>
  <c r="N60" i="11"/>
  <c r="N61" i="11"/>
  <c r="N62" i="11"/>
  <c r="N63" i="11"/>
  <c r="N64" i="11"/>
  <c r="N66" i="11"/>
  <c r="N67" i="11"/>
  <c r="N68" i="11"/>
  <c r="N69" i="11"/>
  <c r="N70" i="11"/>
  <c r="N71" i="11"/>
  <c r="N73" i="11"/>
  <c r="N74" i="11"/>
  <c r="N75" i="11"/>
  <c r="N76" i="11"/>
  <c r="N77" i="11"/>
  <c r="N79" i="11"/>
  <c r="N15" i="11"/>
  <c r="M78" i="11"/>
  <c r="P23" i="30"/>
  <c r="N16" i="17"/>
  <c r="N17" i="17"/>
  <c r="N18" i="17"/>
  <c r="N19" i="17"/>
  <c r="N20" i="17"/>
  <c r="N21" i="17"/>
  <c r="N22" i="17"/>
  <c r="N23" i="17"/>
  <c r="N24" i="17"/>
  <c r="N25" i="17"/>
  <c r="N26" i="17"/>
  <c r="N27" i="17"/>
  <c r="N28" i="17"/>
  <c r="N29" i="17"/>
  <c r="N30" i="17"/>
  <c r="N31" i="17"/>
  <c r="N32" i="17"/>
  <c r="N33" i="17"/>
  <c r="N34" i="17"/>
  <c r="N35" i="17"/>
  <c r="N36" i="17"/>
  <c r="N37" i="17"/>
  <c r="N38" i="17"/>
  <c r="N39" i="17"/>
  <c r="N40" i="17"/>
  <c r="N42" i="17"/>
  <c r="N44" i="17"/>
  <c r="N45" i="17"/>
  <c r="N46" i="17"/>
  <c r="N48" i="17"/>
  <c r="N49" i="17"/>
  <c r="N50" i="17"/>
  <c r="N51" i="17"/>
  <c r="N52" i="17"/>
  <c r="N53" i="17"/>
  <c r="N55" i="17"/>
  <c r="N56" i="17"/>
  <c r="N57" i="17"/>
  <c r="N58" i="17"/>
  <c r="N59" i="17"/>
  <c r="N60" i="17"/>
  <c r="N61" i="17"/>
  <c r="N62" i="17"/>
  <c r="N63" i="17"/>
  <c r="N64" i="17"/>
  <c r="N65" i="17"/>
  <c r="N66" i="17"/>
  <c r="N67" i="17"/>
  <c r="N68" i="17"/>
  <c r="N69" i="17"/>
  <c r="N70" i="17"/>
  <c r="N71" i="17"/>
  <c r="N73" i="17"/>
  <c r="N74" i="17"/>
  <c r="N75" i="17"/>
  <c r="N76" i="17"/>
  <c r="N77" i="17"/>
  <c r="N79" i="17"/>
  <c r="N80" i="17"/>
  <c r="N81" i="17"/>
  <c r="N82" i="17"/>
  <c r="N83" i="17"/>
  <c r="N85" i="17"/>
  <c r="N15" i="17"/>
  <c r="M71" i="13"/>
  <c r="P74" i="13"/>
  <c r="N16" i="8"/>
  <c r="N17" i="8"/>
  <c r="N18" i="8"/>
  <c r="N19" i="8"/>
  <c r="N20" i="8"/>
  <c r="N21" i="8"/>
  <c r="N22" i="8"/>
  <c r="N23" i="8"/>
  <c r="N24" i="8"/>
  <c r="N25" i="8"/>
  <c r="N26" i="8"/>
  <c r="N27" i="8"/>
  <c r="N28" i="8"/>
  <c r="N29" i="8"/>
  <c r="N30" i="8"/>
  <c r="N31" i="8"/>
  <c r="N32" i="8"/>
  <c r="N33" i="8"/>
  <c r="N34" i="8"/>
  <c r="N35" i="8"/>
  <c r="N36" i="8"/>
  <c r="N37" i="8"/>
  <c r="N38" i="8"/>
  <c r="N39" i="8"/>
  <c r="N41" i="8"/>
  <c r="N43" i="8"/>
  <c r="N44" i="8"/>
  <c r="N45" i="8"/>
  <c r="N46" i="8"/>
  <c r="N47" i="8"/>
  <c r="N49" i="8"/>
  <c r="N50" i="8"/>
  <c r="N51" i="8"/>
  <c r="N52" i="8"/>
  <c r="N53" i="8"/>
  <c r="N54" i="8"/>
  <c r="N55" i="8"/>
  <c r="N56" i="8"/>
  <c r="N57" i="8"/>
  <c r="N58" i="8"/>
  <c r="N60" i="8"/>
  <c r="N61" i="8"/>
  <c r="N62" i="8"/>
  <c r="N63" i="8"/>
  <c r="N64" i="8"/>
  <c r="N65" i="8"/>
  <c r="N66" i="8"/>
  <c r="N67" i="8"/>
  <c r="N68" i="8"/>
  <c r="N69" i="8"/>
  <c r="N70" i="8"/>
  <c r="N71" i="8"/>
  <c r="N72" i="8"/>
  <c r="N73" i="8"/>
  <c r="N74" i="8"/>
  <c r="N75" i="8"/>
  <c r="N76" i="8"/>
  <c r="N77" i="8"/>
  <c r="N79" i="8"/>
  <c r="N80" i="8"/>
  <c r="N81" i="8"/>
  <c r="N82" i="8"/>
  <c r="N83" i="8"/>
  <c r="N84" i="8"/>
  <c r="N86" i="8"/>
  <c r="N87" i="8"/>
  <c r="N88" i="8"/>
  <c r="N89" i="8"/>
  <c r="N90" i="8"/>
  <c r="N92" i="8"/>
  <c r="N84" i="7"/>
  <c r="N79" i="7"/>
  <c r="N80" i="7"/>
  <c r="N81" i="7"/>
  <c r="N82" i="7"/>
  <c r="N78" i="7"/>
  <c r="N72" i="7"/>
  <c r="N73" i="7"/>
  <c r="N74" i="7"/>
  <c r="N75" i="7"/>
  <c r="N76" i="7"/>
  <c r="N71" i="7"/>
  <c r="N55" i="7"/>
  <c r="N56" i="7"/>
  <c r="N57" i="7"/>
  <c r="N58" i="7"/>
  <c r="N59" i="7"/>
  <c r="N60" i="7"/>
  <c r="N61" i="7"/>
  <c r="N62" i="7"/>
  <c r="N63" i="7"/>
  <c r="N64" i="7"/>
  <c r="N65" i="7"/>
  <c r="N66" i="7"/>
  <c r="N67" i="7"/>
  <c r="N68" i="7"/>
  <c r="N69" i="7"/>
  <c r="N54" i="7"/>
  <c r="N45" i="7"/>
  <c r="N46" i="7"/>
  <c r="N47" i="7"/>
  <c r="N48" i="7"/>
  <c r="N49" i="7"/>
  <c r="N50" i="7"/>
  <c r="N51" i="7"/>
  <c r="N52" i="7"/>
  <c r="N44" i="7"/>
  <c r="N42" i="7"/>
  <c r="N41" i="7"/>
  <c r="N39" i="7"/>
  <c r="N16" i="7"/>
  <c r="N17" i="7"/>
  <c r="N18" i="7"/>
  <c r="N19" i="7"/>
  <c r="N20" i="7"/>
  <c r="N21" i="7"/>
  <c r="N22" i="7"/>
  <c r="N23" i="7"/>
  <c r="N24" i="7"/>
  <c r="N25" i="7"/>
  <c r="N26" i="7"/>
  <c r="N27" i="7"/>
  <c r="N28" i="7"/>
  <c r="N29" i="7"/>
  <c r="N30" i="7"/>
  <c r="N31" i="7"/>
  <c r="N32" i="7"/>
  <c r="N33" i="7"/>
  <c r="N34" i="7"/>
  <c r="N35" i="7"/>
  <c r="N36" i="7"/>
  <c r="N37" i="7"/>
  <c r="M86" i="7"/>
  <c r="H45" i="1"/>
  <c r="H37" i="1"/>
  <c r="H34" i="1"/>
  <c r="H32" i="1"/>
  <c r="H31" i="1"/>
  <c r="H29" i="1"/>
  <c r="H28" i="1"/>
  <c r="H27" i="1"/>
  <c r="H26" i="1"/>
  <c r="H25" i="1"/>
  <c r="K88" i="29"/>
  <c r="K86" i="29"/>
  <c r="K85" i="29"/>
  <c r="K84" i="29"/>
  <c r="K82" i="29"/>
  <c r="K73" i="29"/>
  <c r="K72" i="29"/>
  <c r="K60" i="29"/>
  <c r="K59" i="29"/>
  <c r="K46" i="29"/>
  <c r="K44" i="29"/>
  <c r="K23" i="29"/>
  <c r="K24" i="29"/>
  <c r="K25" i="29"/>
  <c r="K26" i="29"/>
  <c r="K27" i="29"/>
  <c r="K28" i="29"/>
  <c r="K29" i="29"/>
  <c r="K30" i="29"/>
  <c r="K31" i="29"/>
  <c r="K32" i="29"/>
  <c r="K33" i="29"/>
  <c r="K34" i="29"/>
  <c r="K35" i="29"/>
  <c r="K36" i="29"/>
  <c r="K37" i="29"/>
  <c r="K38" i="29"/>
  <c r="K39" i="29"/>
  <c r="K40" i="29"/>
  <c r="K41" i="29"/>
  <c r="K42" i="29"/>
  <c r="K22" i="29"/>
  <c r="K93" i="22"/>
  <c r="K91" i="22"/>
  <c r="K90" i="22"/>
  <c r="K89" i="22"/>
  <c r="K87" i="22"/>
  <c r="K78" i="22"/>
  <c r="K77" i="22"/>
  <c r="K62" i="22"/>
  <c r="K61" i="22"/>
  <c r="K49" i="22"/>
  <c r="K47" i="22"/>
  <c r="K22" i="22"/>
  <c r="K23" i="22"/>
  <c r="K24" i="22"/>
  <c r="K25" i="22"/>
  <c r="K26" i="22"/>
  <c r="K27" i="22"/>
  <c r="K28" i="22"/>
  <c r="K29" i="22"/>
  <c r="K30" i="22"/>
  <c r="K31" i="22"/>
  <c r="K32" i="22"/>
  <c r="K33" i="22"/>
  <c r="K34" i="22"/>
  <c r="K35" i="22"/>
  <c r="K36" i="22"/>
  <c r="K37" i="22"/>
  <c r="K38" i="22"/>
  <c r="K39" i="22"/>
  <c r="K40" i="22"/>
  <c r="K41" i="22"/>
  <c r="K42" i="22"/>
  <c r="K43" i="22"/>
  <c r="K44" i="22"/>
  <c r="K45" i="22"/>
  <c r="K21" i="22"/>
  <c r="K94" i="20"/>
  <c r="K92" i="20"/>
  <c r="K90" i="20"/>
  <c r="K83" i="20"/>
  <c r="K82" i="20"/>
  <c r="K70" i="20"/>
  <c r="K51" i="20"/>
  <c r="K50" i="20"/>
  <c r="K40" i="20"/>
  <c r="K38" i="20"/>
  <c r="K20" i="20"/>
  <c r="K21" i="20"/>
  <c r="K22" i="20"/>
  <c r="K23" i="20"/>
  <c r="K24" i="20"/>
  <c r="K25" i="20"/>
  <c r="K26" i="20"/>
  <c r="K27" i="20"/>
  <c r="K28" i="20"/>
  <c r="K29" i="20"/>
  <c r="K30" i="20"/>
  <c r="K31" i="20"/>
  <c r="K32" i="20"/>
  <c r="K33" i="20"/>
  <c r="K34" i="20"/>
  <c r="K35" i="20"/>
  <c r="K36" i="20"/>
  <c r="K19" i="20"/>
  <c r="K78" i="19"/>
  <c r="K76" i="19"/>
  <c r="K74" i="19"/>
  <c r="K68" i="19"/>
  <c r="K67" i="19"/>
  <c r="K58" i="19"/>
  <c r="K57" i="19"/>
  <c r="K56" i="19"/>
  <c r="K44" i="19"/>
  <c r="K20" i="19"/>
  <c r="K21" i="19"/>
  <c r="K22" i="19"/>
  <c r="K23" i="19"/>
  <c r="K24" i="19"/>
  <c r="K25" i="19"/>
  <c r="K26" i="19"/>
  <c r="K27" i="19"/>
  <c r="K28" i="19"/>
  <c r="K29" i="19"/>
  <c r="K30" i="19"/>
  <c r="K31" i="19"/>
  <c r="K32" i="19"/>
  <c r="K33" i="19"/>
  <c r="K34" i="19"/>
  <c r="K35" i="19"/>
  <c r="K36" i="19"/>
  <c r="K37" i="19"/>
  <c r="K38" i="19"/>
  <c r="K39" i="19"/>
  <c r="K40" i="19"/>
  <c r="K41" i="19"/>
  <c r="K42" i="19"/>
  <c r="K19" i="19"/>
  <c r="K70" i="18"/>
  <c r="K68" i="18"/>
  <c r="K66" i="18"/>
  <c r="K59" i="18"/>
  <c r="K58" i="18"/>
  <c r="K49" i="18"/>
  <c r="K48" i="18"/>
  <c r="K47" i="18"/>
  <c r="K36" i="18"/>
  <c r="K20" i="18"/>
  <c r="K21" i="18"/>
  <c r="K22" i="18"/>
  <c r="K23" i="18"/>
  <c r="K24" i="18"/>
  <c r="K25" i="18"/>
  <c r="K26" i="18"/>
  <c r="K27" i="18"/>
  <c r="K28" i="18"/>
  <c r="K29" i="18"/>
  <c r="K30" i="18"/>
  <c r="K31" i="18"/>
  <c r="K32" i="18"/>
  <c r="K33" i="18"/>
  <c r="K34" i="18"/>
  <c r="K19" i="18"/>
  <c r="K85" i="17"/>
  <c r="K83" i="17"/>
  <c r="K82" i="17"/>
  <c r="K81" i="17"/>
  <c r="K79" i="17"/>
  <c r="K71" i="17"/>
  <c r="K70" i="17"/>
  <c r="K59" i="17"/>
  <c r="K56" i="17"/>
  <c r="K55" i="17"/>
  <c r="K42" i="17"/>
  <c r="K20" i="17"/>
  <c r="K21" i="17"/>
  <c r="K22" i="17"/>
  <c r="K23" i="17"/>
  <c r="K24" i="17"/>
  <c r="K25" i="17"/>
  <c r="K26" i="17"/>
  <c r="K27" i="17"/>
  <c r="K28" i="17"/>
  <c r="K29" i="17"/>
  <c r="K30" i="17"/>
  <c r="K31" i="17"/>
  <c r="K32" i="17"/>
  <c r="K33" i="17"/>
  <c r="K34" i="17"/>
  <c r="K35" i="17"/>
  <c r="K36" i="17"/>
  <c r="K37" i="17"/>
  <c r="K38" i="17"/>
  <c r="K39" i="17"/>
  <c r="K40" i="17"/>
  <c r="K19" i="17"/>
  <c r="K94" i="16"/>
  <c r="K93" i="16"/>
  <c r="K92" i="16"/>
  <c r="K90" i="16"/>
  <c r="K81" i="16"/>
  <c r="K80" i="16"/>
  <c r="K79" i="16"/>
  <c r="K65" i="16"/>
  <c r="K57" i="16"/>
  <c r="K56" i="16"/>
  <c r="K20" i="16"/>
  <c r="K21" i="16"/>
  <c r="K22" i="16"/>
  <c r="K23" i="16"/>
  <c r="K24" i="16"/>
  <c r="K25" i="16"/>
  <c r="K26" i="16"/>
  <c r="K27" i="16"/>
  <c r="K28" i="16"/>
  <c r="K29" i="16"/>
  <c r="K30" i="16"/>
  <c r="K31" i="16"/>
  <c r="K32" i="16"/>
  <c r="K33" i="16"/>
  <c r="K34" i="16"/>
  <c r="K35" i="16"/>
  <c r="K36" i="16"/>
  <c r="K37" i="16"/>
  <c r="K38" i="16"/>
  <c r="K39" i="16"/>
  <c r="K40" i="16"/>
  <c r="K41" i="16"/>
  <c r="K19" i="16"/>
  <c r="K75" i="15"/>
  <c r="K73" i="15"/>
  <c r="K71" i="15"/>
  <c r="K64" i="15"/>
  <c r="K63" i="15"/>
  <c r="K53" i="15"/>
  <c r="K50" i="15"/>
  <c r="K49" i="15"/>
  <c r="K38" i="15"/>
  <c r="K20" i="15"/>
  <c r="K21" i="15"/>
  <c r="K22" i="15"/>
  <c r="K23" i="15"/>
  <c r="K24" i="15"/>
  <c r="K25" i="15"/>
  <c r="K26" i="15"/>
  <c r="K27" i="15"/>
  <c r="K28" i="15"/>
  <c r="K29" i="15"/>
  <c r="K30" i="15"/>
  <c r="K31" i="15"/>
  <c r="K32" i="15"/>
  <c r="K33" i="15"/>
  <c r="K34" i="15"/>
  <c r="K35" i="15"/>
  <c r="K36" i="15"/>
  <c r="K19" i="15"/>
  <c r="K76" i="14"/>
  <c r="K75" i="14"/>
  <c r="K67" i="14"/>
  <c r="K66" i="14"/>
  <c r="K94" i="14"/>
  <c r="K93" i="14"/>
  <c r="K96" i="14"/>
  <c r="K95" i="14"/>
  <c r="K109" i="14"/>
  <c r="K108" i="14"/>
  <c r="K107" i="14"/>
  <c r="K105" i="14"/>
  <c r="K111" i="14"/>
  <c r="K47" i="14"/>
  <c r="K23" i="14"/>
  <c r="K24" i="14"/>
  <c r="K25" i="14"/>
  <c r="K26" i="14"/>
  <c r="K27" i="14"/>
  <c r="K28" i="14"/>
  <c r="K29" i="14"/>
  <c r="K30" i="14"/>
  <c r="K31" i="14"/>
  <c r="K32" i="14"/>
  <c r="K33" i="14"/>
  <c r="K34" i="14"/>
  <c r="K35" i="14"/>
  <c r="K36" i="14"/>
  <c r="K37" i="14"/>
  <c r="K38" i="14"/>
  <c r="K39" i="14"/>
  <c r="K40" i="14"/>
  <c r="K41" i="14"/>
  <c r="K42" i="14"/>
  <c r="K43" i="14"/>
  <c r="K44" i="14"/>
  <c r="K45" i="14"/>
  <c r="K22" i="14"/>
  <c r="K72" i="13"/>
  <c r="K70" i="13"/>
  <c r="K68" i="13"/>
  <c r="K61" i="13"/>
  <c r="K60" i="13"/>
  <c r="K51" i="13"/>
  <c r="K48" i="13"/>
  <c r="K47" i="13"/>
  <c r="K36" i="13"/>
  <c r="K20" i="13"/>
  <c r="K21" i="13"/>
  <c r="K22" i="13"/>
  <c r="K23" i="13"/>
  <c r="K24" i="13"/>
  <c r="K25" i="13"/>
  <c r="K26" i="13"/>
  <c r="K27" i="13"/>
  <c r="K28" i="13"/>
  <c r="K29" i="13"/>
  <c r="K30" i="13"/>
  <c r="K31" i="13"/>
  <c r="K32" i="13"/>
  <c r="K33" i="13"/>
  <c r="K34" i="13"/>
  <c r="K19" i="13"/>
  <c r="K79" i="12"/>
  <c r="K77" i="12"/>
  <c r="K76" i="12"/>
  <c r="K75" i="12"/>
  <c r="K73" i="12"/>
  <c r="K64" i="12"/>
  <c r="K63" i="12"/>
  <c r="K54" i="12"/>
  <c r="K51" i="12"/>
  <c r="K50" i="12"/>
  <c r="K37" i="12"/>
  <c r="K21" i="12"/>
  <c r="K22" i="12"/>
  <c r="K23" i="12"/>
  <c r="K24" i="12"/>
  <c r="K25" i="12"/>
  <c r="K26" i="12"/>
  <c r="K27" i="12"/>
  <c r="K28" i="12"/>
  <c r="K29" i="12"/>
  <c r="K30" i="12"/>
  <c r="K31" i="12"/>
  <c r="K32" i="12"/>
  <c r="K33" i="12"/>
  <c r="K34" i="12"/>
  <c r="K35" i="12"/>
  <c r="K20" i="12"/>
  <c r="K79" i="11"/>
  <c r="K77" i="11"/>
  <c r="K76" i="11"/>
  <c r="K75" i="11"/>
  <c r="K73" i="11"/>
  <c r="K64" i="11"/>
  <c r="K63" i="11"/>
  <c r="K53" i="11"/>
  <c r="K50" i="11"/>
  <c r="K49" i="11"/>
  <c r="K37" i="11"/>
  <c r="K20" i="11"/>
  <c r="K21" i="11"/>
  <c r="K22" i="11"/>
  <c r="K23" i="11"/>
  <c r="K24" i="11"/>
  <c r="K25" i="11"/>
  <c r="K26" i="11"/>
  <c r="K27" i="11"/>
  <c r="K28" i="11"/>
  <c r="K29" i="11"/>
  <c r="K30" i="11"/>
  <c r="K31" i="11"/>
  <c r="K32" i="11"/>
  <c r="K33" i="11"/>
  <c r="K34" i="11"/>
  <c r="K35" i="11"/>
  <c r="K19" i="11"/>
  <c r="K78" i="9"/>
  <c r="K76" i="9"/>
  <c r="K74" i="9"/>
  <c r="K67" i="9"/>
  <c r="K66" i="9"/>
  <c r="K55" i="9"/>
  <c r="K52" i="9"/>
  <c r="K51" i="9"/>
  <c r="K38" i="9"/>
  <c r="K20" i="9"/>
  <c r="K21" i="9"/>
  <c r="K22" i="9"/>
  <c r="K23" i="9"/>
  <c r="K24" i="9"/>
  <c r="K25" i="9"/>
  <c r="K26" i="9"/>
  <c r="K27" i="9"/>
  <c r="K28" i="9"/>
  <c r="K29" i="9"/>
  <c r="K30" i="9"/>
  <c r="K31" i="9"/>
  <c r="K32" i="9"/>
  <c r="K33" i="9"/>
  <c r="K34" i="9"/>
  <c r="K35" i="9"/>
  <c r="K36" i="9"/>
  <c r="K19" i="9"/>
  <c r="K92" i="8"/>
  <c r="K90" i="8"/>
  <c r="K89" i="8"/>
  <c r="K88" i="8"/>
  <c r="K86" i="8"/>
  <c r="K77" i="8"/>
  <c r="K64" i="8"/>
  <c r="K61" i="8"/>
  <c r="K60" i="8"/>
  <c r="K41" i="8"/>
  <c r="K23" i="8"/>
  <c r="K24" i="8"/>
  <c r="K25" i="8"/>
  <c r="K26" i="8"/>
  <c r="K27" i="8"/>
  <c r="K28" i="8"/>
  <c r="K29" i="8"/>
  <c r="K30" i="8"/>
  <c r="K31" i="8"/>
  <c r="K32" i="8"/>
  <c r="K33" i="8"/>
  <c r="K34" i="8"/>
  <c r="K35" i="8"/>
  <c r="K36" i="8"/>
  <c r="K37" i="8"/>
  <c r="K38" i="8"/>
  <c r="K39" i="8"/>
  <c r="K22" i="8"/>
  <c r="K76" i="8"/>
  <c r="K84" i="7"/>
  <c r="K82" i="7"/>
  <c r="K81" i="7"/>
  <c r="K80" i="7"/>
  <c r="K78" i="7"/>
  <c r="K69" i="7"/>
  <c r="K68" i="7"/>
  <c r="K58" i="7"/>
  <c r="K55" i="7"/>
  <c r="K54" i="7"/>
  <c r="K39" i="7"/>
  <c r="K22" i="7"/>
  <c r="K23" i="7"/>
  <c r="K24" i="7"/>
  <c r="K25" i="7"/>
  <c r="K26" i="7"/>
  <c r="K27" i="7"/>
  <c r="K28" i="7"/>
  <c r="K29" i="7"/>
  <c r="K30" i="7"/>
  <c r="K31" i="7"/>
  <c r="K32" i="7"/>
  <c r="K33" i="7"/>
  <c r="K34" i="7"/>
  <c r="K35" i="7"/>
  <c r="K36" i="7"/>
  <c r="K37" i="7"/>
  <c r="K21" i="7"/>
  <c r="K88" i="6"/>
  <c r="K86" i="6"/>
  <c r="K85" i="6"/>
  <c r="K84" i="6"/>
  <c r="K82" i="6"/>
  <c r="K73" i="6"/>
  <c r="K72" i="6"/>
  <c r="K61" i="6"/>
  <c r="K58" i="6"/>
  <c r="K40" i="6"/>
  <c r="K23" i="6"/>
  <c r="K24" i="6"/>
  <c r="K25" i="6"/>
  <c r="K26" i="6"/>
  <c r="K27" i="6"/>
  <c r="K28" i="6"/>
  <c r="K29" i="6"/>
  <c r="K30" i="6"/>
  <c r="K31" i="6"/>
  <c r="K32" i="6"/>
  <c r="K33" i="6"/>
  <c r="K34" i="6"/>
  <c r="K35" i="6"/>
  <c r="K36" i="6"/>
  <c r="K37" i="6"/>
  <c r="K38" i="6"/>
  <c r="K22" i="6"/>
  <c r="K113" i="4"/>
  <c r="K111" i="4"/>
  <c r="K110" i="4"/>
  <c r="K109" i="4"/>
  <c r="K107" i="4"/>
  <c r="K98" i="4"/>
  <c r="K78" i="4"/>
  <c r="K77" i="4"/>
  <c r="K48" i="4"/>
  <c r="K23" i="4"/>
  <c r="K24" i="4"/>
  <c r="K25" i="4"/>
  <c r="K26" i="4"/>
  <c r="K27" i="4"/>
  <c r="K28" i="4"/>
  <c r="K29" i="4"/>
  <c r="K30" i="4"/>
  <c r="K31" i="4"/>
  <c r="K32" i="4"/>
  <c r="K33" i="4"/>
  <c r="K34" i="4"/>
  <c r="K35" i="4"/>
  <c r="K36" i="4"/>
  <c r="K37" i="4"/>
  <c r="K38" i="4"/>
  <c r="K39" i="4"/>
  <c r="K40" i="4"/>
  <c r="K41" i="4"/>
  <c r="K42" i="4"/>
  <c r="K43" i="4"/>
  <c r="K44" i="4"/>
  <c r="K45" i="4"/>
  <c r="K46" i="4"/>
  <c r="K22" i="4"/>
  <c r="K68" i="4"/>
  <c r="K69" i="4" s="1"/>
  <c r="K88" i="3"/>
  <c r="K86" i="3"/>
  <c r="K84" i="3"/>
  <c r="K77" i="3"/>
  <c r="K76" i="3"/>
  <c r="K62" i="3"/>
  <c r="K59" i="3"/>
  <c r="K58" i="3"/>
  <c r="K44" i="3"/>
  <c r="K21" i="3"/>
  <c r="K22" i="3"/>
  <c r="K23" i="3"/>
  <c r="K24" i="3"/>
  <c r="K25" i="3"/>
  <c r="K26" i="3"/>
  <c r="K27" i="3"/>
  <c r="K28" i="3"/>
  <c r="K29" i="3"/>
  <c r="K30" i="3"/>
  <c r="K31" i="3"/>
  <c r="K32" i="3"/>
  <c r="K33" i="3"/>
  <c r="K34" i="3"/>
  <c r="K35" i="3"/>
  <c r="K36" i="3"/>
  <c r="K37" i="3"/>
  <c r="K38" i="3"/>
  <c r="K39" i="3"/>
  <c r="K40" i="3"/>
  <c r="K41" i="3"/>
  <c r="K42" i="3"/>
  <c r="K20" i="3"/>
  <c r="N58" i="2" l="1"/>
  <c r="N29" i="2"/>
  <c r="N37" i="2"/>
  <c r="F50" i="1"/>
  <c r="F48" i="1"/>
  <c r="F47" i="1"/>
  <c r="F46" i="1"/>
  <c r="F44" i="1"/>
  <c r="F40" i="1"/>
  <c r="F39" i="1"/>
  <c r="F38" i="1"/>
  <c r="F36" i="1"/>
  <c r="P82" i="16"/>
  <c r="M82" i="16"/>
  <c r="P48" i="16"/>
  <c r="M48" i="16"/>
  <c r="P42" i="16"/>
  <c r="M42" i="16"/>
  <c r="M37" i="9"/>
  <c r="P39" i="9"/>
  <c r="M39" i="9"/>
  <c r="P44" i="9"/>
  <c r="M44" i="9"/>
  <c r="P68" i="9"/>
  <c r="M68" i="9"/>
  <c r="M16" i="9"/>
  <c r="M17" i="9"/>
  <c r="M18" i="9"/>
  <c r="M19" i="9"/>
  <c r="M20" i="9"/>
  <c r="M21" i="9"/>
  <c r="M22" i="9"/>
  <c r="M23" i="9"/>
  <c r="M24" i="9"/>
  <c r="M25" i="9"/>
  <c r="M26" i="9"/>
  <c r="M27" i="9"/>
  <c r="M28" i="9"/>
  <c r="M29" i="9"/>
  <c r="M30" i="9"/>
  <c r="M31" i="9"/>
  <c r="M32" i="9"/>
  <c r="M33" i="9"/>
  <c r="M34" i="9"/>
  <c r="M35" i="9"/>
  <c r="M36" i="9"/>
  <c r="M38" i="9"/>
  <c r="M40" i="9"/>
  <c r="M41" i="9"/>
  <c r="M42" i="9"/>
  <c r="M43" i="9"/>
  <c r="M45" i="9"/>
  <c r="M46" i="9"/>
  <c r="M47" i="9"/>
  <c r="M48" i="9"/>
  <c r="M49" i="9"/>
  <c r="M51" i="9"/>
  <c r="M52" i="9"/>
  <c r="M53" i="9"/>
  <c r="M54" i="9"/>
  <c r="M55" i="9"/>
  <c r="M56" i="9"/>
  <c r="M57" i="9"/>
  <c r="M58" i="9"/>
  <c r="M59" i="9"/>
  <c r="M60" i="9"/>
  <c r="M61" i="9"/>
  <c r="M62" i="9"/>
  <c r="M63" i="9"/>
  <c r="M64" i="9"/>
  <c r="M65" i="9"/>
  <c r="M66" i="9"/>
  <c r="M67" i="9"/>
  <c r="M69" i="9"/>
  <c r="M70" i="9"/>
  <c r="M71" i="9"/>
  <c r="M72" i="9"/>
  <c r="M74" i="9"/>
  <c r="M75" i="9"/>
  <c r="M76" i="9"/>
  <c r="M78" i="9"/>
  <c r="M77" i="9" s="1"/>
  <c r="M15" i="9"/>
  <c r="M35" i="34"/>
  <c r="P35" i="34"/>
  <c r="P15" i="34"/>
  <c r="P16" i="34"/>
  <c r="P17" i="34"/>
  <c r="P18" i="34"/>
  <c r="P19" i="34"/>
  <c r="P20" i="34"/>
  <c r="P21" i="34"/>
  <c r="P22" i="34"/>
  <c r="P23" i="34"/>
  <c r="P24" i="34"/>
  <c r="P25" i="34"/>
  <c r="P26" i="34"/>
  <c r="P27" i="34"/>
  <c r="P28" i="34"/>
  <c r="P29" i="34"/>
  <c r="P30" i="34"/>
  <c r="P31" i="34"/>
  <c r="P32" i="34"/>
  <c r="P33" i="34"/>
  <c r="O15" i="34"/>
  <c r="O16" i="34"/>
  <c r="O17" i="34"/>
  <c r="O18" i="34"/>
  <c r="O19" i="34"/>
  <c r="O20" i="34"/>
  <c r="O21" i="34"/>
  <c r="O22" i="34"/>
  <c r="O23" i="34"/>
  <c r="O24" i="34"/>
  <c r="O25" i="34"/>
  <c r="O26" i="34"/>
  <c r="O27" i="34"/>
  <c r="O28" i="34"/>
  <c r="O29" i="34"/>
  <c r="O30" i="34"/>
  <c r="O31" i="34"/>
  <c r="O32" i="34"/>
  <c r="O33" i="34"/>
  <c r="M15" i="34"/>
  <c r="M16" i="34"/>
  <c r="M17" i="34"/>
  <c r="M18" i="34"/>
  <c r="M19" i="34"/>
  <c r="M20" i="34"/>
  <c r="M21" i="34"/>
  <c r="M22" i="34"/>
  <c r="M23" i="34"/>
  <c r="M24" i="34"/>
  <c r="M25" i="34"/>
  <c r="M26" i="34"/>
  <c r="M27" i="34"/>
  <c r="M28" i="34"/>
  <c r="M29" i="34"/>
  <c r="M30" i="34"/>
  <c r="M31" i="34"/>
  <c r="M32" i="34"/>
  <c r="M33" i="34"/>
  <c r="M14" i="34"/>
  <c r="L15" i="34"/>
  <c r="L16" i="34"/>
  <c r="L17" i="34"/>
  <c r="L18" i="34"/>
  <c r="L19" i="34"/>
  <c r="L20" i="34"/>
  <c r="L21" i="34"/>
  <c r="L22" i="34"/>
  <c r="L23" i="34"/>
  <c r="L24" i="34"/>
  <c r="L25" i="34"/>
  <c r="L26" i="34"/>
  <c r="L27" i="34"/>
  <c r="L28" i="34"/>
  <c r="L29" i="34"/>
  <c r="L30" i="34"/>
  <c r="L31" i="34"/>
  <c r="L32" i="34"/>
  <c r="L33" i="34"/>
  <c r="P14" i="34"/>
  <c r="O14" i="34"/>
  <c r="N14" i="34"/>
  <c r="L14" i="34"/>
  <c r="O29" i="33"/>
  <c r="M24" i="33"/>
  <c r="M25" i="33"/>
  <c r="P24" i="33"/>
  <c r="P25" i="33"/>
  <c r="N29" i="33"/>
  <c r="P17" i="33"/>
  <c r="P18" i="33"/>
  <c r="P19" i="33"/>
  <c r="P22" i="33"/>
  <c r="P23" i="33"/>
  <c r="P26" i="33"/>
  <c r="P27" i="33"/>
  <c r="O16" i="33"/>
  <c r="O17" i="33"/>
  <c r="O18" i="33"/>
  <c r="O19" i="33"/>
  <c r="O20" i="33"/>
  <c r="O21" i="33"/>
  <c r="O22" i="33"/>
  <c r="O23" i="33"/>
  <c r="O26" i="33"/>
  <c r="O27" i="33"/>
  <c r="O15" i="33"/>
  <c r="L16" i="33"/>
  <c r="L17" i="33"/>
  <c r="M17" i="33" s="1"/>
  <c r="L18" i="33"/>
  <c r="L19" i="33"/>
  <c r="M19" i="33" s="1"/>
  <c r="L20" i="33"/>
  <c r="M20" i="33" s="1"/>
  <c r="L21" i="33"/>
  <c r="M21" i="33" s="1"/>
  <c r="L22" i="33"/>
  <c r="L23" i="33"/>
  <c r="M23" i="33" s="1"/>
  <c r="L26" i="33"/>
  <c r="L27" i="33"/>
  <c r="M27" i="33" s="1"/>
  <c r="N16" i="33"/>
  <c r="P16" i="33" s="1"/>
  <c r="N17" i="33"/>
  <c r="N18" i="33"/>
  <c r="N19" i="33"/>
  <c r="N20" i="33"/>
  <c r="P20" i="33" s="1"/>
  <c r="N21" i="33"/>
  <c r="P21" i="33" s="1"/>
  <c r="N22" i="33"/>
  <c r="N23" i="33"/>
  <c r="N26" i="33"/>
  <c r="N27" i="33"/>
  <c r="N15" i="33"/>
  <c r="P15" i="33" s="1"/>
  <c r="M16" i="33"/>
  <c r="M18" i="33"/>
  <c r="M22" i="33"/>
  <c r="M26" i="33"/>
  <c r="M15" i="33"/>
  <c r="L15" i="33"/>
  <c r="P34" i="32"/>
  <c r="M34" i="32"/>
  <c r="P17" i="32"/>
  <c r="P18" i="32"/>
  <c r="P19" i="32"/>
  <c r="P20" i="32"/>
  <c r="P21" i="32"/>
  <c r="P22" i="32"/>
  <c r="P23" i="32"/>
  <c r="P24" i="32"/>
  <c r="P25" i="32"/>
  <c r="P26" i="32"/>
  <c r="P27" i="32"/>
  <c r="P28" i="32"/>
  <c r="P29" i="32"/>
  <c r="P30" i="32"/>
  <c r="P31" i="32"/>
  <c r="P32" i="32"/>
  <c r="P77" i="31"/>
  <c r="M77" i="31"/>
  <c r="P17" i="31"/>
  <c r="P18" i="31"/>
  <c r="P19" i="31"/>
  <c r="P20" i="31"/>
  <c r="P21" i="31"/>
  <c r="P22" i="31"/>
  <c r="P23" i="31"/>
  <c r="P24" i="31"/>
  <c r="P25" i="31"/>
  <c r="P26" i="31"/>
  <c r="P27" i="31"/>
  <c r="P28" i="31"/>
  <c r="P29" i="31"/>
  <c r="P30" i="31"/>
  <c r="P31" i="31"/>
  <c r="P32" i="31"/>
  <c r="P33" i="31"/>
  <c r="P34" i="31"/>
  <c r="P35" i="31"/>
  <c r="P36" i="31"/>
  <c r="P37" i="31"/>
  <c r="P38" i="31"/>
  <c r="P39" i="31"/>
  <c r="P40" i="31"/>
  <c r="P41" i="31"/>
  <c r="P42" i="31"/>
  <c r="P43" i="31"/>
  <c r="P44" i="31"/>
  <c r="P45" i="31"/>
  <c r="P46" i="31"/>
  <c r="P47" i="31"/>
  <c r="P48" i="31"/>
  <c r="P49" i="31"/>
  <c r="P50" i="31"/>
  <c r="P51" i="31"/>
  <c r="P52" i="31"/>
  <c r="P53" i="31"/>
  <c r="P54" i="31"/>
  <c r="P55" i="31"/>
  <c r="P56" i="31"/>
  <c r="P57" i="31"/>
  <c r="P58" i="31"/>
  <c r="P59" i="31"/>
  <c r="P60" i="31"/>
  <c r="P61" i="31"/>
  <c r="P62" i="31"/>
  <c r="P63" i="31"/>
  <c r="P64" i="31"/>
  <c r="P65" i="31"/>
  <c r="P66" i="31"/>
  <c r="P67" i="31"/>
  <c r="P68" i="31"/>
  <c r="P69" i="31"/>
  <c r="P70" i="31"/>
  <c r="P71" i="31"/>
  <c r="P72" i="31"/>
  <c r="P73" i="31"/>
  <c r="P74" i="31"/>
  <c r="P75" i="31"/>
  <c r="M17" i="31"/>
  <c r="M18" i="31"/>
  <c r="M19" i="31"/>
  <c r="M20" i="31"/>
  <c r="M21" i="31"/>
  <c r="M22" i="31"/>
  <c r="M23" i="31"/>
  <c r="M24" i="31"/>
  <c r="M25" i="31"/>
  <c r="M26" i="31"/>
  <c r="M27" i="31"/>
  <c r="M28" i="31"/>
  <c r="M29" i="31"/>
  <c r="M30" i="31"/>
  <c r="M31" i="31"/>
  <c r="M32" i="31"/>
  <c r="M33" i="31"/>
  <c r="M34" i="31"/>
  <c r="M35" i="31"/>
  <c r="M36" i="31"/>
  <c r="M37" i="31"/>
  <c r="M38" i="31"/>
  <c r="M39" i="31"/>
  <c r="M40" i="31"/>
  <c r="M41" i="31"/>
  <c r="M42" i="31"/>
  <c r="M43" i="31"/>
  <c r="M44" i="31"/>
  <c r="M45" i="31"/>
  <c r="M46" i="31"/>
  <c r="M47" i="31"/>
  <c r="M48" i="31"/>
  <c r="M49" i="31"/>
  <c r="M50" i="31"/>
  <c r="M51" i="31"/>
  <c r="M52" i="31"/>
  <c r="M53" i="31"/>
  <c r="M54" i="31"/>
  <c r="M55" i="31"/>
  <c r="M56" i="31"/>
  <c r="M57" i="31"/>
  <c r="M58" i="31"/>
  <c r="M59" i="31"/>
  <c r="M60" i="31"/>
  <c r="M61" i="31"/>
  <c r="M62" i="31"/>
  <c r="M63" i="31"/>
  <c r="M64" i="31"/>
  <c r="M65" i="31"/>
  <c r="M66" i="31"/>
  <c r="M67" i="31"/>
  <c r="M68" i="31"/>
  <c r="M69" i="31"/>
  <c r="M70" i="31"/>
  <c r="M71" i="31"/>
  <c r="M72" i="31"/>
  <c r="M73" i="31"/>
  <c r="M74" i="31"/>
  <c r="M75" i="31"/>
  <c r="P14" i="30"/>
  <c r="P16" i="30"/>
  <c r="P17" i="30"/>
  <c r="P19" i="30"/>
  <c r="P20" i="30"/>
  <c r="M19" i="30"/>
  <c r="M20" i="30"/>
  <c r="M14" i="30"/>
  <c r="M16" i="30"/>
  <c r="M17" i="30"/>
  <c r="P18" i="30"/>
  <c r="P21" i="30"/>
  <c r="P15" i="30"/>
  <c r="O21" i="30"/>
  <c r="O18" i="30"/>
  <c r="O15" i="30"/>
  <c r="M18" i="30"/>
  <c r="M21" i="30"/>
  <c r="M15" i="30"/>
  <c r="L21" i="30"/>
  <c r="L18" i="30"/>
  <c r="L15" i="30"/>
  <c r="P74" i="29"/>
  <c r="M74" i="29"/>
  <c r="P47" i="29"/>
  <c r="M47" i="29"/>
  <c r="P16" i="29"/>
  <c r="P17" i="29"/>
  <c r="P18" i="29"/>
  <c r="P19" i="29"/>
  <c r="P20" i="29"/>
  <c r="P21" i="29"/>
  <c r="P22" i="29"/>
  <c r="P26" i="29"/>
  <c r="P29" i="29"/>
  <c r="P30" i="29"/>
  <c r="P34" i="29"/>
  <c r="P37" i="29"/>
  <c r="P38" i="29"/>
  <c r="P42" i="29"/>
  <c r="P48" i="29"/>
  <c r="P49" i="29"/>
  <c r="P50" i="29"/>
  <c r="P51" i="29"/>
  <c r="P52" i="29"/>
  <c r="P53" i="29"/>
  <c r="P54" i="29"/>
  <c r="P55" i="29"/>
  <c r="P56" i="29"/>
  <c r="P57" i="29"/>
  <c r="P61" i="29"/>
  <c r="P62" i="29"/>
  <c r="P63" i="29"/>
  <c r="P64" i="29"/>
  <c r="P65" i="29"/>
  <c r="P66" i="29"/>
  <c r="P67" i="29"/>
  <c r="P68" i="29"/>
  <c r="P69" i="29"/>
  <c r="P70" i="29"/>
  <c r="P71" i="29"/>
  <c r="P73" i="29"/>
  <c r="P75" i="29"/>
  <c r="P76" i="29"/>
  <c r="P77" i="29"/>
  <c r="P78" i="29"/>
  <c r="P79" i="29"/>
  <c r="P80" i="29"/>
  <c r="P82" i="29"/>
  <c r="P83" i="29"/>
  <c r="P15" i="29"/>
  <c r="O16" i="29"/>
  <c r="O17" i="29"/>
  <c r="O18" i="29"/>
  <c r="O19" i="29"/>
  <c r="O20" i="29"/>
  <c r="O21" i="29"/>
  <c r="O22" i="29"/>
  <c r="O23" i="29"/>
  <c r="O24" i="29"/>
  <c r="O25" i="29"/>
  <c r="O26" i="29"/>
  <c r="O27" i="29"/>
  <c r="O28" i="29"/>
  <c r="O29" i="29"/>
  <c r="O30" i="29"/>
  <c r="O31" i="29"/>
  <c r="O32" i="29"/>
  <c r="O33" i="29"/>
  <c r="O34" i="29"/>
  <c r="O35" i="29"/>
  <c r="O36" i="29"/>
  <c r="O37" i="29"/>
  <c r="O38" i="29"/>
  <c r="O39" i="29"/>
  <c r="O40" i="29"/>
  <c r="O41" i="29"/>
  <c r="O42" i="29"/>
  <c r="O44" i="29"/>
  <c r="O46" i="29"/>
  <c r="O48" i="29"/>
  <c r="O49" i="29"/>
  <c r="O50" i="29"/>
  <c r="O51" i="29"/>
  <c r="O52" i="29"/>
  <c r="O53" i="29"/>
  <c r="O54" i="29"/>
  <c r="O55" i="29"/>
  <c r="O56" i="29"/>
  <c r="O57" i="29"/>
  <c r="O59" i="29"/>
  <c r="O60" i="29"/>
  <c r="O61" i="29"/>
  <c r="O62" i="29"/>
  <c r="O63" i="29"/>
  <c r="O64" i="29"/>
  <c r="O65" i="29"/>
  <c r="O66" i="29"/>
  <c r="O67" i="29"/>
  <c r="O68" i="29"/>
  <c r="O69" i="29"/>
  <c r="O70" i="29"/>
  <c r="O71" i="29"/>
  <c r="O72" i="29"/>
  <c r="O73" i="29"/>
  <c r="O75" i="29"/>
  <c r="O76" i="29"/>
  <c r="O77" i="29"/>
  <c r="O78" i="29"/>
  <c r="O79" i="29"/>
  <c r="O80" i="29"/>
  <c r="O82" i="29"/>
  <c r="O83" i="29"/>
  <c r="O84" i="29"/>
  <c r="O85" i="29"/>
  <c r="O86" i="29"/>
  <c r="O88" i="29"/>
  <c r="O15" i="29"/>
  <c r="N16" i="29"/>
  <c r="N17" i="29"/>
  <c r="N18" i="29"/>
  <c r="N19" i="29"/>
  <c r="N20" i="29"/>
  <c r="N21" i="29"/>
  <c r="N22" i="29"/>
  <c r="N23" i="29"/>
  <c r="P23" i="29" s="1"/>
  <c r="N24" i="29"/>
  <c r="P24" i="29" s="1"/>
  <c r="N25" i="29"/>
  <c r="P25" i="29" s="1"/>
  <c r="N26" i="29"/>
  <c r="N27" i="29"/>
  <c r="P27" i="29" s="1"/>
  <c r="N28" i="29"/>
  <c r="P28" i="29" s="1"/>
  <c r="N29" i="29"/>
  <c r="N30" i="29"/>
  <c r="N31" i="29"/>
  <c r="P31" i="29" s="1"/>
  <c r="N32" i="29"/>
  <c r="P32" i="29" s="1"/>
  <c r="N33" i="29"/>
  <c r="P33" i="29" s="1"/>
  <c r="N34" i="29"/>
  <c r="N35" i="29"/>
  <c r="P35" i="29" s="1"/>
  <c r="N36" i="29"/>
  <c r="P36" i="29" s="1"/>
  <c r="N37" i="29"/>
  <c r="N38" i="29"/>
  <c r="N39" i="29"/>
  <c r="P39" i="29" s="1"/>
  <c r="N40" i="29"/>
  <c r="P40" i="29" s="1"/>
  <c r="N41" i="29"/>
  <c r="P41" i="29" s="1"/>
  <c r="N42" i="29"/>
  <c r="N44" i="29"/>
  <c r="P44" i="29" s="1"/>
  <c r="P43" i="29" s="1"/>
  <c r="N46" i="29"/>
  <c r="P46" i="29" s="1"/>
  <c r="P45" i="29" s="1"/>
  <c r="N48" i="29"/>
  <c r="N49" i="29"/>
  <c r="N50" i="29"/>
  <c r="N51" i="29"/>
  <c r="N52" i="29"/>
  <c r="N53" i="29"/>
  <c r="N54" i="29"/>
  <c r="N55" i="29"/>
  <c r="N56" i="29"/>
  <c r="N57" i="29"/>
  <c r="N59" i="29"/>
  <c r="P59" i="29" s="1"/>
  <c r="N60" i="29"/>
  <c r="P60" i="29" s="1"/>
  <c r="N61" i="29"/>
  <c r="N62" i="29"/>
  <c r="N63" i="29"/>
  <c r="N64" i="29"/>
  <c r="N65" i="29"/>
  <c r="N66" i="29"/>
  <c r="N67" i="29"/>
  <c r="N68" i="29"/>
  <c r="N69" i="29"/>
  <c r="N70" i="29"/>
  <c r="N71" i="29"/>
  <c r="N72" i="29"/>
  <c r="P72" i="29" s="1"/>
  <c r="N73" i="29"/>
  <c r="N75" i="29"/>
  <c r="N76" i="29"/>
  <c r="N77" i="29"/>
  <c r="N78" i="29"/>
  <c r="N79" i="29"/>
  <c r="N80" i="29"/>
  <c r="N82" i="29"/>
  <c r="N83" i="29"/>
  <c r="N84" i="29"/>
  <c r="P84" i="29" s="1"/>
  <c r="N85" i="29"/>
  <c r="P85" i="29" s="1"/>
  <c r="N86" i="29"/>
  <c r="P86" i="29" s="1"/>
  <c r="N88" i="29"/>
  <c r="P88" i="29" s="1"/>
  <c r="P87" i="29" s="1"/>
  <c r="N15" i="29"/>
  <c r="M16" i="29"/>
  <c r="M17" i="29"/>
  <c r="M18" i="29"/>
  <c r="M19" i="29"/>
  <c r="M20" i="29"/>
  <c r="M21" i="29"/>
  <c r="M22" i="29"/>
  <c r="M23" i="29"/>
  <c r="M24" i="29"/>
  <c r="M25" i="29"/>
  <c r="M26" i="29"/>
  <c r="M27" i="29"/>
  <c r="M28" i="29"/>
  <c r="M29" i="29"/>
  <c r="M30" i="29"/>
  <c r="M31" i="29"/>
  <c r="M32" i="29"/>
  <c r="M33" i="29"/>
  <c r="M34" i="29"/>
  <c r="M35" i="29"/>
  <c r="M36" i="29"/>
  <c r="M37" i="29"/>
  <c r="M38" i="29"/>
  <c r="M39" i="29"/>
  <c r="M40" i="29"/>
  <c r="M41" i="29"/>
  <c r="M42" i="29"/>
  <c r="M44" i="29"/>
  <c r="M43" i="29" s="1"/>
  <c r="M46" i="29"/>
  <c r="M45" i="29" s="1"/>
  <c r="M48" i="29"/>
  <c r="M49" i="29"/>
  <c r="M50" i="29"/>
  <c r="M51" i="29"/>
  <c r="M52" i="29"/>
  <c r="M53" i="29"/>
  <c r="M54" i="29"/>
  <c r="M55" i="29"/>
  <c r="M56" i="29"/>
  <c r="M57" i="29"/>
  <c r="M59" i="29"/>
  <c r="M58" i="29" s="1"/>
  <c r="M60" i="29"/>
  <c r="M61" i="29"/>
  <c r="M62" i="29"/>
  <c r="M63" i="29"/>
  <c r="M64" i="29"/>
  <c r="M65" i="29"/>
  <c r="M66" i="29"/>
  <c r="M67" i="29"/>
  <c r="M68" i="29"/>
  <c r="M69" i="29"/>
  <c r="M70" i="29"/>
  <c r="M71" i="29"/>
  <c r="M72" i="29"/>
  <c r="M73" i="29"/>
  <c r="M75" i="29"/>
  <c r="M76" i="29"/>
  <c r="M77" i="29"/>
  <c r="M78" i="29"/>
  <c r="M79" i="29"/>
  <c r="M80" i="29"/>
  <c r="M82" i="29"/>
  <c r="M83" i="29"/>
  <c r="M84" i="29"/>
  <c r="M85" i="29"/>
  <c r="M86" i="29"/>
  <c r="M88" i="29"/>
  <c r="M87" i="29" s="1"/>
  <c r="L16" i="29"/>
  <c r="L17" i="29"/>
  <c r="L18" i="29"/>
  <c r="L19" i="29"/>
  <c r="L20" i="29"/>
  <c r="L21" i="29"/>
  <c r="L22" i="29"/>
  <c r="L23" i="29"/>
  <c r="L24" i="29"/>
  <c r="L25" i="29"/>
  <c r="L26" i="29"/>
  <c r="L27" i="29"/>
  <c r="L28" i="29"/>
  <c r="L29" i="29"/>
  <c r="L30" i="29"/>
  <c r="L31" i="29"/>
  <c r="L32" i="29"/>
  <c r="L33" i="29"/>
  <c r="L34" i="29"/>
  <c r="L35" i="29"/>
  <c r="L36" i="29"/>
  <c r="L37" i="29"/>
  <c r="L38" i="29"/>
  <c r="L39" i="29"/>
  <c r="L40" i="29"/>
  <c r="L41" i="29"/>
  <c r="L42" i="29"/>
  <c r="L44" i="29"/>
  <c r="L46" i="29"/>
  <c r="L48" i="29"/>
  <c r="L49" i="29"/>
  <c r="L50" i="29"/>
  <c r="L51" i="29"/>
  <c r="L52" i="29"/>
  <c r="L53" i="29"/>
  <c r="L54" i="29"/>
  <c r="L55" i="29"/>
  <c r="L56" i="29"/>
  <c r="L57" i="29"/>
  <c r="L59" i="29"/>
  <c r="L60" i="29"/>
  <c r="L61" i="29"/>
  <c r="L62" i="29"/>
  <c r="L63" i="29"/>
  <c r="L64" i="29"/>
  <c r="L65" i="29"/>
  <c r="L66" i="29"/>
  <c r="L67" i="29"/>
  <c r="L68" i="29"/>
  <c r="L69" i="29"/>
  <c r="L70" i="29"/>
  <c r="L71" i="29"/>
  <c r="L72" i="29"/>
  <c r="L73" i="29"/>
  <c r="L75" i="29"/>
  <c r="L76" i="29"/>
  <c r="L77" i="29"/>
  <c r="L78" i="29"/>
  <c r="L79" i="29"/>
  <c r="L80" i="29"/>
  <c r="L82" i="29"/>
  <c r="L83" i="29"/>
  <c r="L84" i="29"/>
  <c r="L85" i="29"/>
  <c r="L86" i="29"/>
  <c r="L88" i="29"/>
  <c r="M15" i="29"/>
  <c r="L15" i="29"/>
  <c r="P104" i="28"/>
  <c r="M104" i="28"/>
  <c r="P14" i="28"/>
  <c r="M14" i="28"/>
  <c r="P34" i="28"/>
  <c r="M34" i="28"/>
  <c r="P43" i="28"/>
  <c r="M43" i="28"/>
  <c r="P58" i="28"/>
  <c r="M58" i="28"/>
  <c r="P63" i="28"/>
  <c r="M63" i="28"/>
  <c r="P73" i="28"/>
  <c r="M73" i="28"/>
  <c r="P75" i="28"/>
  <c r="M75" i="28"/>
  <c r="P82" i="28"/>
  <c r="M82" i="28"/>
  <c r="P89" i="28"/>
  <c r="M89" i="28"/>
  <c r="P91" i="28"/>
  <c r="M91" i="28"/>
  <c r="P92" i="28"/>
  <c r="M92" i="28"/>
  <c r="P97" i="28"/>
  <c r="M97" i="28"/>
  <c r="P100" i="28"/>
  <c r="M100" i="28"/>
  <c r="P16" i="28"/>
  <c r="P17" i="28"/>
  <c r="P18" i="28"/>
  <c r="P19" i="28"/>
  <c r="P20" i="28"/>
  <c r="P21" i="28"/>
  <c r="P22" i="28"/>
  <c r="P23" i="28"/>
  <c r="P24" i="28"/>
  <c r="P25" i="28"/>
  <c r="P26" i="28"/>
  <c r="P27" i="28"/>
  <c r="P28" i="28"/>
  <c r="P29" i="28"/>
  <c r="P30" i="28"/>
  <c r="P31" i="28"/>
  <c r="P32" i="28"/>
  <c r="P33" i="28"/>
  <c r="P35" i="28"/>
  <c r="P36" i="28"/>
  <c r="P37" i="28"/>
  <c r="P38" i="28"/>
  <c r="P39" i="28"/>
  <c r="P40" i="28"/>
  <c r="P41" i="28"/>
  <c r="P42" i="28"/>
  <c r="P44" i="28"/>
  <c r="P45" i="28"/>
  <c r="P46" i="28"/>
  <c r="P47" i="28"/>
  <c r="P48" i="28"/>
  <c r="P49" i="28"/>
  <c r="P50" i="28"/>
  <c r="P51" i="28"/>
  <c r="P52" i="28"/>
  <c r="P53" i="28"/>
  <c r="P54" i="28"/>
  <c r="P55" i="28"/>
  <c r="P56" i="28"/>
  <c r="P57" i="28"/>
  <c r="P59" i="28"/>
  <c r="P60" i="28"/>
  <c r="P61" i="28"/>
  <c r="P62" i="28"/>
  <c r="P64" i="28"/>
  <c r="P65" i="28"/>
  <c r="P66" i="28"/>
  <c r="P67" i="28"/>
  <c r="P68" i="28"/>
  <c r="P69" i="28"/>
  <c r="P70" i="28"/>
  <c r="P71" i="28"/>
  <c r="P72" i="28"/>
  <c r="P74" i="28"/>
  <c r="P76" i="28"/>
  <c r="P77" i="28"/>
  <c r="P78" i="28"/>
  <c r="P79" i="28"/>
  <c r="P80" i="28"/>
  <c r="P81" i="28"/>
  <c r="P83" i="28"/>
  <c r="P84" i="28"/>
  <c r="P85" i="28"/>
  <c r="P86" i="28"/>
  <c r="P87" i="28"/>
  <c r="P88" i="28"/>
  <c r="P90" i="28"/>
  <c r="P93" i="28"/>
  <c r="P94" i="28"/>
  <c r="P95" i="28"/>
  <c r="P96" i="28"/>
  <c r="P98" i="28"/>
  <c r="P99" i="28"/>
  <c r="P101" i="28"/>
  <c r="P102" i="28"/>
  <c r="P15" i="28"/>
  <c r="O16" i="28"/>
  <c r="O17" i="28"/>
  <c r="O18" i="28"/>
  <c r="O19" i="28"/>
  <c r="O20" i="28"/>
  <c r="O21" i="28"/>
  <c r="O22" i="28"/>
  <c r="O23" i="28"/>
  <c r="O24" i="28"/>
  <c r="O25" i="28"/>
  <c r="O26" i="28"/>
  <c r="O27" i="28"/>
  <c r="O28" i="28"/>
  <c r="O29" i="28"/>
  <c r="O30" i="28"/>
  <c r="O31" i="28"/>
  <c r="O32" i="28"/>
  <c r="O33" i="28"/>
  <c r="O35" i="28"/>
  <c r="O36" i="28"/>
  <c r="O37" i="28"/>
  <c r="O38" i="28"/>
  <c r="O39" i="28"/>
  <c r="O40" i="28"/>
  <c r="O41" i="28"/>
  <c r="O42" i="28"/>
  <c r="O44" i="28"/>
  <c r="O45" i="28"/>
  <c r="O46" i="28"/>
  <c r="O47" i="28"/>
  <c r="O48" i="28"/>
  <c r="O49" i="28"/>
  <c r="O50" i="28"/>
  <c r="O51" i="28"/>
  <c r="O52" i="28"/>
  <c r="O53" i="28"/>
  <c r="O54" i="28"/>
  <c r="O55" i="28"/>
  <c r="O56" i="28"/>
  <c r="O57" i="28"/>
  <c r="O59" i="28"/>
  <c r="O60" i="28"/>
  <c r="O61" i="28"/>
  <c r="O62" i="28"/>
  <c r="O64" i="28"/>
  <c r="O65" i="28"/>
  <c r="O66" i="28"/>
  <c r="O67" i="28"/>
  <c r="O68" i="28"/>
  <c r="O69" i="28"/>
  <c r="O70" i="28"/>
  <c r="O71" i="28"/>
  <c r="O72" i="28"/>
  <c r="O74" i="28"/>
  <c r="O76" i="28"/>
  <c r="O77" i="28"/>
  <c r="O78" i="28"/>
  <c r="O79" i="28"/>
  <c r="O80" i="28"/>
  <c r="O81" i="28"/>
  <c r="O83" i="28"/>
  <c r="O84" i="28"/>
  <c r="O85" i="28"/>
  <c r="O86" i="28"/>
  <c r="O87" i="28"/>
  <c r="O88" i="28"/>
  <c r="O90" i="28"/>
  <c r="O93" i="28"/>
  <c r="O94" i="28"/>
  <c r="O95" i="28"/>
  <c r="O96" i="28"/>
  <c r="O98" i="28"/>
  <c r="O99" i="28"/>
  <c r="O101" i="28"/>
  <c r="O102" i="28"/>
  <c r="O15" i="28"/>
  <c r="N16" i="28"/>
  <c r="N17" i="28"/>
  <c r="N18" i="28"/>
  <c r="N19" i="28"/>
  <c r="N20" i="28"/>
  <c r="N21" i="28"/>
  <c r="N22" i="28"/>
  <c r="N23" i="28"/>
  <c r="N24" i="28"/>
  <c r="N25" i="28"/>
  <c r="N26" i="28"/>
  <c r="N27" i="28"/>
  <c r="N28" i="28"/>
  <c r="N29" i="28"/>
  <c r="N30" i="28"/>
  <c r="N31" i="28"/>
  <c r="N32" i="28"/>
  <c r="N33" i="28"/>
  <c r="N35" i="28"/>
  <c r="N36" i="28"/>
  <c r="N37" i="28"/>
  <c r="N38" i="28"/>
  <c r="N39" i="28"/>
  <c r="N40" i="28"/>
  <c r="N41" i="28"/>
  <c r="N42" i="28"/>
  <c r="N44" i="28"/>
  <c r="N45" i="28"/>
  <c r="N46" i="28"/>
  <c r="N47" i="28"/>
  <c r="N48" i="28"/>
  <c r="N49" i="28"/>
  <c r="N50" i="28"/>
  <c r="N51" i="28"/>
  <c r="N52" i="28"/>
  <c r="N53" i="28"/>
  <c r="N54" i="28"/>
  <c r="N55" i="28"/>
  <c r="N56" i="28"/>
  <c r="N57" i="28"/>
  <c r="N59" i="28"/>
  <c r="N60" i="28"/>
  <c r="N61" i="28"/>
  <c r="N62" i="28"/>
  <c r="N64" i="28"/>
  <c r="N65" i="28"/>
  <c r="N66" i="28"/>
  <c r="N67" i="28"/>
  <c r="N68" i="28"/>
  <c r="N69" i="28"/>
  <c r="N70" i="28"/>
  <c r="N71" i="28"/>
  <c r="N72" i="28"/>
  <c r="N74" i="28"/>
  <c r="N76" i="28"/>
  <c r="N77" i="28"/>
  <c r="N78" i="28"/>
  <c r="N79" i="28"/>
  <c r="N80" i="28"/>
  <c r="N81" i="28"/>
  <c r="N83" i="28"/>
  <c r="N84" i="28"/>
  <c r="N85" i="28"/>
  <c r="N86" i="28"/>
  <c r="N87" i="28"/>
  <c r="N88" i="28"/>
  <c r="N90" i="28"/>
  <c r="N93" i="28"/>
  <c r="N94" i="28"/>
  <c r="N95" i="28"/>
  <c r="N96" i="28"/>
  <c r="N98" i="28"/>
  <c r="N99" i="28"/>
  <c r="N101" i="28"/>
  <c r="N102" i="28"/>
  <c r="N15" i="28"/>
  <c r="M16" i="28"/>
  <c r="M17" i="28"/>
  <c r="M18" i="28"/>
  <c r="M19" i="28"/>
  <c r="M20" i="28"/>
  <c r="M21" i="28"/>
  <c r="M22" i="28"/>
  <c r="M23" i="28"/>
  <c r="M24" i="28"/>
  <c r="M25" i="28"/>
  <c r="M26" i="28"/>
  <c r="M27" i="28"/>
  <c r="M28" i="28"/>
  <c r="M29" i="28"/>
  <c r="M30" i="28"/>
  <c r="M31" i="28"/>
  <c r="M32" i="28"/>
  <c r="M33" i="28"/>
  <c r="M35" i="28"/>
  <c r="M36" i="28"/>
  <c r="M37" i="28"/>
  <c r="M38" i="28"/>
  <c r="M39" i="28"/>
  <c r="M40" i="28"/>
  <c r="M41" i="28"/>
  <c r="M42" i="28"/>
  <c r="M44" i="28"/>
  <c r="M45" i="28"/>
  <c r="M46" i="28"/>
  <c r="M47" i="28"/>
  <c r="M48" i="28"/>
  <c r="M49" i="28"/>
  <c r="M50" i="28"/>
  <c r="M51" i="28"/>
  <c r="M52" i="28"/>
  <c r="M53" i="28"/>
  <c r="M54" i="28"/>
  <c r="M55" i="28"/>
  <c r="M56" i="28"/>
  <c r="M57" i="28"/>
  <c r="M59" i="28"/>
  <c r="M60" i="28"/>
  <c r="M61" i="28"/>
  <c r="M62" i="28"/>
  <c r="M64" i="28"/>
  <c r="M65" i="28"/>
  <c r="M66" i="28"/>
  <c r="M67" i="28"/>
  <c r="M68" i="28"/>
  <c r="M69" i="28"/>
  <c r="M70" i="28"/>
  <c r="M71" i="28"/>
  <c r="M72" i="28"/>
  <c r="M74" i="28"/>
  <c r="M76" i="28"/>
  <c r="M77" i="28"/>
  <c r="M78" i="28"/>
  <c r="M79" i="28"/>
  <c r="M80" i="28"/>
  <c r="M81" i="28"/>
  <c r="M83" i="28"/>
  <c r="M84" i="28"/>
  <c r="M85" i="28"/>
  <c r="M86" i="28"/>
  <c r="M87" i="28"/>
  <c r="M88" i="28"/>
  <c r="M90" i="28"/>
  <c r="M93" i="28"/>
  <c r="M94" i="28"/>
  <c r="M95" i="28"/>
  <c r="M96" i="28"/>
  <c r="M98" i="28"/>
  <c r="M99" i="28"/>
  <c r="M101" i="28"/>
  <c r="M102" i="28"/>
  <c r="M15" i="28"/>
  <c r="L16" i="28"/>
  <c r="L17" i="28"/>
  <c r="L18" i="28"/>
  <c r="L19" i="28"/>
  <c r="L20" i="28"/>
  <c r="L21" i="28"/>
  <c r="L22" i="28"/>
  <c r="L23" i="28"/>
  <c r="L24" i="28"/>
  <c r="L25" i="28"/>
  <c r="L26" i="28"/>
  <c r="L27" i="28"/>
  <c r="L28" i="28"/>
  <c r="L29" i="28"/>
  <c r="L30" i="28"/>
  <c r="L31" i="28"/>
  <c r="L32" i="28"/>
  <c r="L33" i="28"/>
  <c r="L35" i="28"/>
  <c r="L36" i="28"/>
  <c r="L37" i="28"/>
  <c r="L38" i="28"/>
  <c r="L39" i="28"/>
  <c r="L40" i="28"/>
  <c r="L41" i="28"/>
  <c r="L42" i="28"/>
  <c r="L44" i="28"/>
  <c r="L45" i="28"/>
  <c r="L46" i="28"/>
  <c r="L47" i="28"/>
  <c r="L48" i="28"/>
  <c r="L49" i="28"/>
  <c r="L50" i="28"/>
  <c r="L51" i="28"/>
  <c r="L52" i="28"/>
  <c r="L53" i="28"/>
  <c r="L54" i="28"/>
  <c r="L55" i="28"/>
  <c r="L56" i="28"/>
  <c r="L57" i="28"/>
  <c r="L59" i="28"/>
  <c r="L60" i="28"/>
  <c r="L61" i="28"/>
  <c r="L62" i="28"/>
  <c r="L64" i="28"/>
  <c r="L65" i="28"/>
  <c r="L66" i="28"/>
  <c r="L67" i="28"/>
  <c r="L68" i="28"/>
  <c r="L69" i="28"/>
  <c r="L70" i="28"/>
  <c r="L71" i="28"/>
  <c r="L72" i="28"/>
  <c r="L74" i="28"/>
  <c r="L76" i="28"/>
  <c r="L77" i="28"/>
  <c r="L78" i="28"/>
  <c r="L79" i="28"/>
  <c r="L80" i="28"/>
  <c r="L81" i="28"/>
  <c r="L83" i="28"/>
  <c r="L84" i="28"/>
  <c r="L85" i="28"/>
  <c r="L86" i="28"/>
  <c r="L87" i="28"/>
  <c r="L88" i="28"/>
  <c r="L90" i="28"/>
  <c r="L93" i="28"/>
  <c r="L94" i="28"/>
  <c r="L95" i="28"/>
  <c r="L96" i="28"/>
  <c r="L98" i="28"/>
  <c r="L99" i="28"/>
  <c r="L101" i="28"/>
  <c r="L102" i="28"/>
  <c r="L15" i="28"/>
  <c r="P101" i="27"/>
  <c r="M101" i="27"/>
  <c r="P51" i="27"/>
  <c r="M51" i="27"/>
  <c r="P16" i="27"/>
  <c r="P17" i="27"/>
  <c r="P18" i="27"/>
  <c r="P19" i="27"/>
  <c r="P46" i="27"/>
  <c r="P49" i="27"/>
  <c r="P50" i="27"/>
  <c r="P52" i="27"/>
  <c r="P53" i="27"/>
  <c r="P54" i="27"/>
  <c r="P55" i="27"/>
  <c r="P56" i="27"/>
  <c r="P57" i="27"/>
  <c r="P59" i="27"/>
  <c r="P60" i="27"/>
  <c r="P61" i="27"/>
  <c r="P62" i="27"/>
  <c r="P63" i="27"/>
  <c r="P64" i="27"/>
  <c r="P65" i="27"/>
  <c r="P66" i="27"/>
  <c r="P69" i="27"/>
  <c r="P70" i="27"/>
  <c r="P71" i="27"/>
  <c r="P72" i="27"/>
  <c r="P73" i="27"/>
  <c r="P74" i="27"/>
  <c r="P75" i="27"/>
  <c r="P76" i="27"/>
  <c r="P77" i="27"/>
  <c r="P79" i="27"/>
  <c r="P80" i="27"/>
  <c r="P81" i="27"/>
  <c r="P82" i="27"/>
  <c r="P83" i="27"/>
  <c r="P84" i="27"/>
  <c r="P85" i="27"/>
  <c r="P86" i="27"/>
  <c r="P87" i="27"/>
  <c r="P88" i="27"/>
  <c r="P89" i="27"/>
  <c r="P90" i="27"/>
  <c r="P91" i="27"/>
  <c r="P92" i="27"/>
  <c r="P93" i="27"/>
  <c r="P94" i="27"/>
  <c r="P95" i="27"/>
  <c r="P99" i="27"/>
  <c r="P100" i="27"/>
  <c r="P102" i="27"/>
  <c r="P103" i="27"/>
  <c r="P104" i="27"/>
  <c r="P105" i="27"/>
  <c r="P108" i="27"/>
  <c r="P15" i="27"/>
  <c r="O16" i="27"/>
  <c r="O17" i="27"/>
  <c r="O18" i="27"/>
  <c r="O19" i="27"/>
  <c r="O20" i="27"/>
  <c r="O21" i="27"/>
  <c r="O22" i="27"/>
  <c r="O23" i="27"/>
  <c r="O24" i="27"/>
  <c r="O25" i="27"/>
  <c r="O26" i="27"/>
  <c r="O27" i="27"/>
  <c r="O28" i="27"/>
  <c r="O29" i="27"/>
  <c r="O30" i="27"/>
  <c r="O31" i="27"/>
  <c r="O32" i="27"/>
  <c r="O33" i="27"/>
  <c r="O34" i="27"/>
  <c r="O35" i="27"/>
  <c r="O36" i="27"/>
  <c r="O37" i="27"/>
  <c r="O38" i="27"/>
  <c r="O39" i="27"/>
  <c r="O40" i="27"/>
  <c r="O41" i="27"/>
  <c r="O42" i="27"/>
  <c r="O43" i="27"/>
  <c r="O44" i="27"/>
  <c r="O46" i="27"/>
  <c r="O48" i="27"/>
  <c r="O49" i="27"/>
  <c r="O50" i="27"/>
  <c r="O52" i="27"/>
  <c r="O53" i="27"/>
  <c r="O54" i="27"/>
  <c r="O55" i="27"/>
  <c r="O56" i="27"/>
  <c r="O57" i="27"/>
  <c r="O59" i="27"/>
  <c r="O60" i="27"/>
  <c r="O61" i="27"/>
  <c r="O62" i="27"/>
  <c r="O63" i="27"/>
  <c r="O64" i="27"/>
  <c r="O65" i="27"/>
  <c r="O66" i="27"/>
  <c r="O67" i="27"/>
  <c r="O68" i="27"/>
  <c r="O69" i="27"/>
  <c r="O70" i="27"/>
  <c r="O71" i="27"/>
  <c r="O72" i="27"/>
  <c r="O73" i="27"/>
  <c r="O74" i="27"/>
  <c r="O75" i="27"/>
  <c r="O76" i="27"/>
  <c r="O77" i="27"/>
  <c r="O78" i="27"/>
  <c r="O79" i="27"/>
  <c r="O80" i="27"/>
  <c r="O81" i="27"/>
  <c r="O82" i="27"/>
  <c r="O83" i="27"/>
  <c r="O84" i="27"/>
  <c r="O85" i="27"/>
  <c r="O86" i="27"/>
  <c r="O87" i="27"/>
  <c r="O88" i="27"/>
  <c r="O89" i="27"/>
  <c r="O90" i="27"/>
  <c r="O91" i="27"/>
  <c r="O92" i="27"/>
  <c r="O93" i="27"/>
  <c r="O94" i="27"/>
  <c r="O95" i="27"/>
  <c r="O96" i="27"/>
  <c r="O97" i="27"/>
  <c r="O98" i="27"/>
  <c r="O99" i="27"/>
  <c r="O100" i="27"/>
  <c r="O102" i="27"/>
  <c r="O103" i="27"/>
  <c r="O104" i="27"/>
  <c r="O105" i="27"/>
  <c r="O107" i="27"/>
  <c r="O108" i="27"/>
  <c r="O109" i="27"/>
  <c r="O110" i="27"/>
  <c r="O111" i="27"/>
  <c r="O114" i="27"/>
  <c r="O115" i="27"/>
  <c r="O15" i="27"/>
  <c r="N16" i="27"/>
  <c r="N17" i="27"/>
  <c r="N18" i="27"/>
  <c r="N19" i="27"/>
  <c r="N20" i="27"/>
  <c r="P20" i="27" s="1"/>
  <c r="N21" i="27"/>
  <c r="P21" i="27" s="1"/>
  <c r="N22" i="27"/>
  <c r="P22" i="27" s="1"/>
  <c r="N23" i="27"/>
  <c r="P23" i="27" s="1"/>
  <c r="N24" i="27"/>
  <c r="P24" i="27" s="1"/>
  <c r="N25" i="27"/>
  <c r="P25" i="27" s="1"/>
  <c r="N26" i="27"/>
  <c r="P26" i="27" s="1"/>
  <c r="N27" i="27"/>
  <c r="P27" i="27" s="1"/>
  <c r="N28" i="27"/>
  <c r="P28" i="27" s="1"/>
  <c r="N29" i="27"/>
  <c r="P29" i="27" s="1"/>
  <c r="N30" i="27"/>
  <c r="P30" i="27" s="1"/>
  <c r="N31" i="27"/>
  <c r="P31" i="27" s="1"/>
  <c r="N32" i="27"/>
  <c r="P32" i="27" s="1"/>
  <c r="N33" i="27"/>
  <c r="P33" i="27" s="1"/>
  <c r="N34" i="27"/>
  <c r="P34" i="27" s="1"/>
  <c r="N35" i="27"/>
  <c r="P35" i="27" s="1"/>
  <c r="N36" i="27"/>
  <c r="P36" i="27" s="1"/>
  <c r="N37" i="27"/>
  <c r="P37" i="27" s="1"/>
  <c r="N38" i="27"/>
  <c r="P38" i="27" s="1"/>
  <c r="N39" i="27"/>
  <c r="P39" i="27" s="1"/>
  <c r="N40" i="27"/>
  <c r="P40" i="27" s="1"/>
  <c r="N41" i="27"/>
  <c r="P41" i="27" s="1"/>
  <c r="N42" i="27"/>
  <c r="P42" i="27" s="1"/>
  <c r="N43" i="27"/>
  <c r="P43" i="27" s="1"/>
  <c r="N44" i="27"/>
  <c r="P44" i="27" s="1"/>
  <c r="N46" i="27"/>
  <c r="P47" i="27"/>
  <c r="N48" i="27"/>
  <c r="P48" i="27" s="1"/>
  <c r="N49" i="27"/>
  <c r="N50" i="27"/>
  <c r="N52" i="27"/>
  <c r="N53" i="27"/>
  <c r="N54" i="27"/>
  <c r="N55" i="27"/>
  <c r="N56" i="27"/>
  <c r="N57" i="27"/>
  <c r="N59" i="27"/>
  <c r="N60" i="27"/>
  <c r="N61" i="27"/>
  <c r="N62" i="27"/>
  <c r="N63" i="27"/>
  <c r="N64" i="27"/>
  <c r="N65" i="27"/>
  <c r="N66" i="27"/>
  <c r="N67" i="27"/>
  <c r="P67" i="27" s="1"/>
  <c r="N68" i="27"/>
  <c r="P68" i="27" s="1"/>
  <c r="N69" i="27"/>
  <c r="N70" i="27"/>
  <c r="N71" i="27"/>
  <c r="N72" i="27"/>
  <c r="N73" i="27"/>
  <c r="N74" i="27"/>
  <c r="N75" i="27"/>
  <c r="N76" i="27"/>
  <c r="N77" i="27"/>
  <c r="N78" i="27"/>
  <c r="P78" i="27" s="1"/>
  <c r="N79" i="27"/>
  <c r="N80" i="27"/>
  <c r="N81" i="27"/>
  <c r="N82" i="27"/>
  <c r="N83" i="27"/>
  <c r="N84" i="27"/>
  <c r="N85" i="27"/>
  <c r="N86" i="27"/>
  <c r="N87" i="27"/>
  <c r="N88" i="27"/>
  <c r="N89" i="27"/>
  <c r="N90" i="27"/>
  <c r="N91" i="27"/>
  <c r="N92" i="27"/>
  <c r="N93" i="27"/>
  <c r="N94" i="27"/>
  <c r="N95" i="27"/>
  <c r="N96" i="27"/>
  <c r="P96" i="27" s="1"/>
  <c r="N97" i="27"/>
  <c r="P97" i="27" s="1"/>
  <c r="N98" i="27"/>
  <c r="P98" i="27" s="1"/>
  <c r="N99" i="27"/>
  <c r="N100" i="27"/>
  <c r="N102" i="27"/>
  <c r="N103" i="27"/>
  <c r="N104" i="27"/>
  <c r="N105" i="27"/>
  <c r="N107" i="27"/>
  <c r="P107" i="27" s="1"/>
  <c r="N108" i="27"/>
  <c r="N109" i="27"/>
  <c r="P109" i="27" s="1"/>
  <c r="N110" i="27"/>
  <c r="N111" i="27"/>
  <c r="P111" i="27" s="1"/>
  <c r="P110" i="27" s="1"/>
  <c r="N114" i="27"/>
  <c r="P114" i="27" s="1"/>
  <c r="N115" i="27"/>
  <c r="P115" i="27" s="1"/>
  <c r="N15" i="27"/>
  <c r="M16" i="27"/>
  <c r="M17" i="27"/>
  <c r="M18" i="27"/>
  <c r="M19" i="27"/>
  <c r="M20" i="27"/>
  <c r="M21" i="27"/>
  <c r="M22" i="27"/>
  <c r="M23" i="27"/>
  <c r="M24" i="27"/>
  <c r="M25" i="27"/>
  <c r="M26" i="27"/>
  <c r="M27" i="27"/>
  <c r="M28" i="27"/>
  <c r="M29" i="27"/>
  <c r="M30" i="27"/>
  <c r="M31" i="27"/>
  <c r="M32" i="27"/>
  <c r="M33" i="27"/>
  <c r="M34" i="27"/>
  <c r="M35" i="27"/>
  <c r="M36" i="27"/>
  <c r="M37" i="27"/>
  <c r="M38" i="27"/>
  <c r="M39" i="27"/>
  <c r="M40" i="27"/>
  <c r="M41" i="27"/>
  <c r="M42" i="27"/>
  <c r="M43" i="27"/>
  <c r="M44" i="27"/>
  <c r="M46" i="27"/>
  <c r="M47" i="27"/>
  <c r="M48" i="27"/>
  <c r="M45" i="27" s="1"/>
  <c r="M49" i="27"/>
  <c r="M50" i="27"/>
  <c r="M52" i="27"/>
  <c r="M53" i="27"/>
  <c r="M54" i="27"/>
  <c r="M55" i="27"/>
  <c r="M56" i="27"/>
  <c r="M57" i="27"/>
  <c r="M59" i="27"/>
  <c r="M60" i="27"/>
  <c r="M61" i="27"/>
  <c r="M62" i="27"/>
  <c r="M63" i="27"/>
  <c r="M64" i="27"/>
  <c r="M65" i="27"/>
  <c r="M66" i="27"/>
  <c r="M67" i="27"/>
  <c r="M68" i="27"/>
  <c r="M69" i="27"/>
  <c r="M70" i="27"/>
  <c r="M71" i="27"/>
  <c r="M72" i="27"/>
  <c r="M73" i="27"/>
  <c r="M74" i="27"/>
  <c r="M75" i="27"/>
  <c r="M76" i="27"/>
  <c r="M77" i="27"/>
  <c r="M78" i="27"/>
  <c r="M79" i="27"/>
  <c r="M80" i="27"/>
  <c r="M81" i="27"/>
  <c r="M82" i="27"/>
  <c r="M83" i="27"/>
  <c r="M84" i="27"/>
  <c r="M85" i="27"/>
  <c r="M86" i="27"/>
  <c r="M87" i="27"/>
  <c r="M88" i="27"/>
  <c r="M89" i="27"/>
  <c r="M90" i="27"/>
  <c r="M91" i="27"/>
  <c r="M92" i="27"/>
  <c r="M93" i="27"/>
  <c r="M94" i="27"/>
  <c r="M95" i="27"/>
  <c r="M96" i="27"/>
  <c r="M97" i="27"/>
  <c r="M98" i="27"/>
  <c r="M99" i="27"/>
  <c r="M100" i="27"/>
  <c r="M102" i="27"/>
  <c r="M103" i="27"/>
  <c r="M104" i="27"/>
  <c r="M105" i="27"/>
  <c r="M107" i="27"/>
  <c r="M106" i="27" s="1"/>
  <c r="M108" i="27"/>
  <c r="M109" i="27"/>
  <c r="M111" i="27"/>
  <c r="M110" i="27" s="1"/>
  <c r="M114" i="27"/>
  <c r="M115" i="27"/>
  <c r="L16" i="27"/>
  <c r="L17" i="27"/>
  <c r="L18" i="27"/>
  <c r="L19" i="27"/>
  <c r="L20" i="27"/>
  <c r="L21" i="27"/>
  <c r="L22" i="27"/>
  <c r="L23" i="27"/>
  <c r="L24" i="27"/>
  <c r="L25" i="27"/>
  <c r="L26" i="27"/>
  <c r="L27" i="27"/>
  <c r="L28" i="27"/>
  <c r="L29" i="27"/>
  <c r="L30" i="27"/>
  <c r="L31" i="27"/>
  <c r="L32" i="27"/>
  <c r="L33" i="27"/>
  <c r="L34" i="27"/>
  <c r="L35" i="27"/>
  <c r="L36" i="27"/>
  <c r="L37" i="27"/>
  <c r="L38" i="27"/>
  <c r="L39" i="27"/>
  <c r="L40" i="27"/>
  <c r="L41" i="27"/>
  <c r="L42" i="27"/>
  <c r="L43" i="27"/>
  <c r="L44" i="27"/>
  <c r="L46" i="27"/>
  <c r="L48" i="27"/>
  <c r="L49" i="27"/>
  <c r="L50" i="27"/>
  <c r="L52" i="27"/>
  <c r="L53" i="27"/>
  <c r="L54" i="27"/>
  <c r="L55" i="27"/>
  <c r="L56" i="27"/>
  <c r="L57" i="27"/>
  <c r="L59" i="27"/>
  <c r="L60" i="27"/>
  <c r="L61" i="27"/>
  <c r="L62" i="27"/>
  <c r="L63" i="27"/>
  <c r="L64" i="27"/>
  <c r="L65" i="27"/>
  <c r="L66" i="27"/>
  <c r="L67" i="27"/>
  <c r="L68" i="27"/>
  <c r="L69" i="27"/>
  <c r="L70" i="27"/>
  <c r="L71" i="27"/>
  <c r="L72" i="27"/>
  <c r="L73" i="27"/>
  <c r="L74" i="27"/>
  <c r="L75" i="27"/>
  <c r="L76" i="27"/>
  <c r="L77" i="27"/>
  <c r="L78" i="27"/>
  <c r="L79" i="27"/>
  <c r="L80" i="27"/>
  <c r="L81" i="27"/>
  <c r="L82" i="27"/>
  <c r="L83" i="27"/>
  <c r="L84" i="27"/>
  <c r="L85" i="27"/>
  <c r="L86" i="27"/>
  <c r="L87" i="27"/>
  <c r="L88" i="27"/>
  <c r="L89" i="27"/>
  <c r="L90" i="27"/>
  <c r="L91" i="27"/>
  <c r="L92" i="27"/>
  <c r="L93" i="27"/>
  <c r="L94" i="27"/>
  <c r="L95" i="27"/>
  <c r="L96" i="27"/>
  <c r="L97" i="27"/>
  <c r="L98" i="27"/>
  <c r="L99" i="27"/>
  <c r="L100" i="27"/>
  <c r="L102" i="27"/>
  <c r="L103" i="27"/>
  <c r="L104" i="27"/>
  <c r="L105" i="27"/>
  <c r="L107" i="27"/>
  <c r="L108" i="27"/>
  <c r="L109" i="27"/>
  <c r="L110" i="27"/>
  <c r="L111" i="27"/>
  <c r="L114" i="27"/>
  <c r="L115" i="27"/>
  <c r="M15" i="27"/>
  <c r="L15" i="27"/>
  <c r="P24" i="26"/>
  <c r="P25" i="26"/>
  <c r="P17" i="26"/>
  <c r="P18" i="26"/>
  <c r="P19" i="26"/>
  <c r="P22" i="26"/>
  <c r="P23" i="26"/>
  <c r="P26" i="26"/>
  <c r="P27" i="26"/>
  <c r="O16" i="26"/>
  <c r="O17" i="26"/>
  <c r="O18" i="26"/>
  <c r="O19" i="26"/>
  <c r="O20" i="26"/>
  <c r="O21" i="26"/>
  <c r="O22" i="26"/>
  <c r="O23" i="26"/>
  <c r="O26" i="26"/>
  <c r="O27" i="26"/>
  <c r="O15" i="26"/>
  <c r="M16" i="26"/>
  <c r="M17" i="26"/>
  <c r="M18" i="26"/>
  <c r="M19" i="26"/>
  <c r="M20" i="26"/>
  <c r="M21" i="26"/>
  <c r="M14" i="26" s="1"/>
  <c r="M29" i="26" s="1"/>
  <c r="F41" i="1" s="1"/>
  <c r="M22" i="26"/>
  <c r="M23" i="26"/>
  <c r="M24" i="26"/>
  <c r="M25" i="26"/>
  <c r="M26" i="26"/>
  <c r="M27" i="26"/>
  <c r="M15" i="26"/>
  <c r="L16" i="26"/>
  <c r="L17" i="26"/>
  <c r="L18" i="26"/>
  <c r="L19" i="26"/>
  <c r="L20" i="26"/>
  <c r="L21" i="26"/>
  <c r="L22" i="26"/>
  <c r="L23" i="26"/>
  <c r="L26" i="26"/>
  <c r="L27" i="26"/>
  <c r="L15" i="26"/>
  <c r="P34" i="25"/>
  <c r="M34" i="25"/>
  <c r="P17" i="25"/>
  <c r="P18" i="25"/>
  <c r="P19" i="25"/>
  <c r="P20" i="25"/>
  <c r="P21" i="25"/>
  <c r="P22" i="25"/>
  <c r="P23" i="25"/>
  <c r="P24" i="25"/>
  <c r="P25" i="25"/>
  <c r="P26" i="25"/>
  <c r="P27" i="25"/>
  <c r="P28" i="25"/>
  <c r="P29" i="25"/>
  <c r="P30" i="25"/>
  <c r="P31" i="25"/>
  <c r="P32" i="25"/>
  <c r="M17" i="25"/>
  <c r="M18" i="25"/>
  <c r="M19" i="25"/>
  <c r="M20" i="25"/>
  <c r="M21" i="25"/>
  <c r="M22" i="25"/>
  <c r="M23" i="25"/>
  <c r="M24" i="25"/>
  <c r="M25" i="25"/>
  <c r="M26" i="25"/>
  <c r="M27" i="25"/>
  <c r="M28" i="25"/>
  <c r="M29" i="25"/>
  <c r="M30" i="25"/>
  <c r="M31" i="25"/>
  <c r="M32" i="25"/>
  <c r="M77" i="24"/>
  <c r="P77" i="24"/>
  <c r="P15" i="24"/>
  <c r="M15" i="24"/>
  <c r="P17" i="24"/>
  <c r="P18" i="24"/>
  <c r="P19" i="24"/>
  <c r="P20" i="24"/>
  <c r="P21" i="24"/>
  <c r="P22" i="24"/>
  <c r="P23" i="24"/>
  <c r="P24" i="24"/>
  <c r="P25" i="24"/>
  <c r="P26" i="24"/>
  <c r="P27" i="24"/>
  <c r="P28" i="24"/>
  <c r="P29" i="24"/>
  <c r="P30" i="24"/>
  <c r="P31" i="24"/>
  <c r="P32" i="24"/>
  <c r="P33" i="24"/>
  <c r="P34" i="24"/>
  <c r="P35" i="24"/>
  <c r="P36" i="24"/>
  <c r="P37" i="24"/>
  <c r="P38" i="24"/>
  <c r="P39" i="24"/>
  <c r="P40" i="24"/>
  <c r="P41" i="24"/>
  <c r="P43" i="24"/>
  <c r="P44" i="24"/>
  <c r="P45" i="24"/>
  <c r="P46" i="24"/>
  <c r="P47" i="24"/>
  <c r="P48" i="24"/>
  <c r="P49" i="24"/>
  <c r="P50" i="24"/>
  <c r="P51" i="24"/>
  <c r="P52" i="24"/>
  <c r="P53" i="24"/>
  <c r="P54" i="24"/>
  <c r="P55" i="24"/>
  <c r="P56" i="24"/>
  <c r="P57" i="24"/>
  <c r="P58" i="24"/>
  <c r="P59" i="24"/>
  <c r="P60" i="24"/>
  <c r="P61" i="24"/>
  <c r="P62" i="24"/>
  <c r="P63" i="24"/>
  <c r="P64" i="24"/>
  <c r="P65" i="24"/>
  <c r="P66" i="24"/>
  <c r="P68" i="24"/>
  <c r="P69" i="24"/>
  <c r="P70" i="24"/>
  <c r="P71" i="24"/>
  <c r="P72" i="24"/>
  <c r="P73" i="24"/>
  <c r="P74" i="24"/>
  <c r="P75" i="24"/>
  <c r="P16" i="24"/>
  <c r="M75" i="24"/>
  <c r="M17" i="24"/>
  <c r="M18" i="24"/>
  <c r="M19" i="24"/>
  <c r="M20" i="24"/>
  <c r="M21" i="24"/>
  <c r="M22" i="24"/>
  <c r="M23" i="24"/>
  <c r="M24" i="24"/>
  <c r="M25" i="24"/>
  <c r="M26" i="24"/>
  <c r="M27" i="24"/>
  <c r="M28" i="24"/>
  <c r="M29" i="24"/>
  <c r="M30" i="24"/>
  <c r="M31" i="24"/>
  <c r="M32" i="24"/>
  <c r="M33" i="24"/>
  <c r="M34" i="24"/>
  <c r="M35" i="24"/>
  <c r="M36" i="24"/>
  <c r="M37" i="24"/>
  <c r="M38" i="24"/>
  <c r="M39" i="24"/>
  <c r="M40" i="24"/>
  <c r="M41" i="24"/>
  <c r="M42" i="24"/>
  <c r="M43" i="24"/>
  <c r="M44" i="24"/>
  <c r="M45" i="24"/>
  <c r="M46" i="24"/>
  <c r="M47" i="24"/>
  <c r="M48" i="24"/>
  <c r="M49" i="24"/>
  <c r="M50" i="24"/>
  <c r="M51" i="24"/>
  <c r="M52" i="24"/>
  <c r="M53" i="24"/>
  <c r="M54" i="24"/>
  <c r="M55" i="24"/>
  <c r="M56" i="24"/>
  <c r="M57" i="24"/>
  <c r="M58" i="24"/>
  <c r="M59" i="24"/>
  <c r="M60" i="24"/>
  <c r="M61" i="24"/>
  <c r="M62" i="24"/>
  <c r="M63" i="24"/>
  <c r="M64" i="24"/>
  <c r="M65" i="24"/>
  <c r="M66" i="24"/>
  <c r="M67" i="24"/>
  <c r="M68" i="24"/>
  <c r="M69" i="24"/>
  <c r="M70" i="24"/>
  <c r="M71" i="24"/>
  <c r="M72" i="24"/>
  <c r="M73" i="24"/>
  <c r="M74" i="24"/>
  <c r="M16" i="24"/>
  <c r="L75" i="24"/>
  <c r="L17" i="24"/>
  <c r="L18" i="24"/>
  <c r="L19" i="24"/>
  <c r="L20" i="24"/>
  <c r="L21" i="24"/>
  <c r="L22" i="24"/>
  <c r="L23" i="24"/>
  <c r="L24" i="24"/>
  <c r="L25" i="24"/>
  <c r="L26" i="24"/>
  <c r="L27" i="24"/>
  <c r="L28" i="24"/>
  <c r="L29" i="24"/>
  <c r="L30" i="24"/>
  <c r="L31" i="24"/>
  <c r="L32" i="24"/>
  <c r="L33" i="24"/>
  <c r="L34" i="24"/>
  <c r="L35" i="24"/>
  <c r="L36" i="24"/>
  <c r="L37" i="24"/>
  <c r="L38" i="24"/>
  <c r="L39" i="24"/>
  <c r="L40" i="24"/>
  <c r="L41" i="24"/>
  <c r="L43" i="24"/>
  <c r="L44" i="24"/>
  <c r="L45" i="24"/>
  <c r="L46" i="24"/>
  <c r="L47" i="24"/>
  <c r="L48" i="24"/>
  <c r="L49" i="24"/>
  <c r="L50" i="24"/>
  <c r="L51" i="24"/>
  <c r="L52" i="24"/>
  <c r="L53" i="24"/>
  <c r="L54" i="24"/>
  <c r="L55" i="24"/>
  <c r="L56" i="24"/>
  <c r="L57" i="24"/>
  <c r="L58" i="24"/>
  <c r="L59" i="24"/>
  <c r="L60" i="24"/>
  <c r="L61" i="24"/>
  <c r="L62" i="24"/>
  <c r="L63" i="24"/>
  <c r="L64" i="24"/>
  <c r="L65" i="24"/>
  <c r="L66" i="24"/>
  <c r="L68" i="24"/>
  <c r="L69" i="24"/>
  <c r="L70" i="24"/>
  <c r="L71" i="24"/>
  <c r="L72" i="24"/>
  <c r="L73" i="24"/>
  <c r="L74" i="24"/>
  <c r="L16" i="24"/>
  <c r="P23" i="23"/>
  <c r="M23" i="23"/>
  <c r="P18" i="23"/>
  <c r="P21" i="23"/>
  <c r="P15" i="23"/>
  <c r="O18" i="23"/>
  <c r="O21" i="23"/>
  <c r="O15" i="23"/>
  <c r="M18" i="23"/>
  <c r="M21" i="23"/>
  <c r="M15" i="23"/>
  <c r="L18" i="23"/>
  <c r="L21" i="23"/>
  <c r="L15" i="23"/>
  <c r="P79" i="22"/>
  <c r="M79" i="22"/>
  <c r="P50" i="22"/>
  <c r="M50" i="22"/>
  <c r="M48" i="22"/>
  <c r="P16" i="22"/>
  <c r="P17" i="22"/>
  <c r="P18" i="22"/>
  <c r="P19" i="22"/>
  <c r="P20" i="22"/>
  <c r="P28" i="22"/>
  <c r="P36" i="22"/>
  <c r="P44" i="22"/>
  <c r="P47" i="22"/>
  <c r="P46" i="22" s="1"/>
  <c r="P51" i="22"/>
  <c r="P52" i="22"/>
  <c r="P53" i="22"/>
  <c r="P54" i="22"/>
  <c r="P55" i="22"/>
  <c r="P56" i="22"/>
  <c r="P57" i="22"/>
  <c r="P58" i="22"/>
  <c r="P59" i="22"/>
  <c r="P63" i="22"/>
  <c r="P64" i="22"/>
  <c r="P65" i="22"/>
  <c r="P66" i="22"/>
  <c r="P67" i="22"/>
  <c r="P68" i="22"/>
  <c r="P69" i="22"/>
  <c r="P70" i="22"/>
  <c r="P71" i="22"/>
  <c r="P72" i="22"/>
  <c r="P73" i="22"/>
  <c r="P74" i="22"/>
  <c r="P75" i="22"/>
  <c r="P76" i="22"/>
  <c r="P80" i="22"/>
  <c r="P81" i="22"/>
  <c r="P82" i="22"/>
  <c r="P83" i="22"/>
  <c r="P84" i="22"/>
  <c r="P85" i="22"/>
  <c r="P88" i="22"/>
  <c r="P93" i="22"/>
  <c r="P92" i="22" s="1"/>
  <c r="P15" i="22"/>
  <c r="O16" i="22"/>
  <c r="O17" i="22"/>
  <c r="O18" i="22"/>
  <c r="O19" i="22"/>
  <c r="O20" i="22"/>
  <c r="O21" i="22"/>
  <c r="O22" i="22"/>
  <c r="O23" i="22"/>
  <c r="O24" i="22"/>
  <c r="O25" i="22"/>
  <c r="O26" i="22"/>
  <c r="O27" i="22"/>
  <c r="O28" i="22"/>
  <c r="O29" i="22"/>
  <c r="O30" i="22"/>
  <c r="O31" i="22"/>
  <c r="O32" i="22"/>
  <c r="O33" i="22"/>
  <c r="O34" i="22"/>
  <c r="O35" i="22"/>
  <c r="O36" i="22"/>
  <c r="O37" i="22"/>
  <c r="O38" i="22"/>
  <c r="O39" i="22"/>
  <c r="O40" i="22"/>
  <c r="O41" i="22"/>
  <c r="O42" i="22"/>
  <c r="O43" i="22"/>
  <c r="O44" i="22"/>
  <c r="O45" i="22"/>
  <c r="O47" i="22"/>
  <c r="O49" i="22"/>
  <c r="O51" i="22"/>
  <c r="O52" i="22"/>
  <c r="O53" i="22"/>
  <c r="O54" i="22"/>
  <c r="O55" i="22"/>
  <c r="O56" i="22"/>
  <c r="O57" i="22"/>
  <c r="O58" i="22"/>
  <c r="O59" i="22"/>
  <c r="O61" i="22"/>
  <c r="O62" i="22"/>
  <c r="O63" i="22"/>
  <c r="O64" i="22"/>
  <c r="O65" i="22"/>
  <c r="O66" i="22"/>
  <c r="O67" i="22"/>
  <c r="O68" i="22"/>
  <c r="O69" i="22"/>
  <c r="O70" i="22"/>
  <c r="O71" i="22"/>
  <c r="O72" i="22"/>
  <c r="O73" i="22"/>
  <c r="O74" i="22"/>
  <c r="O75" i="22"/>
  <c r="O76" i="22"/>
  <c r="O77" i="22"/>
  <c r="O78" i="22"/>
  <c r="O80" i="22"/>
  <c r="O81" i="22"/>
  <c r="O82" i="22"/>
  <c r="O83" i="22"/>
  <c r="O84" i="22"/>
  <c r="O85" i="22"/>
  <c r="O87" i="22"/>
  <c r="O88" i="22"/>
  <c r="O89" i="22"/>
  <c r="O90" i="22"/>
  <c r="O91" i="22"/>
  <c r="O92" i="22"/>
  <c r="O93" i="22"/>
  <c r="O15" i="22"/>
  <c r="N16" i="22"/>
  <c r="N17" i="22"/>
  <c r="N18" i="22"/>
  <c r="N19" i="22"/>
  <c r="N20" i="22"/>
  <c r="N21" i="22"/>
  <c r="P21" i="22" s="1"/>
  <c r="N22" i="22"/>
  <c r="P22" i="22" s="1"/>
  <c r="N23" i="22"/>
  <c r="P23" i="22" s="1"/>
  <c r="N24" i="22"/>
  <c r="P24" i="22" s="1"/>
  <c r="N25" i="22"/>
  <c r="P25" i="22" s="1"/>
  <c r="N26" i="22"/>
  <c r="P26" i="22" s="1"/>
  <c r="N27" i="22"/>
  <c r="P27" i="22" s="1"/>
  <c r="N28" i="22"/>
  <c r="N29" i="22"/>
  <c r="P29" i="22" s="1"/>
  <c r="N30" i="22"/>
  <c r="P30" i="22" s="1"/>
  <c r="N31" i="22"/>
  <c r="P31" i="22" s="1"/>
  <c r="N32" i="22"/>
  <c r="P32" i="22" s="1"/>
  <c r="N33" i="22"/>
  <c r="P33" i="22" s="1"/>
  <c r="N34" i="22"/>
  <c r="P34" i="22" s="1"/>
  <c r="N35" i="22"/>
  <c r="P35" i="22" s="1"/>
  <c r="N36" i="22"/>
  <c r="N37" i="22"/>
  <c r="P37" i="22" s="1"/>
  <c r="N38" i="22"/>
  <c r="P38" i="22" s="1"/>
  <c r="N39" i="22"/>
  <c r="P39" i="22" s="1"/>
  <c r="N40" i="22"/>
  <c r="P40" i="22" s="1"/>
  <c r="N41" i="22"/>
  <c r="P41" i="22" s="1"/>
  <c r="N42" i="22"/>
  <c r="P42" i="22" s="1"/>
  <c r="N43" i="22"/>
  <c r="P43" i="22" s="1"/>
  <c r="N44" i="22"/>
  <c r="N45" i="22"/>
  <c r="P45" i="22" s="1"/>
  <c r="N47" i="22"/>
  <c r="N49" i="22"/>
  <c r="P49" i="22" s="1"/>
  <c r="P48" i="22" s="1"/>
  <c r="N51" i="22"/>
  <c r="N52" i="22"/>
  <c r="N53" i="22"/>
  <c r="N54" i="22"/>
  <c r="N55" i="22"/>
  <c r="N56" i="22"/>
  <c r="N57" i="22"/>
  <c r="N58" i="22"/>
  <c r="N59" i="22"/>
  <c r="N61" i="22"/>
  <c r="P61" i="22" s="1"/>
  <c r="N62" i="22"/>
  <c r="P62" i="22" s="1"/>
  <c r="N63" i="22"/>
  <c r="N64" i="22"/>
  <c r="N65" i="22"/>
  <c r="N66" i="22"/>
  <c r="N67" i="22"/>
  <c r="N68" i="22"/>
  <c r="N69" i="22"/>
  <c r="N70" i="22"/>
  <c r="N71" i="22"/>
  <c r="N72" i="22"/>
  <c r="N73" i="22"/>
  <c r="N74" i="22"/>
  <c r="N75" i="22"/>
  <c r="N76" i="22"/>
  <c r="N77" i="22"/>
  <c r="P77" i="22" s="1"/>
  <c r="N78" i="22"/>
  <c r="P78" i="22" s="1"/>
  <c r="N80" i="22"/>
  <c r="N81" i="22"/>
  <c r="N82" i="22"/>
  <c r="N83" i="22"/>
  <c r="N84" i="22"/>
  <c r="N85" i="22"/>
  <c r="N87" i="22"/>
  <c r="P87" i="22" s="1"/>
  <c r="N88" i="22"/>
  <c r="N89" i="22"/>
  <c r="P89" i="22" s="1"/>
  <c r="N90" i="22"/>
  <c r="P90" i="22" s="1"/>
  <c r="N91" i="22"/>
  <c r="P91" i="22" s="1"/>
  <c r="N92" i="22"/>
  <c r="N93" i="22"/>
  <c r="N15" i="22"/>
  <c r="M16" i="22"/>
  <c r="M17" i="22"/>
  <c r="M18" i="22"/>
  <c r="M19" i="22"/>
  <c r="M20" i="22"/>
  <c r="M21" i="22"/>
  <c r="M22" i="22"/>
  <c r="M23" i="22"/>
  <c r="M24" i="22"/>
  <c r="M25" i="22"/>
  <c r="M26" i="22"/>
  <c r="M27" i="22"/>
  <c r="M28" i="22"/>
  <c r="M29" i="22"/>
  <c r="M30" i="22"/>
  <c r="M31" i="22"/>
  <c r="M32" i="22"/>
  <c r="M33" i="22"/>
  <c r="M34" i="22"/>
  <c r="M35" i="22"/>
  <c r="M36" i="22"/>
  <c r="M37" i="22"/>
  <c r="M38" i="22"/>
  <c r="M39" i="22"/>
  <c r="M40" i="22"/>
  <c r="M41" i="22"/>
  <c r="M42" i="22"/>
  <c r="M43" i="22"/>
  <c r="M44" i="22"/>
  <c r="M45" i="22"/>
  <c r="M47" i="22"/>
  <c r="M46" i="22" s="1"/>
  <c r="M49" i="22"/>
  <c r="M51" i="22"/>
  <c r="M52" i="22"/>
  <c r="M53" i="22"/>
  <c r="M54" i="22"/>
  <c r="M55" i="22"/>
  <c r="M56" i="22"/>
  <c r="M57" i="22"/>
  <c r="M58" i="22"/>
  <c r="M59" i="22"/>
  <c r="M61" i="22"/>
  <c r="M62" i="22"/>
  <c r="M63" i="22"/>
  <c r="M64" i="22"/>
  <c r="M65" i="22"/>
  <c r="M66" i="22"/>
  <c r="M67" i="22"/>
  <c r="M68" i="22"/>
  <c r="M69" i="22"/>
  <c r="M70" i="22"/>
  <c r="M71" i="22"/>
  <c r="M72" i="22"/>
  <c r="M73" i="22"/>
  <c r="M74" i="22"/>
  <c r="M75" i="22"/>
  <c r="M76" i="22"/>
  <c r="M77" i="22"/>
  <c r="M78" i="22"/>
  <c r="M80" i="22"/>
  <c r="M81" i="22"/>
  <c r="M82" i="22"/>
  <c r="M83" i="22"/>
  <c r="M84" i="22"/>
  <c r="M85" i="22"/>
  <c r="M87" i="22"/>
  <c r="M88" i="22"/>
  <c r="M89" i="22"/>
  <c r="M90" i="22"/>
  <c r="M91" i="22"/>
  <c r="M93" i="22"/>
  <c r="M92" i="22" s="1"/>
  <c r="M15" i="22"/>
  <c r="L16" i="22"/>
  <c r="L17" i="22"/>
  <c r="L18" i="22"/>
  <c r="L19" i="22"/>
  <c r="L20" i="22"/>
  <c r="L21" i="22"/>
  <c r="L22" i="22"/>
  <c r="L23" i="22"/>
  <c r="L24" i="22"/>
  <c r="L25" i="22"/>
  <c r="L26" i="22"/>
  <c r="L27" i="22"/>
  <c r="L28" i="22"/>
  <c r="L29" i="22"/>
  <c r="L30" i="22"/>
  <c r="L31" i="22"/>
  <c r="L32" i="22"/>
  <c r="L33" i="22"/>
  <c r="L34" i="22"/>
  <c r="L35" i="22"/>
  <c r="L36" i="22"/>
  <c r="L37" i="22"/>
  <c r="L38" i="22"/>
  <c r="L39" i="22"/>
  <c r="L40" i="22"/>
  <c r="L41" i="22"/>
  <c r="L42" i="22"/>
  <c r="L43" i="22"/>
  <c r="L44" i="22"/>
  <c r="L45" i="22"/>
  <c r="L47" i="22"/>
  <c r="L49" i="22"/>
  <c r="L51" i="22"/>
  <c r="L52" i="22"/>
  <c r="L53" i="22"/>
  <c r="L54" i="22"/>
  <c r="L55" i="22"/>
  <c r="L56" i="22"/>
  <c r="L57" i="22"/>
  <c r="L58" i="22"/>
  <c r="L59" i="22"/>
  <c r="L61" i="22"/>
  <c r="L62" i="22"/>
  <c r="L63" i="22"/>
  <c r="L64" i="22"/>
  <c r="L65" i="22"/>
  <c r="L66" i="22"/>
  <c r="L67" i="22"/>
  <c r="L68" i="22"/>
  <c r="L69" i="22"/>
  <c r="L70" i="22"/>
  <c r="L71" i="22"/>
  <c r="L72" i="22"/>
  <c r="L73" i="22"/>
  <c r="L74" i="22"/>
  <c r="L75" i="22"/>
  <c r="L76" i="22"/>
  <c r="L77" i="22"/>
  <c r="L78" i="22"/>
  <c r="L80" i="22"/>
  <c r="L81" i="22"/>
  <c r="L82" i="22"/>
  <c r="L83" i="22"/>
  <c r="L84" i="22"/>
  <c r="L85" i="22"/>
  <c r="L87" i="22"/>
  <c r="L88" i="22"/>
  <c r="L89" i="22"/>
  <c r="L90" i="22"/>
  <c r="L91" i="22"/>
  <c r="L92" i="22"/>
  <c r="L93" i="22"/>
  <c r="L15" i="22"/>
  <c r="P104" i="21"/>
  <c r="M104" i="21"/>
  <c r="P91" i="21"/>
  <c r="M91" i="21"/>
  <c r="P100" i="21"/>
  <c r="M100" i="21"/>
  <c r="P97" i="21"/>
  <c r="M97" i="21"/>
  <c r="P92" i="21"/>
  <c r="M92" i="21"/>
  <c r="P89" i="21"/>
  <c r="M89" i="21"/>
  <c r="P82" i="21"/>
  <c r="M82" i="21"/>
  <c r="P75" i="21"/>
  <c r="M75" i="21"/>
  <c r="P73" i="21"/>
  <c r="M73" i="21"/>
  <c r="P63" i="21"/>
  <c r="M63" i="21"/>
  <c r="P58" i="21"/>
  <c r="M58" i="21"/>
  <c r="P43" i="21"/>
  <c r="M43" i="21"/>
  <c r="P34" i="21"/>
  <c r="M34" i="21"/>
  <c r="P14" i="21"/>
  <c r="M14" i="21"/>
  <c r="M16" i="21"/>
  <c r="M17" i="21"/>
  <c r="M18" i="21"/>
  <c r="M19" i="21"/>
  <c r="M20" i="21"/>
  <c r="M21" i="21"/>
  <c r="M22" i="21"/>
  <c r="M23" i="21"/>
  <c r="M24" i="21"/>
  <c r="M25" i="21"/>
  <c r="M26" i="21"/>
  <c r="M27" i="21"/>
  <c r="M28" i="21"/>
  <c r="M29" i="21"/>
  <c r="M30" i="21"/>
  <c r="M31" i="21"/>
  <c r="M32" i="21"/>
  <c r="M33" i="21"/>
  <c r="M35" i="21"/>
  <c r="M36" i="21"/>
  <c r="M37" i="21"/>
  <c r="M38" i="21"/>
  <c r="M39" i="21"/>
  <c r="M40" i="21"/>
  <c r="M41" i="21"/>
  <c r="M42" i="21"/>
  <c r="M44" i="21"/>
  <c r="M45" i="21"/>
  <c r="M46" i="21"/>
  <c r="M47" i="21"/>
  <c r="M48" i="21"/>
  <c r="M49" i="21"/>
  <c r="M50" i="21"/>
  <c r="M51" i="21"/>
  <c r="M52" i="21"/>
  <c r="M53" i="21"/>
  <c r="M54" i="21"/>
  <c r="M55" i="21"/>
  <c r="M56" i="21"/>
  <c r="M57" i="21"/>
  <c r="M59" i="21"/>
  <c r="M60" i="21"/>
  <c r="M61" i="21"/>
  <c r="M62" i="21"/>
  <c r="M64" i="21"/>
  <c r="M65" i="21"/>
  <c r="M66" i="21"/>
  <c r="M67" i="21"/>
  <c r="M68" i="21"/>
  <c r="M69" i="21"/>
  <c r="M70" i="21"/>
  <c r="M71" i="21"/>
  <c r="M72" i="21"/>
  <c r="M74" i="21"/>
  <c r="M76" i="21"/>
  <c r="M77" i="21"/>
  <c r="M78" i="21"/>
  <c r="M79" i="21"/>
  <c r="M80" i="21"/>
  <c r="M81" i="21"/>
  <c r="M83" i="21"/>
  <c r="M84" i="21"/>
  <c r="M85" i="21"/>
  <c r="M86" i="21"/>
  <c r="M87" i="21"/>
  <c r="M88" i="21"/>
  <c r="M90" i="21"/>
  <c r="M93" i="21"/>
  <c r="M94" i="21"/>
  <c r="M95" i="21"/>
  <c r="M96" i="21"/>
  <c r="M98" i="21"/>
  <c r="M99" i="21"/>
  <c r="M101" i="21"/>
  <c r="M102" i="21"/>
  <c r="M15" i="21"/>
  <c r="L17" i="21"/>
  <c r="N17" i="21"/>
  <c r="P17" i="21" s="1"/>
  <c r="O17" i="21"/>
  <c r="L18" i="21"/>
  <c r="N18" i="21"/>
  <c r="P18" i="21" s="1"/>
  <c r="O18" i="21"/>
  <c r="L19" i="21"/>
  <c r="N19" i="21"/>
  <c r="O19" i="21"/>
  <c r="P19" i="21"/>
  <c r="L20" i="21"/>
  <c r="N20" i="21"/>
  <c r="O20" i="21"/>
  <c r="P20" i="21"/>
  <c r="L21" i="21"/>
  <c r="N21" i="21"/>
  <c r="O21" i="21"/>
  <c r="P21" i="21" s="1"/>
  <c r="L22" i="21"/>
  <c r="N22" i="21"/>
  <c r="P22" i="21" s="1"/>
  <c r="O22" i="21"/>
  <c r="L23" i="21"/>
  <c r="N23" i="21"/>
  <c r="P23" i="21" s="1"/>
  <c r="O23" i="21"/>
  <c r="L24" i="21"/>
  <c r="N24" i="21"/>
  <c r="O24" i="21"/>
  <c r="P24" i="21"/>
  <c r="L25" i="21"/>
  <c r="N25" i="21"/>
  <c r="P25" i="21" s="1"/>
  <c r="O25" i="21"/>
  <c r="L26" i="21"/>
  <c r="N26" i="21"/>
  <c r="P26" i="21" s="1"/>
  <c r="O26" i="21"/>
  <c r="L27" i="21"/>
  <c r="N27" i="21"/>
  <c r="O27" i="21"/>
  <c r="P27" i="21"/>
  <c r="L28" i="21"/>
  <c r="N28" i="21"/>
  <c r="O28" i="21"/>
  <c r="P28" i="21" s="1"/>
  <c r="L29" i="21"/>
  <c r="N29" i="21"/>
  <c r="O29" i="21"/>
  <c r="P29" i="21" s="1"/>
  <c r="L30" i="21"/>
  <c r="N30" i="21"/>
  <c r="P30" i="21" s="1"/>
  <c r="O30" i="21"/>
  <c r="L31" i="21"/>
  <c r="N31" i="21"/>
  <c r="O31" i="21"/>
  <c r="P31" i="21"/>
  <c r="L32" i="21"/>
  <c r="N32" i="21"/>
  <c r="O32" i="21"/>
  <c r="P32" i="21"/>
  <c r="L33" i="21"/>
  <c r="N33" i="21"/>
  <c r="P33" i="21" s="1"/>
  <c r="O33" i="21"/>
  <c r="L35" i="21"/>
  <c r="N35" i="21"/>
  <c r="O35" i="21"/>
  <c r="P35" i="21"/>
  <c r="L36" i="21"/>
  <c r="N36" i="21"/>
  <c r="O36" i="21"/>
  <c r="P36" i="21" s="1"/>
  <c r="L37" i="21"/>
  <c r="N37" i="21"/>
  <c r="O37" i="21"/>
  <c r="P37" i="21" s="1"/>
  <c r="L38" i="21"/>
  <c r="N38" i="21"/>
  <c r="P38" i="21" s="1"/>
  <c r="O38" i="21"/>
  <c r="L39" i="21"/>
  <c r="N39" i="21"/>
  <c r="O39" i="21"/>
  <c r="P39" i="21"/>
  <c r="L40" i="21"/>
  <c r="N40" i="21"/>
  <c r="O40" i="21"/>
  <c r="P40" i="21"/>
  <c r="L41" i="21"/>
  <c r="N41" i="21"/>
  <c r="P41" i="21" s="1"/>
  <c r="O41" i="21"/>
  <c r="L42" i="21"/>
  <c r="N42" i="21"/>
  <c r="P42" i="21" s="1"/>
  <c r="O42" i="21"/>
  <c r="L44" i="21"/>
  <c r="N44" i="21"/>
  <c r="O44" i="21"/>
  <c r="P44" i="21" s="1"/>
  <c r="L45" i="21"/>
  <c r="N45" i="21"/>
  <c r="O45" i="21"/>
  <c r="P45" i="21" s="1"/>
  <c r="L46" i="21"/>
  <c r="N46" i="21"/>
  <c r="P46" i="21" s="1"/>
  <c r="O46" i="21"/>
  <c r="L47" i="21"/>
  <c r="N47" i="21"/>
  <c r="O47" i="21"/>
  <c r="P47" i="21"/>
  <c r="L48" i="21"/>
  <c r="N48" i="21"/>
  <c r="O48" i="21"/>
  <c r="P48" i="21"/>
  <c r="L49" i="21"/>
  <c r="N49" i="21"/>
  <c r="P49" i="21" s="1"/>
  <c r="O49" i="21"/>
  <c r="L50" i="21"/>
  <c r="N50" i="21"/>
  <c r="P50" i="21" s="1"/>
  <c r="O50" i="21"/>
  <c r="L51" i="21"/>
  <c r="N51" i="21"/>
  <c r="O51" i="21"/>
  <c r="P51" i="21"/>
  <c r="L52" i="21"/>
  <c r="N52" i="21"/>
  <c r="O52" i="21"/>
  <c r="P52" i="21" s="1"/>
  <c r="L53" i="21"/>
  <c r="N53" i="21"/>
  <c r="O53" i="21"/>
  <c r="P53" i="21" s="1"/>
  <c r="L54" i="21"/>
  <c r="N54" i="21"/>
  <c r="P54" i="21" s="1"/>
  <c r="O54" i="21"/>
  <c r="L55" i="21"/>
  <c r="N55" i="21"/>
  <c r="O55" i="21"/>
  <c r="P55" i="21"/>
  <c r="L56" i="21"/>
  <c r="N56" i="21"/>
  <c r="O56" i="21"/>
  <c r="P56" i="21"/>
  <c r="L57" i="21"/>
  <c r="N57" i="21"/>
  <c r="P57" i="21" s="1"/>
  <c r="O57" i="21"/>
  <c r="L59" i="21"/>
  <c r="N59" i="21"/>
  <c r="O59" i="21"/>
  <c r="P59" i="21"/>
  <c r="L60" i="21"/>
  <c r="N60" i="21"/>
  <c r="O60" i="21"/>
  <c r="P60" i="21" s="1"/>
  <c r="L61" i="21"/>
  <c r="N61" i="21"/>
  <c r="O61" i="21"/>
  <c r="P61" i="21" s="1"/>
  <c r="L62" i="21"/>
  <c r="N62" i="21"/>
  <c r="P62" i="21" s="1"/>
  <c r="O62" i="21"/>
  <c r="L64" i="21"/>
  <c r="N64" i="21"/>
  <c r="O64" i="21"/>
  <c r="P64" i="21"/>
  <c r="L65" i="21"/>
  <c r="N65" i="21"/>
  <c r="P65" i="21" s="1"/>
  <c r="O65" i="21"/>
  <c r="L66" i="21"/>
  <c r="N66" i="21"/>
  <c r="P66" i="21" s="1"/>
  <c r="O66" i="21"/>
  <c r="L67" i="21"/>
  <c r="N67" i="21"/>
  <c r="O67" i="21"/>
  <c r="P67" i="21"/>
  <c r="L68" i="21"/>
  <c r="N68" i="21"/>
  <c r="O68" i="21"/>
  <c r="P68" i="21" s="1"/>
  <c r="L69" i="21"/>
  <c r="N69" i="21"/>
  <c r="O69" i="21"/>
  <c r="P69" i="21" s="1"/>
  <c r="L70" i="21"/>
  <c r="N70" i="21"/>
  <c r="P70" i="21" s="1"/>
  <c r="O70" i="21"/>
  <c r="L71" i="21"/>
  <c r="N71" i="21"/>
  <c r="O71" i="21"/>
  <c r="P71" i="21"/>
  <c r="L72" i="21"/>
  <c r="N72" i="21"/>
  <c r="O72" i="21"/>
  <c r="P72" i="21"/>
  <c r="L74" i="21"/>
  <c r="N74" i="21"/>
  <c r="P74" i="21" s="1"/>
  <c r="O74" i="21"/>
  <c r="L76" i="21"/>
  <c r="N76" i="21"/>
  <c r="O76" i="21"/>
  <c r="P76" i="21" s="1"/>
  <c r="L77" i="21"/>
  <c r="N77" i="21"/>
  <c r="O77" i="21"/>
  <c r="P77" i="21" s="1"/>
  <c r="L78" i="21"/>
  <c r="N78" i="21"/>
  <c r="P78" i="21" s="1"/>
  <c r="O78" i="21"/>
  <c r="L79" i="21"/>
  <c r="N79" i="21"/>
  <c r="O79" i="21"/>
  <c r="P79" i="21"/>
  <c r="L80" i="21"/>
  <c r="N80" i="21"/>
  <c r="O80" i="21"/>
  <c r="P80" i="21"/>
  <c r="L81" i="21"/>
  <c r="N81" i="21"/>
  <c r="P81" i="21" s="1"/>
  <c r="O81" i="21"/>
  <c r="L83" i="21"/>
  <c r="N83" i="21"/>
  <c r="O83" i="21"/>
  <c r="P83" i="21"/>
  <c r="L84" i="21"/>
  <c r="N84" i="21"/>
  <c r="O84" i="21"/>
  <c r="P84" i="21" s="1"/>
  <c r="L85" i="21"/>
  <c r="N85" i="21"/>
  <c r="O85" i="21"/>
  <c r="P85" i="21" s="1"/>
  <c r="L86" i="21"/>
  <c r="N86" i="21"/>
  <c r="P86" i="21" s="1"/>
  <c r="O86" i="21"/>
  <c r="L87" i="21"/>
  <c r="N87" i="21"/>
  <c r="O87" i="21"/>
  <c r="P87" i="21"/>
  <c r="L88" i="21"/>
  <c r="N88" i="21"/>
  <c r="O88" i="21"/>
  <c r="P88" i="21"/>
  <c r="L90" i="21"/>
  <c r="N90" i="21"/>
  <c r="P90" i="21" s="1"/>
  <c r="O90" i="21"/>
  <c r="L91" i="21"/>
  <c r="N91" i="21"/>
  <c r="O91" i="21"/>
  <c r="L92" i="21"/>
  <c r="N92" i="21"/>
  <c r="O92" i="21"/>
  <c r="L93" i="21"/>
  <c r="N93" i="21"/>
  <c r="O93" i="21"/>
  <c r="P93" i="21" s="1"/>
  <c r="L94" i="21"/>
  <c r="N94" i="21"/>
  <c r="P94" i="21" s="1"/>
  <c r="O94" i="21"/>
  <c r="L95" i="21"/>
  <c r="N95" i="21"/>
  <c r="O95" i="21"/>
  <c r="P95" i="21"/>
  <c r="L96" i="21"/>
  <c r="N96" i="21"/>
  <c r="O96" i="21"/>
  <c r="P96" i="21"/>
  <c r="L97" i="21"/>
  <c r="N97" i="21"/>
  <c r="O97" i="21"/>
  <c r="L98" i="21"/>
  <c r="N98" i="21"/>
  <c r="P98" i="21" s="1"/>
  <c r="O98" i="21"/>
  <c r="L99" i="21"/>
  <c r="N99" i="21"/>
  <c r="O99" i="21"/>
  <c r="P99" i="21"/>
  <c r="L100" i="21"/>
  <c r="N100" i="21"/>
  <c r="O100" i="21"/>
  <c r="L101" i="21"/>
  <c r="N101" i="21"/>
  <c r="O101" i="21"/>
  <c r="P101" i="21" s="1"/>
  <c r="L102" i="21"/>
  <c r="N102" i="21"/>
  <c r="P102" i="21" s="1"/>
  <c r="O102" i="21"/>
  <c r="P16" i="21"/>
  <c r="O16" i="21"/>
  <c r="N16" i="21"/>
  <c r="L16" i="21"/>
  <c r="P15" i="21"/>
  <c r="O15" i="21"/>
  <c r="N15" i="21"/>
  <c r="L15" i="21"/>
  <c r="M39" i="20"/>
  <c r="P41" i="20"/>
  <c r="M41" i="20"/>
  <c r="P84" i="20"/>
  <c r="M84" i="20"/>
  <c r="M16" i="20"/>
  <c r="M17" i="20"/>
  <c r="M18" i="20"/>
  <c r="M19" i="20"/>
  <c r="M20" i="20"/>
  <c r="M14" i="20" s="1"/>
  <c r="M21" i="20"/>
  <c r="M22" i="20"/>
  <c r="M23" i="20"/>
  <c r="M24" i="20"/>
  <c r="M25" i="20"/>
  <c r="M26" i="20"/>
  <c r="M27" i="20"/>
  <c r="M28" i="20"/>
  <c r="M29" i="20"/>
  <c r="M30" i="20"/>
  <c r="M31" i="20"/>
  <c r="M32" i="20"/>
  <c r="M33" i="20"/>
  <c r="M34" i="20"/>
  <c r="M35" i="20"/>
  <c r="M36" i="20"/>
  <c r="M38" i="20"/>
  <c r="M37" i="20" s="1"/>
  <c r="M40" i="20"/>
  <c r="M42" i="20"/>
  <c r="M43" i="20"/>
  <c r="M44" i="20"/>
  <c r="M45" i="20"/>
  <c r="M46" i="20"/>
  <c r="M48" i="20"/>
  <c r="M49" i="20"/>
  <c r="M50" i="20"/>
  <c r="M51" i="20"/>
  <c r="M52" i="20"/>
  <c r="M53" i="20"/>
  <c r="M54" i="20"/>
  <c r="M55" i="20"/>
  <c r="M56" i="20"/>
  <c r="M57" i="20"/>
  <c r="M58" i="20"/>
  <c r="M59" i="20"/>
  <c r="M60" i="20"/>
  <c r="M61" i="20"/>
  <c r="M62" i="20"/>
  <c r="M63" i="20"/>
  <c r="M64" i="20"/>
  <c r="M65" i="20"/>
  <c r="M66" i="20"/>
  <c r="M67" i="20"/>
  <c r="M68" i="20"/>
  <c r="M69" i="20"/>
  <c r="M70" i="20"/>
  <c r="M71" i="20"/>
  <c r="M72" i="20"/>
  <c r="M73" i="20"/>
  <c r="M74" i="20"/>
  <c r="M75" i="20"/>
  <c r="M76" i="20"/>
  <c r="M77" i="20"/>
  <c r="M78" i="20"/>
  <c r="M79" i="20"/>
  <c r="M80" i="20"/>
  <c r="M81" i="20"/>
  <c r="M82" i="20"/>
  <c r="M83" i="20"/>
  <c r="M85" i="20"/>
  <c r="M86" i="20"/>
  <c r="M87" i="20"/>
  <c r="M88" i="20"/>
  <c r="M90" i="20"/>
  <c r="M91" i="20"/>
  <c r="M92" i="20"/>
  <c r="M94" i="20"/>
  <c r="M93" i="20" s="1"/>
  <c r="M15" i="20"/>
  <c r="L16" i="20"/>
  <c r="N16" i="20"/>
  <c r="P16" i="20" s="1"/>
  <c r="O16" i="20"/>
  <c r="L17" i="20"/>
  <c r="N17" i="20"/>
  <c r="P17" i="20" s="1"/>
  <c r="O17" i="20"/>
  <c r="L18" i="20"/>
  <c r="N18" i="20"/>
  <c r="O18" i="20"/>
  <c r="P18" i="20" s="1"/>
  <c r="L19" i="20"/>
  <c r="N19" i="20"/>
  <c r="P19" i="20" s="1"/>
  <c r="O19" i="20"/>
  <c r="L20" i="20"/>
  <c r="N20" i="20"/>
  <c r="P20" i="20" s="1"/>
  <c r="O20" i="20"/>
  <c r="L21" i="20"/>
  <c r="N21" i="20"/>
  <c r="O21" i="20"/>
  <c r="P21" i="20"/>
  <c r="L22" i="20"/>
  <c r="N22" i="20"/>
  <c r="P22" i="20" s="1"/>
  <c r="O22" i="20"/>
  <c r="L23" i="20"/>
  <c r="N23" i="20"/>
  <c r="P23" i="20" s="1"/>
  <c r="O23" i="20"/>
  <c r="L24" i="20"/>
  <c r="N24" i="20"/>
  <c r="O24" i="20"/>
  <c r="P24" i="20"/>
  <c r="L25" i="20"/>
  <c r="N25" i="20"/>
  <c r="P25" i="20" s="1"/>
  <c r="O25" i="20"/>
  <c r="L26" i="20"/>
  <c r="N26" i="20"/>
  <c r="O26" i="20"/>
  <c r="L27" i="20"/>
  <c r="N27" i="20"/>
  <c r="P27" i="20" s="1"/>
  <c r="O27" i="20"/>
  <c r="L28" i="20"/>
  <c r="N28" i="20"/>
  <c r="P28" i="20" s="1"/>
  <c r="O28" i="20"/>
  <c r="L29" i="20"/>
  <c r="N29" i="20"/>
  <c r="O29" i="20"/>
  <c r="P29" i="20"/>
  <c r="L30" i="20"/>
  <c r="N30" i="20"/>
  <c r="O30" i="20"/>
  <c r="P30" i="20" s="1"/>
  <c r="L31" i="20"/>
  <c r="N31" i="20"/>
  <c r="P31" i="20" s="1"/>
  <c r="O31" i="20"/>
  <c r="L32" i="20"/>
  <c r="N32" i="20"/>
  <c r="P32" i="20" s="1"/>
  <c r="O32" i="20"/>
  <c r="L33" i="20"/>
  <c r="N33" i="20"/>
  <c r="P33" i="20" s="1"/>
  <c r="O33" i="20"/>
  <c r="L34" i="20"/>
  <c r="N34" i="20"/>
  <c r="P34" i="20" s="1"/>
  <c r="O34" i="20"/>
  <c r="L35" i="20"/>
  <c r="N35" i="20"/>
  <c r="P35" i="20" s="1"/>
  <c r="O35" i="20"/>
  <c r="L36" i="20"/>
  <c r="N36" i="20"/>
  <c r="P36" i="20" s="1"/>
  <c r="O36" i="20"/>
  <c r="L38" i="20"/>
  <c r="N38" i="20"/>
  <c r="O38" i="20"/>
  <c r="P38" i="20" s="1"/>
  <c r="P37" i="20" s="1"/>
  <c r="L40" i="20"/>
  <c r="N40" i="20"/>
  <c r="O40" i="20"/>
  <c r="P40" i="20"/>
  <c r="P39" i="20" s="1"/>
  <c r="L42" i="20"/>
  <c r="N42" i="20"/>
  <c r="P42" i="20" s="1"/>
  <c r="O42" i="20"/>
  <c r="L43" i="20"/>
  <c r="N43" i="20"/>
  <c r="P43" i="20" s="1"/>
  <c r="O43" i="20"/>
  <c r="L44" i="20"/>
  <c r="N44" i="20"/>
  <c r="P44" i="20" s="1"/>
  <c r="O44" i="20"/>
  <c r="L45" i="20"/>
  <c r="N45" i="20"/>
  <c r="O45" i="20"/>
  <c r="P45" i="20"/>
  <c r="L46" i="20"/>
  <c r="N46" i="20"/>
  <c r="O46" i="20"/>
  <c r="P46" i="20"/>
  <c r="L48" i="20"/>
  <c r="N48" i="20"/>
  <c r="O48" i="20"/>
  <c r="P48" i="20"/>
  <c r="L49" i="20"/>
  <c r="N49" i="20"/>
  <c r="P49" i="20" s="1"/>
  <c r="O49" i="20"/>
  <c r="L50" i="20"/>
  <c r="N50" i="20"/>
  <c r="P50" i="20" s="1"/>
  <c r="O50" i="20"/>
  <c r="L51" i="20"/>
  <c r="N51" i="20"/>
  <c r="P51" i="20" s="1"/>
  <c r="O51" i="20"/>
  <c r="L52" i="20"/>
  <c r="N52" i="20"/>
  <c r="P52" i="20" s="1"/>
  <c r="O52" i="20"/>
  <c r="L53" i="20"/>
  <c r="N53" i="20"/>
  <c r="O53" i="20"/>
  <c r="P53" i="20"/>
  <c r="L54" i="20"/>
  <c r="N54" i="20"/>
  <c r="O54" i="20"/>
  <c r="P54" i="20"/>
  <c r="L55" i="20"/>
  <c r="N55" i="20"/>
  <c r="P55" i="20" s="1"/>
  <c r="O55" i="20"/>
  <c r="L56" i="20"/>
  <c r="N56" i="20"/>
  <c r="O56" i="20"/>
  <c r="P56" i="20"/>
  <c r="L57" i="20"/>
  <c r="N57" i="20"/>
  <c r="P57" i="20" s="1"/>
  <c r="O57" i="20"/>
  <c r="L58" i="20"/>
  <c r="N58" i="20"/>
  <c r="P58" i="20" s="1"/>
  <c r="O58" i="20"/>
  <c r="L59" i="20"/>
  <c r="N59" i="20"/>
  <c r="P59" i="20" s="1"/>
  <c r="O59" i="20"/>
  <c r="L60" i="20"/>
  <c r="N60" i="20"/>
  <c r="P60" i="20" s="1"/>
  <c r="O60" i="20"/>
  <c r="L61" i="20"/>
  <c r="N61" i="20"/>
  <c r="O61" i="20"/>
  <c r="P61" i="20"/>
  <c r="L62" i="20"/>
  <c r="N62" i="20"/>
  <c r="O62" i="20"/>
  <c r="P62" i="20"/>
  <c r="L63" i="20"/>
  <c r="N63" i="20"/>
  <c r="P63" i="20" s="1"/>
  <c r="O63" i="20"/>
  <c r="L64" i="20"/>
  <c r="N64" i="20"/>
  <c r="O64" i="20"/>
  <c r="P64" i="20"/>
  <c r="L65" i="20"/>
  <c r="N65" i="20"/>
  <c r="P65" i="20" s="1"/>
  <c r="O65" i="20"/>
  <c r="L66" i="20"/>
  <c r="N66" i="20"/>
  <c r="P66" i="20" s="1"/>
  <c r="O66" i="20"/>
  <c r="L67" i="20"/>
  <c r="N67" i="20"/>
  <c r="P67" i="20" s="1"/>
  <c r="O67" i="20"/>
  <c r="L68" i="20"/>
  <c r="N68" i="20"/>
  <c r="P68" i="20" s="1"/>
  <c r="O68" i="20"/>
  <c r="L69" i="20"/>
  <c r="N69" i="20"/>
  <c r="O69" i="20"/>
  <c r="P69" i="20"/>
  <c r="L70" i="20"/>
  <c r="N70" i="20"/>
  <c r="P70" i="20" s="1"/>
  <c r="O70" i="20"/>
  <c r="L71" i="20"/>
  <c r="N71" i="20"/>
  <c r="P71" i="20" s="1"/>
  <c r="O71" i="20"/>
  <c r="L72" i="20"/>
  <c r="N72" i="20"/>
  <c r="O72" i="20"/>
  <c r="P72" i="20"/>
  <c r="L73" i="20"/>
  <c r="N73" i="20"/>
  <c r="P73" i="20" s="1"/>
  <c r="O73" i="20"/>
  <c r="L74" i="20"/>
  <c r="N74" i="20"/>
  <c r="P74" i="20" s="1"/>
  <c r="O74" i="20"/>
  <c r="L75" i="20"/>
  <c r="N75" i="20"/>
  <c r="P75" i="20" s="1"/>
  <c r="O75" i="20"/>
  <c r="L76" i="20"/>
  <c r="N76" i="20"/>
  <c r="P76" i="20" s="1"/>
  <c r="O76" i="20"/>
  <c r="L77" i="20"/>
  <c r="N77" i="20"/>
  <c r="O77" i="20"/>
  <c r="P77" i="20"/>
  <c r="L78" i="20"/>
  <c r="N78" i="20"/>
  <c r="O78" i="20"/>
  <c r="P78" i="20"/>
  <c r="L79" i="20"/>
  <c r="N79" i="20"/>
  <c r="P79" i="20" s="1"/>
  <c r="O79" i="20"/>
  <c r="L80" i="20"/>
  <c r="N80" i="20"/>
  <c r="O80" i="20"/>
  <c r="P80" i="20"/>
  <c r="L81" i="20"/>
  <c r="N81" i="20"/>
  <c r="P81" i="20" s="1"/>
  <c r="O81" i="20"/>
  <c r="L82" i="20"/>
  <c r="N82" i="20"/>
  <c r="P82" i="20" s="1"/>
  <c r="O82" i="20"/>
  <c r="L83" i="20"/>
  <c r="N83" i="20"/>
  <c r="P83" i="20" s="1"/>
  <c r="O83" i="20"/>
  <c r="L85" i="20"/>
  <c r="N85" i="20"/>
  <c r="O85" i="20"/>
  <c r="P85" i="20"/>
  <c r="L86" i="20"/>
  <c r="N86" i="20"/>
  <c r="O86" i="20"/>
  <c r="P86" i="20"/>
  <c r="L87" i="20"/>
  <c r="N87" i="20"/>
  <c r="P87" i="20" s="1"/>
  <c r="O87" i="20"/>
  <c r="L88" i="20"/>
  <c r="N88" i="20"/>
  <c r="O88" i="20"/>
  <c r="P88" i="20"/>
  <c r="L90" i="20"/>
  <c r="N90" i="20"/>
  <c r="P90" i="20" s="1"/>
  <c r="O90" i="20"/>
  <c r="L91" i="20"/>
  <c r="N91" i="20"/>
  <c r="P91" i="20" s="1"/>
  <c r="O91" i="20"/>
  <c r="L92" i="20"/>
  <c r="N92" i="20"/>
  <c r="P92" i="20" s="1"/>
  <c r="O92" i="20"/>
  <c r="L94" i="20"/>
  <c r="N94" i="20"/>
  <c r="O94" i="20"/>
  <c r="P94" i="20"/>
  <c r="P93" i="20" s="1"/>
  <c r="P15" i="20"/>
  <c r="N15" i="20"/>
  <c r="O15" i="20"/>
  <c r="L15" i="20"/>
  <c r="M77" i="19"/>
  <c r="M73" i="19"/>
  <c r="P69" i="19"/>
  <c r="M69" i="19"/>
  <c r="P49" i="19"/>
  <c r="M49" i="19"/>
  <c r="P45" i="19"/>
  <c r="M45" i="19"/>
  <c r="M16" i="19"/>
  <c r="M17" i="19"/>
  <c r="M18" i="19"/>
  <c r="M19" i="19"/>
  <c r="M20" i="19"/>
  <c r="M21" i="19"/>
  <c r="M22" i="19"/>
  <c r="M23" i="19"/>
  <c r="M14" i="19" s="1"/>
  <c r="M24" i="19"/>
  <c r="M25" i="19"/>
  <c r="M26" i="19"/>
  <c r="M27" i="19"/>
  <c r="M28" i="19"/>
  <c r="M29" i="19"/>
  <c r="M30" i="19"/>
  <c r="M31" i="19"/>
  <c r="M32" i="19"/>
  <c r="M33" i="19"/>
  <c r="M34" i="19"/>
  <c r="M35" i="19"/>
  <c r="M36" i="19"/>
  <c r="M37" i="19"/>
  <c r="M38" i="19"/>
  <c r="M39" i="19"/>
  <c r="M40" i="19"/>
  <c r="M41" i="19"/>
  <c r="M42" i="19"/>
  <c r="M44" i="19"/>
  <c r="M43" i="19" s="1"/>
  <c r="M46" i="19"/>
  <c r="M47" i="19"/>
  <c r="M48" i="19"/>
  <c r="M50" i="19"/>
  <c r="M51" i="19"/>
  <c r="M52" i="19"/>
  <c r="M53" i="19"/>
  <c r="M54" i="19"/>
  <c r="M56" i="19"/>
  <c r="M57" i="19"/>
  <c r="M58" i="19"/>
  <c r="M59" i="19"/>
  <c r="M60" i="19"/>
  <c r="M61" i="19"/>
  <c r="M62" i="19"/>
  <c r="M63" i="19"/>
  <c r="M64" i="19"/>
  <c r="M65" i="19"/>
  <c r="M66" i="19"/>
  <c r="M67" i="19"/>
  <c r="M68" i="19"/>
  <c r="M70" i="19"/>
  <c r="M71" i="19"/>
  <c r="M72" i="19"/>
  <c r="M74" i="19"/>
  <c r="M75" i="19"/>
  <c r="M76" i="19"/>
  <c r="M78" i="19"/>
  <c r="M15" i="19"/>
  <c r="L16" i="19"/>
  <c r="N16" i="19"/>
  <c r="P16" i="19" s="1"/>
  <c r="O16" i="19"/>
  <c r="L17" i="19"/>
  <c r="N17" i="19"/>
  <c r="P17" i="19" s="1"/>
  <c r="O17" i="19"/>
  <c r="L18" i="19"/>
  <c r="N18" i="19"/>
  <c r="O18" i="19"/>
  <c r="L19" i="19"/>
  <c r="N19" i="19"/>
  <c r="P19" i="19" s="1"/>
  <c r="O19" i="19"/>
  <c r="L20" i="19"/>
  <c r="N20" i="19"/>
  <c r="P20" i="19" s="1"/>
  <c r="O20" i="19"/>
  <c r="L21" i="19"/>
  <c r="N21" i="19"/>
  <c r="P21" i="19" s="1"/>
  <c r="O21" i="19"/>
  <c r="L22" i="19"/>
  <c r="N22" i="19"/>
  <c r="P22" i="19" s="1"/>
  <c r="O22" i="19"/>
  <c r="L23" i="19"/>
  <c r="N23" i="19"/>
  <c r="P23" i="19" s="1"/>
  <c r="O23" i="19"/>
  <c r="L24" i="19"/>
  <c r="N24" i="19"/>
  <c r="P24" i="19" s="1"/>
  <c r="O24" i="19"/>
  <c r="L25" i="19"/>
  <c r="N25" i="19"/>
  <c r="P25" i="19" s="1"/>
  <c r="O25" i="19"/>
  <c r="L26" i="19"/>
  <c r="N26" i="19"/>
  <c r="P26" i="19" s="1"/>
  <c r="O26" i="19"/>
  <c r="L27" i="19"/>
  <c r="N27" i="19"/>
  <c r="P27" i="19" s="1"/>
  <c r="O27" i="19"/>
  <c r="L28" i="19"/>
  <c r="N28" i="19"/>
  <c r="P28" i="19" s="1"/>
  <c r="O28" i="19"/>
  <c r="L29" i="19"/>
  <c r="N29" i="19"/>
  <c r="P29" i="19" s="1"/>
  <c r="O29" i="19"/>
  <c r="L30" i="19"/>
  <c r="N30" i="19"/>
  <c r="P30" i="19" s="1"/>
  <c r="O30" i="19"/>
  <c r="L31" i="19"/>
  <c r="N31" i="19"/>
  <c r="O31" i="19"/>
  <c r="P31" i="19"/>
  <c r="L32" i="19"/>
  <c r="N32" i="19"/>
  <c r="P32" i="19" s="1"/>
  <c r="O32" i="19"/>
  <c r="L33" i="19"/>
  <c r="N33" i="19"/>
  <c r="P33" i="19" s="1"/>
  <c r="O33" i="19"/>
  <c r="L34" i="19"/>
  <c r="N34" i="19"/>
  <c r="P34" i="19" s="1"/>
  <c r="O34" i="19"/>
  <c r="L35" i="19"/>
  <c r="N35" i="19"/>
  <c r="P35" i="19" s="1"/>
  <c r="O35" i="19"/>
  <c r="L36" i="19"/>
  <c r="N36" i="19"/>
  <c r="P36" i="19" s="1"/>
  <c r="O36" i="19"/>
  <c r="L37" i="19"/>
  <c r="N37" i="19"/>
  <c r="P37" i="19" s="1"/>
  <c r="O37" i="19"/>
  <c r="L38" i="19"/>
  <c r="N38" i="19"/>
  <c r="P38" i="19" s="1"/>
  <c r="O38" i="19"/>
  <c r="L39" i="19"/>
  <c r="N39" i="19"/>
  <c r="P39" i="19" s="1"/>
  <c r="O39" i="19"/>
  <c r="L40" i="19"/>
  <c r="N40" i="19"/>
  <c r="P40" i="19" s="1"/>
  <c r="O40" i="19"/>
  <c r="L41" i="19"/>
  <c r="N41" i="19"/>
  <c r="P41" i="19" s="1"/>
  <c r="O41" i="19"/>
  <c r="L42" i="19"/>
  <c r="N42" i="19"/>
  <c r="P42" i="19" s="1"/>
  <c r="O42" i="19"/>
  <c r="L44" i="19"/>
  <c r="N44" i="19"/>
  <c r="P44" i="19" s="1"/>
  <c r="P43" i="19" s="1"/>
  <c r="O44" i="19"/>
  <c r="L46" i="19"/>
  <c r="N46" i="19"/>
  <c r="O46" i="19"/>
  <c r="P46" i="19" s="1"/>
  <c r="L47" i="19"/>
  <c r="N47" i="19"/>
  <c r="O47" i="19"/>
  <c r="P47" i="19"/>
  <c r="L48" i="19"/>
  <c r="N48" i="19"/>
  <c r="P48" i="19" s="1"/>
  <c r="O48" i="19"/>
  <c r="L50" i="19"/>
  <c r="N50" i="19"/>
  <c r="P50" i="19" s="1"/>
  <c r="O50" i="19"/>
  <c r="L51" i="19"/>
  <c r="N51" i="19"/>
  <c r="P51" i="19" s="1"/>
  <c r="O51" i="19"/>
  <c r="L52" i="19"/>
  <c r="N52" i="19"/>
  <c r="P52" i="19" s="1"/>
  <c r="O52" i="19"/>
  <c r="L53" i="19"/>
  <c r="N53" i="19"/>
  <c r="P53" i="19" s="1"/>
  <c r="O53" i="19"/>
  <c r="L54" i="19"/>
  <c r="N54" i="19"/>
  <c r="P54" i="19" s="1"/>
  <c r="O54" i="19"/>
  <c r="L56" i="19"/>
  <c r="N56" i="19"/>
  <c r="P56" i="19" s="1"/>
  <c r="O56" i="19"/>
  <c r="L57" i="19"/>
  <c r="N57" i="19"/>
  <c r="P57" i="19" s="1"/>
  <c r="O57" i="19"/>
  <c r="L58" i="19"/>
  <c r="N58" i="19"/>
  <c r="P58" i="19" s="1"/>
  <c r="O58" i="19"/>
  <c r="L59" i="19"/>
  <c r="N59" i="19"/>
  <c r="P59" i="19" s="1"/>
  <c r="O59" i="19"/>
  <c r="L60" i="19"/>
  <c r="N60" i="19"/>
  <c r="P60" i="19" s="1"/>
  <c r="O60" i="19"/>
  <c r="L61" i="19"/>
  <c r="N61" i="19"/>
  <c r="P61" i="19" s="1"/>
  <c r="O61" i="19"/>
  <c r="L62" i="19"/>
  <c r="N62" i="19"/>
  <c r="P62" i="19" s="1"/>
  <c r="O62" i="19"/>
  <c r="L63" i="19"/>
  <c r="N63" i="19"/>
  <c r="P63" i="19" s="1"/>
  <c r="O63" i="19"/>
  <c r="L64" i="19"/>
  <c r="N64" i="19"/>
  <c r="P64" i="19" s="1"/>
  <c r="O64" i="19"/>
  <c r="L65" i="19"/>
  <c r="N65" i="19"/>
  <c r="P65" i="19" s="1"/>
  <c r="O65" i="19"/>
  <c r="L66" i="19"/>
  <c r="N66" i="19"/>
  <c r="P66" i="19" s="1"/>
  <c r="O66" i="19"/>
  <c r="L67" i="19"/>
  <c r="N67" i="19"/>
  <c r="P67" i="19" s="1"/>
  <c r="O67" i="19"/>
  <c r="L68" i="19"/>
  <c r="N68" i="19"/>
  <c r="P68" i="19" s="1"/>
  <c r="O68" i="19"/>
  <c r="L70" i="19"/>
  <c r="N70" i="19"/>
  <c r="P70" i="19" s="1"/>
  <c r="O70" i="19"/>
  <c r="L71" i="19"/>
  <c r="N71" i="19"/>
  <c r="P71" i="19" s="1"/>
  <c r="O71" i="19"/>
  <c r="L72" i="19"/>
  <c r="N72" i="19"/>
  <c r="P72" i="19" s="1"/>
  <c r="O72" i="19"/>
  <c r="L74" i="19"/>
  <c r="N74" i="19"/>
  <c r="P74" i="19" s="1"/>
  <c r="P73" i="19" s="1"/>
  <c r="O74" i="19"/>
  <c r="L75" i="19"/>
  <c r="N75" i="19"/>
  <c r="P75" i="19" s="1"/>
  <c r="O75" i="19"/>
  <c r="L76" i="19"/>
  <c r="N76" i="19"/>
  <c r="P76" i="19" s="1"/>
  <c r="O76" i="19"/>
  <c r="L78" i="19"/>
  <c r="N78" i="19"/>
  <c r="P78" i="19" s="1"/>
  <c r="P77" i="19" s="1"/>
  <c r="O78" i="19"/>
  <c r="P15" i="19"/>
  <c r="O15" i="19"/>
  <c r="N15" i="19"/>
  <c r="L15" i="19"/>
  <c r="M60" i="18"/>
  <c r="P40" i="18"/>
  <c r="M40" i="18"/>
  <c r="P37" i="18"/>
  <c r="M37" i="18"/>
  <c r="P60" i="18"/>
  <c r="P65" i="18"/>
  <c r="M65" i="18"/>
  <c r="L16" i="18"/>
  <c r="M16" i="18" s="1"/>
  <c r="N16" i="18"/>
  <c r="P16" i="18" s="1"/>
  <c r="O16" i="18"/>
  <c r="L17" i="18"/>
  <c r="M17" i="18" s="1"/>
  <c r="N17" i="18"/>
  <c r="O17" i="18"/>
  <c r="P17" i="18" s="1"/>
  <c r="L18" i="18"/>
  <c r="M18" i="18" s="1"/>
  <c r="N18" i="18"/>
  <c r="O18" i="18"/>
  <c r="P18" i="18"/>
  <c r="L19" i="18"/>
  <c r="M19" i="18"/>
  <c r="N19" i="18"/>
  <c r="P19" i="18" s="1"/>
  <c r="O19" i="18"/>
  <c r="L20" i="18"/>
  <c r="M20" i="18" s="1"/>
  <c r="N20" i="18"/>
  <c r="P20" i="18" s="1"/>
  <c r="O20" i="18"/>
  <c r="L21" i="18"/>
  <c r="M21" i="18"/>
  <c r="M14" i="18" s="1"/>
  <c r="N21" i="18"/>
  <c r="P21" i="18" s="1"/>
  <c r="O21" i="18"/>
  <c r="L22" i="18"/>
  <c r="M22" i="18" s="1"/>
  <c r="N22" i="18"/>
  <c r="P22" i="18" s="1"/>
  <c r="O22" i="18"/>
  <c r="L23" i="18"/>
  <c r="M23" i="18"/>
  <c r="N23" i="18"/>
  <c r="P23" i="18" s="1"/>
  <c r="O23" i="18"/>
  <c r="L24" i="18"/>
  <c r="M24" i="18" s="1"/>
  <c r="N24" i="18"/>
  <c r="P24" i="18" s="1"/>
  <c r="O24" i="18"/>
  <c r="L25" i="18"/>
  <c r="M25" i="18"/>
  <c r="N25" i="18"/>
  <c r="O25" i="18"/>
  <c r="P25" i="18" s="1"/>
  <c r="L26" i="18"/>
  <c r="M26" i="18" s="1"/>
  <c r="N26" i="18"/>
  <c r="P26" i="18" s="1"/>
  <c r="O26" i="18"/>
  <c r="L27" i="18"/>
  <c r="M27" i="18"/>
  <c r="N27" i="18"/>
  <c r="P27" i="18" s="1"/>
  <c r="O27" i="18"/>
  <c r="L28" i="18"/>
  <c r="M28" i="18" s="1"/>
  <c r="N28" i="18"/>
  <c r="P28" i="18" s="1"/>
  <c r="O28" i="18"/>
  <c r="L29" i="18"/>
  <c r="M29" i="18"/>
  <c r="N29" i="18"/>
  <c r="P29" i="18" s="1"/>
  <c r="O29" i="18"/>
  <c r="L30" i="18"/>
  <c r="M30" i="18" s="1"/>
  <c r="N30" i="18"/>
  <c r="P30" i="18" s="1"/>
  <c r="O30" i="18"/>
  <c r="L31" i="18"/>
  <c r="M31" i="18"/>
  <c r="N31" i="18"/>
  <c r="P31" i="18" s="1"/>
  <c r="O31" i="18"/>
  <c r="L32" i="18"/>
  <c r="M32" i="18" s="1"/>
  <c r="N32" i="18"/>
  <c r="P32" i="18" s="1"/>
  <c r="O32" i="18"/>
  <c r="L33" i="18"/>
  <c r="M33" i="18"/>
  <c r="N33" i="18"/>
  <c r="O33" i="18"/>
  <c r="L34" i="18"/>
  <c r="M34" i="18" s="1"/>
  <c r="N34" i="18"/>
  <c r="O34" i="18"/>
  <c r="P34" i="18"/>
  <c r="L36" i="18"/>
  <c r="M36" i="18" s="1"/>
  <c r="M35" i="18" s="1"/>
  <c r="N36" i="18"/>
  <c r="P36" i="18" s="1"/>
  <c r="P35" i="18" s="1"/>
  <c r="O36" i="18"/>
  <c r="L38" i="18"/>
  <c r="M38" i="18" s="1"/>
  <c r="N38" i="18"/>
  <c r="O38" i="18"/>
  <c r="P38" i="18"/>
  <c r="L39" i="18"/>
  <c r="M39" i="18"/>
  <c r="N39" i="18"/>
  <c r="O39" i="18"/>
  <c r="P39" i="18" s="1"/>
  <c r="L41" i="18"/>
  <c r="M41" i="18"/>
  <c r="N41" i="18"/>
  <c r="O41" i="18"/>
  <c r="P41" i="18" s="1"/>
  <c r="L42" i="18"/>
  <c r="M42" i="18" s="1"/>
  <c r="N42" i="18"/>
  <c r="O42" i="18"/>
  <c r="P42" i="18"/>
  <c r="L43" i="18"/>
  <c r="M43" i="18"/>
  <c r="N43" i="18"/>
  <c r="P43" i="18" s="1"/>
  <c r="O43" i="18"/>
  <c r="L44" i="18"/>
  <c r="M44" i="18" s="1"/>
  <c r="N44" i="18"/>
  <c r="P44" i="18" s="1"/>
  <c r="O44" i="18"/>
  <c r="L45" i="18"/>
  <c r="M45" i="18"/>
  <c r="N45" i="18"/>
  <c r="P45" i="18" s="1"/>
  <c r="O45" i="18"/>
  <c r="L47" i="18"/>
  <c r="M47" i="18"/>
  <c r="N47" i="18"/>
  <c r="P47" i="18" s="1"/>
  <c r="O47" i="18"/>
  <c r="L48" i="18"/>
  <c r="M48" i="18" s="1"/>
  <c r="N48" i="18"/>
  <c r="P48" i="18" s="1"/>
  <c r="O48" i="18"/>
  <c r="L49" i="18"/>
  <c r="M49" i="18"/>
  <c r="N49" i="18"/>
  <c r="O49" i="18"/>
  <c r="P49" i="18" s="1"/>
  <c r="L50" i="18"/>
  <c r="M50" i="18" s="1"/>
  <c r="N50" i="18"/>
  <c r="O50" i="18"/>
  <c r="P50" i="18"/>
  <c r="L51" i="18"/>
  <c r="M51" i="18"/>
  <c r="N51" i="18"/>
  <c r="P51" i="18" s="1"/>
  <c r="O51" i="18"/>
  <c r="L52" i="18"/>
  <c r="M52" i="18" s="1"/>
  <c r="N52" i="18"/>
  <c r="P52" i="18" s="1"/>
  <c r="O52" i="18"/>
  <c r="L53" i="18"/>
  <c r="M53" i="18"/>
  <c r="N53" i="18"/>
  <c r="O53" i="18"/>
  <c r="P53" i="18" s="1"/>
  <c r="L54" i="18"/>
  <c r="M54" i="18" s="1"/>
  <c r="N54" i="18"/>
  <c r="O54" i="18"/>
  <c r="P54" i="18"/>
  <c r="L55" i="18"/>
  <c r="M55" i="18"/>
  <c r="N55" i="18"/>
  <c r="P55" i="18" s="1"/>
  <c r="O55" i="18"/>
  <c r="L56" i="18"/>
  <c r="M56" i="18" s="1"/>
  <c r="N56" i="18"/>
  <c r="P56" i="18" s="1"/>
  <c r="O56" i="18"/>
  <c r="L57" i="18"/>
  <c r="M57" i="18"/>
  <c r="N57" i="18"/>
  <c r="P57" i="18" s="1"/>
  <c r="O57" i="18"/>
  <c r="L58" i="18"/>
  <c r="M58" i="18" s="1"/>
  <c r="N58" i="18"/>
  <c r="P58" i="18" s="1"/>
  <c r="O58" i="18"/>
  <c r="L59" i="18"/>
  <c r="M59" i="18"/>
  <c r="N59" i="18"/>
  <c r="P59" i="18" s="1"/>
  <c r="O59" i="18"/>
  <c r="L61" i="18"/>
  <c r="M61" i="18"/>
  <c r="N61" i="18"/>
  <c r="P61" i="18" s="1"/>
  <c r="O61" i="18"/>
  <c r="L62" i="18"/>
  <c r="M62" i="18" s="1"/>
  <c r="N62" i="18"/>
  <c r="O62" i="18"/>
  <c r="P62" i="18"/>
  <c r="L63" i="18"/>
  <c r="M63" i="18"/>
  <c r="N63" i="18"/>
  <c r="O63" i="18"/>
  <c r="P63" i="18" s="1"/>
  <c r="L64" i="18"/>
  <c r="M64" i="18" s="1"/>
  <c r="N64" i="18"/>
  <c r="P64" i="18" s="1"/>
  <c r="O64" i="18"/>
  <c r="L66" i="18"/>
  <c r="M66" i="18" s="1"/>
  <c r="N66" i="18"/>
  <c r="O66" i="18"/>
  <c r="P66" i="18"/>
  <c r="L67" i="18"/>
  <c r="M67" i="18"/>
  <c r="N67" i="18"/>
  <c r="P67" i="18" s="1"/>
  <c r="O67" i="18"/>
  <c r="L68" i="18"/>
  <c r="M68" i="18" s="1"/>
  <c r="N68" i="18"/>
  <c r="P68" i="18" s="1"/>
  <c r="O68" i="18"/>
  <c r="L70" i="18"/>
  <c r="M70" i="18" s="1"/>
  <c r="M69" i="18" s="1"/>
  <c r="N70" i="18"/>
  <c r="P70" i="18" s="1"/>
  <c r="P69" i="18" s="1"/>
  <c r="O70" i="18"/>
  <c r="P15" i="18"/>
  <c r="M15" i="18"/>
  <c r="N15" i="18"/>
  <c r="O15" i="18"/>
  <c r="L15" i="18"/>
  <c r="M43" i="17"/>
  <c r="M47" i="17"/>
  <c r="O16" i="17"/>
  <c r="O17" i="17"/>
  <c r="O18" i="17"/>
  <c r="O19" i="17"/>
  <c r="O20" i="17"/>
  <c r="O21" i="17"/>
  <c r="O22" i="17"/>
  <c r="O23" i="17"/>
  <c r="O24" i="17"/>
  <c r="O25" i="17"/>
  <c r="O26" i="17"/>
  <c r="O27" i="17"/>
  <c r="O28" i="17"/>
  <c r="O29" i="17"/>
  <c r="O30" i="17"/>
  <c r="O31" i="17"/>
  <c r="O32" i="17"/>
  <c r="O33" i="17"/>
  <c r="O34" i="17"/>
  <c r="O35" i="17"/>
  <c r="O36" i="17"/>
  <c r="O37" i="17"/>
  <c r="O38" i="17"/>
  <c r="O39" i="17"/>
  <c r="O40" i="17"/>
  <c r="O42" i="17"/>
  <c r="O44" i="17"/>
  <c r="O45" i="17"/>
  <c r="O46" i="17"/>
  <c r="O48" i="17"/>
  <c r="O49" i="17"/>
  <c r="O50" i="17"/>
  <c r="O51" i="17"/>
  <c r="O52" i="17"/>
  <c r="O53" i="17"/>
  <c r="O55" i="17"/>
  <c r="O56" i="17"/>
  <c r="O57" i="17"/>
  <c r="O58" i="17"/>
  <c r="O59" i="17"/>
  <c r="O60" i="17"/>
  <c r="O61" i="17"/>
  <c r="O62" i="17"/>
  <c r="O63" i="17"/>
  <c r="P63" i="17" s="1"/>
  <c r="O64" i="17"/>
  <c r="O65" i="17"/>
  <c r="O66" i="17"/>
  <c r="O67" i="17"/>
  <c r="O68" i="17"/>
  <c r="O69" i="17"/>
  <c r="O70" i="17"/>
  <c r="O71" i="17"/>
  <c r="P71" i="17" s="1"/>
  <c r="O73" i="17"/>
  <c r="O74" i="17"/>
  <c r="O75" i="17"/>
  <c r="O76" i="17"/>
  <c r="O77" i="17"/>
  <c r="O79" i="17"/>
  <c r="O80" i="17"/>
  <c r="O81" i="17"/>
  <c r="O82" i="17"/>
  <c r="O83" i="17"/>
  <c r="O85" i="17"/>
  <c r="O15" i="17"/>
  <c r="M72" i="17"/>
  <c r="M84" i="17"/>
  <c r="L16" i="17"/>
  <c r="M16" i="17" s="1"/>
  <c r="P16" i="17"/>
  <c r="L17" i="17"/>
  <c r="M17" i="17"/>
  <c r="L18" i="17"/>
  <c r="M18" i="17" s="1"/>
  <c r="P18" i="17"/>
  <c r="L19" i="17"/>
  <c r="M19" i="17" s="1"/>
  <c r="L20" i="17"/>
  <c r="M20" i="17" s="1"/>
  <c r="M14" i="17" s="1"/>
  <c r="P20" i="17"/>
  <c r="L21" i="17"/>
  <c r="M21" i="17"/>
  <c r="P21" i="17"/>
  <c r="L22" i="17"/>
  <c r="M22" i="17"/>
  <c r="L23" i="17"/>
  <c r="M23" i="17"/>
  <c r="L24" i="17"/>
  <c r="M24" i="17"/>
  <c r="L25" i="17"/>
  <c r="M25" i="17"/>
  <c r="L26" i="17"/>
  <c r="M26" i="17" s="1"/>
  <c r="P26" i="17"/>
  <c r="L27" i="17"/>
  <c r="M27" i="17" s="1"/>
  <c r="L28" i="17"/>
  <c r="M28" i="17"/>
  <c r="P28" i="17"/>
  <c r="L29" i="17"/>
  <c r="M29" i="17"/>
  <c r="P29" i="17"/>
  <c r="L30" i="17"/>
  <c r="M30" i="17"/>
  <c r="L31" i="17"/>
  <c r="M31" i="17" s="1"/>
  <c r="L32" i="17"/>
  <c r="M32" i="17"/>
  <c r="L33" i="17"/>
  <c r="M33" i="17"/>
  <c r="L34" i="17"/>
  <c r="M34" i="17"/>
  <c r="P34" i="17"/>
  <c r="L35" i="17"/>
  <c r="M35" i="17" s="1"/>
  <c r="L36" i="17"/>
  <c r="M36" i="17" s="1"/>
  <c r="P36" i="17"/>
  <c r="L37" i="17"/>
  <c r="M37" i="17" s="1"/>
  <c r="P37" i="17"/>
  <c r="L38" i="17"/>
  <c r="M38" i="17"/>
  <c r="L39" i="17"/>
  <c r="M39" i="17" s="1"/>
  <c r="L40" i="17"/>
  <c r="M40" i="17"/>
  <c r="P40" i="17"/>
  <c r="L42" i="17"/>
  <c r="M42" i="17"/>
  <c r="M41" i="17" s="1"/>
  <c r="P42" i="17"/>
  <c r="P41" i="17" s="1"/>
  <c r="L44" i="17"/>
  <c r="M44" i="17"/>
  <c r="P44" i="17"/>
  <c r="L45" i="17"/>
  <c r="M45" i="17" s="1"/>
  <c r="P45" i="17"/>
  <c r="L46" i="17"/>
  <c r="P46" i="17" s="1"/>
  <c r="P43" i="17" s="1"/>
  <c r="M46" i="17"/>
  <c r="L48" i="17"/>
  <c r="M48" i="17"/>
  <c r="P48" i="17"/>
  <c r="L49" i="17"/>
  <c r="M49" i="17"/>
  <c r="L50" i="17"/>
  <c r="M50" i="17"/>
  <c r="P50" i="17"/>
  <c r="L51" i="17"/>
  <c r="M51" i="17" s="1"/>
  <c r="L52" i="17"/>
  <c r="M52" i="17"/>
  <c r="P52" i="17"/>
  <c r="L53" i="17"/>
  <c r="M53" i="17" s="1"/>
  <c r="P53" i="17"/>
  <c r="L55" i="17"/>
  <c r="M55" i="17" s="1"/>
  <c r="L56" i="17"/>
  <c r="M56" i="17"/>
  <c r="P56" i="17"/>
  <c r="L57" i="17"/>
  <c r="M57" i="17"/>
  <c r="L58" i="17"/>
  <c r="M58" i="17"/>
  <c r="P58" i="17"/>
  <c r="L59" i="17"/>
  <c r="M59" i="17" s="1"/>
  <c r="L60" i="17"/>
  <c r="M60" i="17"/>
  <c r="P60" i="17"/>
  <c r="L61" i="17"/>
  <c r="M61" i="17" s="1"/>
  <c r="L62" i="17"/>
  <c r="P62" i="17" s="1"/>
  <c r="M62" i="17"/>
  <c r="L63" i="17"/>
  <c r="M63" i="17" s="1"/>
  <c r="L64" i="17"/>
  <c r="M64" i="17"/>
  <c r="P64" i="17"/>
  <c r="L65" i="17"/>
  <c r="M65" i="17"/>
  <c r="L66" i="17"/>
  <c r="M66" i="17"/>
  <c r="P66" i="17"/>
  <c r="L67" i="17"/>
  <c r="M67" i="17" s="1"/>
  <c r="L68" i="17"/>
  <c r="M68" i="17"/>
  <c r="P68" i="17"/>
  <c r="L69" i="17"/>
  <c r="M69" i="17" s="1"/>
  <c r="L70" i="17"/>
  <c r="M70" i="17"/>
  <c r="L71" i="17"/>
  <c r="M71" i="17" s="1"/>
  <c r="L73" i="17"/>
  <c r="M73" i="17"/>
  <c r="P73" i="17"/>
  <c r="L74" i="17"/>
  <c r="M74" i="17"/>
  <c r="P74" i="17"/>
  <c r="L75" i="17"/>
  <c r="M75" i="17" s="1"/>
  <c r="L76" i="17"/>
  <c r="M76" i="17" s="1"/>
  <c r="P76" i="17"/>
  <c r="L77" i="17"/>
  <c r="M77" i="17" s="1"/>
  <c r="L79" i="17"/>
  <c r="M79" i="17" s="1"/>
  <c r="L80" i="17"/>
  <c r="M80" i="17"/>
  <c r="P80" i="17"/>
  <c r="L81" i="17"/>
  <c r="M81" i="17"/>
  <c r="L82" i="17"/>
  <c r="M82" i="17"/>
  <c r="P82" i="17"/>
  <c r="L83" i="17"/>
  <c r="M83" i="17" s="1"/>
  <c r="L85" i="17"/>
  <c r="M85" i="17" s="1"/>
  <c r="P15" i="17"/>
  <c r="M15" i="17"/>
  <c r="L15" i="17"/>
  <c r="L17" i="16"/>
  <c r="M17" i="16" s="1"/>
  <c r="N17" i="16"/>
  <c r="O17" i="16"/>
  <c r="P17" i="16" s="1"/>
  <c r="L18" i="16"/>
  <c r="M18" i="16" s="1"/>
  <c r="N18" i="16"/>
  <c r="P18" i="16" s="1"/>
  <c r="O18" i="16"/>
  <c r="L19" i="16"/>
  <c r="M19" i="16"/>
  <c r="N19" i="16"/>
  <c r="P19" i="16" s="1"/>
  <c r="O19" i="16"/>
  <c r="L20" i="16"/>
  <c r="M20" i="16" s="1"/>
  <c r="N20" i="16"/>
  <c r="P20" i="16" s="1"/>
  <c r="O20" i="16"/>
  <c r="L21" i="16"/>
  <c r="M21" i="16" s="1"/>
  <c r="N21" i="16"/>
  <c r="O21" i="16"/>
  <c r="L22" i="16"/>
  <c r="M22" i="16"/>
  <c r="N22" i="16"/>
  <c r="P22" i="16" s="1"/>
  <c r="O22" i="16"/>
  <c r="L23" i="16"/>
  <c r="M23" i="16"/>
  <c r="N23" i="16"/>
  <c r="P23" i="16" s="1"/>
  <c r="O23" i="16"/>
  <c r="L24" i="16"/>
  <c r="M24" i="16" s="1"/>
  <c r="N24" i="16"/>
  <c r="O24" i="16"/>
  <c r="P24" i="16"/>
  <c r="L25" i="16"/>
  <c r="M25" i="16" s="1"/>
  <c r="N25" i="16"/>
  <c r="O25" i="16"/>
  <c r="P25" i="16" s="1"/>
  <c r="L26" i="16"/>
  <c r="M26" i="16" s="1"/>
  <c r="N26" i="16"/>
  <c r="P26" i="16" s="1"/>
  <c r="O26" i="16"/>
  <c r="L27" i="16"/>
  <c r="M27" i="16"/>
  <c r="N27" i="16"/>
  <c r="P27" i="16" s="1"/>
  <c r="O27" i="16"/>
  <c r="L28" i="16"/>
  <c r="M28" i="16" s="1"/>
  <c r="N28" i="16"/>
  <c r="P28" i="16" s="1"/>
  <c r="O28" i="16"/>
  <c r="L29" i="16"/>
  <c r="M29" i="16" s="1"/>
  <c r="N29" i="16"/>
  <c r="O29" i="16"/>
  <c r="L30" i="16"/>
  <c r="M30" i="16"/>
  <c r="N30" i="16"/>
  <c r="P30" i="16" s="1"/>
  <c r="O30" i="16"/>
  <c r="L31" i="16"/>
  <c r="M31" i="16"/>
  <c r="N31" i="16"/>
  <c r="P31" i="16" s="1"/>
  <c r="O31" i="16"/>
  <c r="L32" i="16"/>
  <c r="M32" i="16" s="1"/>
  <c r="N32" i="16"/>
  <c r="P32" i="16" s="1"/>
  <c r="O32" i="16"/>
  <c r="L33" i="16"/>
  <c r="M33" i="16" s="1"/>
  <c r="N33" i="16"/>
  <c r="O33" i="16"/>
  <c r="P33" i="16" s="1"/>
  <c r="L34" i="16"/>
  <c r="M34" i="16" s="1"/>
  <c r="N34" i="16"/>
  <c r="P34" i="16" s="1"/>
  <c r="O34" i="16"/>
  <c r="L35" i="16"/>
  <c r="M35" i="16"/>
  <c r="N35" i="16"/>
  <c r="P35" i="16" s="1"/>
  <c r="O35" i="16"/>
  <c r="L36" i="16"/>
  <c r="M36" i="16" s="1"/>
  <c r="N36" i="16"/>
  <c r="O36" i="16"/>
  <c r="P36" i="16"/>
  <c r="L37" i="16"/>
  <c r="M37" i="16" s="1"/>
  <c r="N37" i="16"/>
  <c r="O37" i="16"/>
  <c r="P37" i="16" s="1"/>
  <c r="L38" i="16"/>
  <c r="M38" i="16" s="1"/>
  <c r="N38" i="16"/>
  <c r="P38" i="16" s="1"/>
  <c r="O38" i="16"/>
  <c r="L39" i="16"/>
  <c r="M39" i="16"/>
  <c r="N39" i="16"/>
  <c r="P39" i="16" s="1"/>
  <c r="O39" i="16"/>
  <c r="L40" i="16"/>
  <c r="M40" i="16" s="1"/>
  <c r="N40" i="16"/>
  <c r="P40" i="16" s="1"/>
  <c r="O40" i="16"/>
  <c r="L41" i="16"/>
  <c r="M41" i="16" s="1"/>
  <c r="N41" i="16"/>
  <c r="O41" i="16"/>
  <c r="P41" i="16" s="1"/>
  <c r="L43" i="16"/>
  <c r="M43" i="16"/>
  <c r="N43" i="16"/>
  <c r="P43" i="16" s="1"/>
  <c r="O43" i="16"/>
  <c r="L44" i="16"/>
  <c r="M44" i="16" s="1"/>
  <c r="N44" i="16"/>
  <c r="O44" i="16"/>
  <c r="P44" i="16"/>
  <c r="L45" i="16"/>
  <c r="M45" i="16" s="1"/>
  <c r="N45" i="16"/>
  <c r="O45" i="16"/>
  <c r="P45" i="16" s="1"/>
  <c r="L46" i="16"/>
  <c r="M46" i="16" s="1"/>
  <c r="N46" i="16"/>
  <c r="P46" i="16" s="1"/>
  <c r="O46" i="16"/>
  <c r="L47" i="16"/>
  <c r="M47" i="16"/>
  <c r="N47" i="16"/>
  <c r="P47" i="16" s="1"/>
  <c r="O47" i="16"/>
  <c r="L49" i="16"/>
  <c r="M49" i="16" s="1"/>
  <c r="N49" i="16"/>
  <c r="O49" i="16"/>
  <c r="P49" i="16" s="1"/>
  <c r="L50" i="16"/>
  <c r="M50" i="16" s="1"/>
  <c r="N50" i="16"/>
  <c r="P50" i="16" s="1"/>
  <c r="O50" i="16"/>
  <c r="L51" i="16"/>
  <c r="M51" i="16"/>
  <c r="N51" i="16"/>
  <c r="P51" i="16" s="1"/>
  <c r="O51" i="16"/>
  <c r="L52" i="16"/>
  <c r="M52" i="16" s="1"/>
  <c r="N52" i="16"/>
  <c r="O52" i="16"/>
  <c r="P52" i="16"/>
  <c r="L53" i="16"/>
  <c r="M53" i="16" s="1"/>
  <c r="N53" i="16"/>
  <c r="O53" i="16"/>
  <c r="P53" i="16" s="1"/>
  <c r="L54" i="16"/>
  <c r="M54" i="16" s="1"/>
  <c r="N54" i="16"/>
  <c r="P54" i="16" s="1"/>
  <c r="O54" i="16"/>
  <c r="L56" i="16"/>
  <c r="M56" i="16" s="1"/>
  <c r="N56" i="16"/>
  <c r="P56" i="16" s="1"/>
  <c r="O56" i="16"/>
  <c r="L57" i="16"/>
  <c r="M57" i="16" s="1"/>
  <c r="N57" i="16"/>
  <c r="O57" i="16"/>
  <c r="L58" i="16"/>
  <c r="M58" i="16" s="1"/>
  <c r="N58" i="16"/>
  <c r="P58" i="16" s="1"/>
  <c r="O58" i="16"/>
  <c r="L59" i="16"/>
  <c r="M59" i="16"/>
  <c r="N59" i="16"/>
  <c r="P59" i="16" s="1"/>
  <c r="O59" i="16"/>
  <c r="L60" i="16"/>
  <c r="M60" i="16" s="1"/>
  <c r="N60" i="16"/>
  <c r="O60" i="16"/>
  <c r="P60" i="16"/>
  <c r="L61" i="16"/>
  <c r="M61" i="16" s="1"/>
  <c r="N61" i="16"/>
  <c r="O61" i="16"/>
  <c r="P61" i="16" s="1"/>
  <c r="L62" i="16"/>
  <c r="M62" i="16" s="1"/>
  <c r="N62" i="16"/>
  <c r="P62" i="16" s="1"/>
  <c r="O62" i="16"/>
  <c r="L63" i="16"/>
  <c r="M63" i="16"/>
  <c r="N63" i="16"/>
  <c r="P63" i="16" s="1"/>
  <c r="O63" i="16"/>
  <c r="L64" i="16"/>
  <c r="M64" i="16" s="1"/>
  <c r="N64" i="16"/>
  <c r="O64" i="16"/>
  <c r="P64" i="16"/>
  <c r="L65" i="16"/>
  <c r="M65" i="16" s="1"/>
  <c r="N65" i="16"/>
  <c r="O65" i="16"/>
  <c r="L66" i="16"/>
  <c r="M66" i="16" s="1"/>
  <c r="N66" i="16"/>
  <c r="P66" i="16" s="1"/>
  <c r="O66" i="16"/>
  <c r="L67" i="16"/>
  <c r="M67" i="16"/>
  <c r="N67" i="16"/>
  <c r="P67" i="16" s="1"/>
  <c r="O67" i="16"/>
  <c r="L68" i="16"/>
  <c r="M68" i="16" s="1"/>
  <c r="N68" i="16"/>
  <c r="O68" i="16"/>
  <c r="P68" i="16"/>
  <c r="L69" i="16"/>
  <c r="M69" i="16" s="1"/>
  <c r="N69" i="16"/>
  <c r="O69" i="16"/>
  <c r="P69" i="16" s="1"/>
  <c r="L70" i="16"/>
  <c r="M70" i="16" s="1"/>
  <c r="N70" i="16"/>
  <c r="P70" i="16" s="1"/>
  <c r="O70" i="16"/>
  <c r="L71" i="16"/>
  <c r="M71" i="16"/>
  <c r="N71" i="16"/>
  <c r="P71" i="16" s="1"/>
  <c r="O71" i="16"/>
  <c r="L72" i="16"/>
  <c r="M72" i="16" s="1"/>
  <c r="N72" i="16"/>
  <c r="O72" i="16"/>
  <c r="P72" i="16"/>
  <c r="L73" i="16"/>
  <c r="M73" i="16" s="1"/>
  <c r="N73" i="16"/>
  <c r="O73" i="16"/>
  <c r="P73" i="16" s="1"/>
  <c r="L74" i="16"/>
  <c r="M74" i="16" s="1"/>
  <c r="N74" i="16"/>
  <c r="P74" i="16" s="1"/>
  <c r="O74" i="16"/>
  <c r="L75" i="16"/>
  <c r="M75" i="16"/>
  <c r="N75" i="16"/>
  <c r="P75" i="16" s="1"/>
  <c r="O75" i="16"/>
  <c r="L76" i="16"/>
  <c r="M76" i="16" s="1"/>
  <c r="N76" i="16"/>
  <c r="O76" i="16"/>
  <c r="P76" i="16"/>
  <c r="L77" i="16"/>
  <c r="M77" i="16" s="1"/>
  <c r="N77" i="16"/>
  <c r="O77" i="16"/>
  <c r="P77" i="16" s="1"/>
  <c r="L78" i="16"/>
  <c r="M78" i="16" s="1"/>
  <c r="N78" i="16"/>
  <c r="P78" i="16" s="1"/>
  <c r="O78" i="16"/>
  <c r="L79" i="16"/>
  <c r="M79" i="16"/>
  <c r="N79" i="16"/>
  <c r="P79" i="16" s="1"/>
  <c r="O79" i="16"/>
  <c r="L80" i="16"/>
  <c r="M80" i="16" s="1"/>
  <c r="N80" i="16"/>
  <c r="P80" i="16" s="1"/>
  <c r="O80" i="16"/>
  <c r="L81" i="16"/>
  <c r="M81" i="16" s="1"/>
  <c r="N81" i="16"/>
  <c r="O81" i="16"/>
  <c r="L83" i="16"/>
  <c r="M83" i="16"/>
  <c r="N83" i="16"/>
  <c r="P83" i="16" s="1"/>
  <c r="O83" i="16"/>
  <c r="L84" i="16"/>
  <c r="M84" i="16" s="1"/>
  <c r="N84" i="16"/>
  <c r="O84" i="16"/>
  <c r="P84" i="16"/>
  <c r="L85" i="16"/>
  <c r="M85" i="16" s="1"/>
  <c r="N85" i="16"/>
  <c r="O85" i="16"/>
  <c r="P85" i="16" s="1"/>
  <c r="L86" i="16"/>
  <c r="M86" i="16"/>
  <c r="N86" i="16"/>
  <c r="P86" i="16" s="1"/>
  <c r="O86" i="16"/>
  <c r="L87" i="16"/>
  <c r="M87" i="16"/>
  <c r="N87" i="16"/>
  <c r="P87" i="16" s="1"/>
  <c r="O87" i="16"/>
  <c r="L88" i="16"/>
  <c r="M88" i="16" s="1"/>
  <c r="N88" i="16"/>
  <c r="O88" i="16"/>
  <c r="P88" i="16"/>
  <c r="L90" i="16"/>
  <c r="M90" i="16"/>
  <c r="N90" i="16"/>
  <c r="P90" i="16" s="1"/>
  <c r="O90" i="16"/>
  <c r="L91" i="16"/>
  <c r="M91" i="16"/>
  <c r="N91" i="16"/>
  <c r="P91" i="16" s="1"/>
  <c r="O91" i="16"/>
  <c r="L92" i="16"/>
  <c r="M92" i="16" s="1"/>
  <c r="N92" i="16"/>
  <c r="P92" i="16" s="1"/>
  <c r="O92" i="16"/>
  <c r="L93" i="16"/>
  <c r="M93" i="16" s="1"/>
  <c r="N93" i="16"/>
  <c r="O93" i="16"/>
  <c r="L94" i="16"/>
  <c r="M94" i="16"/>
  <c r="N94" i="16"/>
  <c r="P94" i="16" s="1"/>
  <c r="O94" i="16"/>
  <c r="L16" i="16"/>
  <c r="M16" i="16" s="1"/>
  <c r="N16" i="16"/>
  <c r="O16" i="16"/>
  <c r="P16" i="16"/>
  <c r="P15" i="16"/>
  <c r="O15" i="16"/>
  <c r="N15" i="16"/>
  <c r="M15" i="16"/>
  <c r="L15" i="16"/>
  <c r="P65" i="15"/>
  <c r="M65" i="15"/>
  <c r="P42" i="15"/>
  <c r="M42" i="15"/>
  <c r="P39" i="15"/>
  <c r="M39" i="15"/>
  <c r="L17" i="15"/>
  <c r="M17" i="15" s="1"/>
  <c r="N17" i="15"/>
  <c r="O17" i="15"/>
  <c r="P17" i="15"/>
  <c r="L18" i="15"/>
  <c r="M18" i="15" s="1"/>
  <c r="N18" i="15"/>
  <c r="O18" i="15"/>
  <c r="P18" i="15"/>
  <c r="L19" i="15"/>
  <c r="M19" i="15"/>
  <c r="N19" i="15"/>
  <c r="P19" i="15" s="1"/>
  <c r="O19" i="15"/>
  <c r="L20" i="15"/>
  <c r="M20" i="15"/>
  <c r="N20" i="15"/>
  <c r="P20" i="15" s="1"/>
  <c r="O20" i="15"/>
  <c r="L21" i="15"/>
  <c r="M21" i="15"/>
  <c r="N21" i="15"/>
  <c r="O21" i="15"/>
  <c r="P21" i="15"/>
  <c r="L22" i="15"/>
  <c r="M22" i="15" s="1"/>
  <c r="M14" i="15" s="1"/>
  <c r="N22" i="15"/>
  <c r="P22" i="15" s="1"/>
  <c r="O22" i="15"/>
  <c r="L23" i="15"/>
  <c r="M23" i="15" s="1"/>
  <c r="N23" i="15"/>
  <c r="P23" i="15" s="1"/>
  <c r="O23" i="15"/>
  <c r="L24" i="15"/>
  <c r="M24" i="15"/>
  <c r="N24" i="15"/>
  <c r="P24" i="15" s="1"/>
  <c r="O24" i="15"/>
  <c r="L25" i="15"/>
  <c r="M25" i="15"/>
  <c r="N25" i="15"/>
  <c r="O25" i="15"/>
  <c r="P25" i="15"/>
  <c r="L26" i="15"/>
  <c r="M26" i="15" s="1"/>
  <c r="N26" i="15"/>
  <c r="P26" i="15" s="1"/>
  <c r="O26" i="15"/>
  <c r="L27" i="15"/>
  <c r="M27" i="15"/>
  <c r="N27" i="15"/>
  <c r="P27" i="15" s="1"/>
  <c r="O27" i="15"/>
  <c r="L28" i="15"/>
  <c r="M28" i="15"/>
  <c r="N28" i="15"/>
  <c r="P28" i="15" s="1"/>
  <c r="O28" i="15"/>
  <c r="L29" i="15"/>
  <c r="M29" i="15"/>
  <c r="N29" i="15"/>
  <c r="P29" i="15" s="1"/>
  <c r="O29" i="15"/>
  <c r="L30" i="15"/>
  <c r="M30" i="15" s="1"/>
  <c r="N30" i="15"/>
  <c r="P30" i="15" s="1"/>
  <c r="O30" i="15"/>
  <c r="L31" i="15"/>
  <c r="M31" i="15" s="1"/>
  <c r="N31" i="15"/>
  <c r="P31" i="15" s="1"/>
  <c r="O31" i="15"/>
  <c r="L32" i="15"/>
  <c r="M32" i="15"/>
  <c r="N32" i="15"/>
  <c r="P32" i="15" s="1"/>
  <c r="O32" i="15"/>
  <c r="L33" i="15"/>
  <c r="M33" i="15"/>
  <c r="N33" i="15"/>
  <c r="P33" i="15" s="1"/>
  <c r="O33" i="15"/>
  <c r="L34" i="15"/>
  <c r="M34" i="15" s="1"/>
  <c r="N34" i="15"/>
  <c r="P34" i="15" s="1"/>
  <c r="O34" i="15"/>
  <c r="L35" i="15"/>
  <c r="M35" i="15"/>
  <c r="N35" i="15"/>
  <c r="P35" i="15" s="1"/>
  <c r="O35" i="15"/>
  <c r="L36" i="15"/>
  <c r="M36" i="15"/>
  <c r="N36" i="15"/>
  <c r="P36" i="15" s="1"/>
  <c r="O36" i="15"/>
  <c r="L38" i="15"/>
  <c r="M38" i="15" s="1"/>
  <c r="M37" i="15" s="1"/>
  <c r="N38" i="15"/>
  <c r="P38" i="15" s="1"/>
  <c r="P37" i="15" s="1"/>
  <c r="O38" i="15"/>
  <c r="L40" i="15"/>
  <c r="M40" i="15"/>
  <c r="N40" i="15"/>
  <c r="P40" i="15" s="1"/>
  <c r="O40" i="15"/>
  <c r="L41" i="15"/>
  <c r="M41" i="15"/>
  <c r="N41" i="15"/>
  <c r="O41" i="15"/>
  <c r="P41" i="15"/>
  <c r="L43" i="15"/>
  <c r="M43" i="15"/>
  <c r="N43" i="15"/>
  <c r="P43" i="15" s="1"/>
  <c r="O43" i="15"/>
  <c r="L44" i="15"/>
  <c r="M44" i="15"/>
  <c r="N44" i="15"/>
  <c r="P44" i="15" s="1"/>
  <c r="O44" i="15"/>
  <c r="L45" i="15"/>
  <c r="M45" i="15"/>
  <c r="N45" i="15"/>
  <c r="O45" i="15"/>
  <c r="P45" i="15"/>
  <c r="L46" i="15"/>
  <c r="M46" i="15" s="1"/>
  <c r="N46" i="15"/>
  <c r="O46" i="15"/>
  <c r="P46" i="15"/>
  <c r="L47" i="15"/>
  <c r="M47" i="15" s="1"/>
  <c r="N47" i="15"/>
  <c r="P47" i="15" s="1"/>
  <c r="O47" i="15"/>
  <c r="L49" i="15"/>
  <c r="M49" i="15"/>
  <c r="N49" i="15"/>
  <c r="P49" i="15" s="1"/>
  <c r="O49" i="15"/>
  <c r="L50" i="15"/>
  <c r="M50" i="15" s="1"/>
  <c r="N50" i="15"/>
  <c r="O50" i="15"/>
  <c r="P50" i="15"/>
  <c r="L51" i="15"/>
  <c r="M51" i="15"/>
  <c r="N51" i="15"/>
  <c r="P51" i="15" s="1"/>
  <c r="O51" i="15"/>
  <c r="L52" i="15"/>
  <c r="M52" i="15"/>
  <c r="N52" i="15"/>
  <c r="P52" i="15" s="1"/>
  <c r="O52" i="15"/>
  <c r="L53" i="15"/>
  <c r="M53" i="15"/>
  <c r="N53" i="15"/>
  <c r="P53" i="15" s="1"/>
  <c r="O53" i="15"/>
  <c r="L54" i="15"/>
  <c r="M54" i="15" s="1"/>
  <c r="N54" i="15"/>
  <c r="O54" i="15"/>
  <c r="P54" i="15"/>
  <c r="L55" i="15"/>
  <c r="M55" i="15" s="1"/>
  <c r="N55" i="15"/>
  <c r="P55" i="15" s="1"/>
  <c r="O55" i="15"/>
  <c r="L56" i="15"/>
  <c r="M56" i="15"/>
  <c r="N56" i="15"/>
  <c r="P56" i="15" s="1"/>
  <c r="O56" i="15"/>
  <c r="L57" i="15"/>
  <c r="M57" i="15"/>
  <c r="N57" i="15"/>
  <c r="O57" i="15"/>
  <c r="P57" i="15"/>
  <c r="L58" i="15"/>
  <c r="M58" i="15" s="1"/>
  <c r="N58" i="15"/>
  <c r="O58" i="15"/>
  <c r="P58" i="15"/>
  <c r="L59" i="15"/>
  <c r="M59" i="15"/>
  <c r="N59" i="15"/>
  <c r="P59" i="15" s="1"/>
  <c r="O59" i="15"/>
  <c r="L60" i="15"/>
  <c r="M60" i="15"/>
  <c r="N60" i="15"/>
  <c r="P60" i="15" s="1"/>
  <c r="O60" i="15"/>
  <c r="L61" i="15"/>
  <c r="M61" i="15"/>
  <c r="N61" i="15"/>
  <c r="O61" i="15"/>
  <c r="P61" i="15"/>
  <c r="L62" i="15"/>
  <c r="M62" i="15" s="1"/>
  <c r="N62" i="15"/>
  <c r="O62" i="15"/>
  <c r="P62" i="15"/>
  <c r="L63" i="15"/>
  <c r="M63" i="15" s="1"/>
  <c r="N63" i="15"/>
  <c r="P63" i="15" s="1"/>
  <c r="O63" i="15"/>
  <c r="L64" i="15"/>
  <c r="M64" i="15"/>
  <c r="N64" i="15"/>
  <c r="P64" i="15" s="1"/>
  <c r="O64" i="15"/>
  <c r="L66" i="15"/>
  <c r="M66" i="15" s="1"/>
  <c r="N66" i="15"/>
  <c r="O66" i="15"/>
  <c r="P66" i="15"/>
  <c r="L67" i="15"/>
  <c r="M67" i="15"/>
  <c r="N67" i="15"/>
  <c r="P67" i="15" s="1"/>
  <c r="O67" i="15"/>
  <c r="L68" i="15"/>
  <c r="M68" i="15"/>
  <c r="N68" i="15"/>
  <c r="P68" i="15" s="1"/>
  <c r="O68" i="15"/>
  <c r="L69" i="15"/>
  <c r="M69" i="15"/>
  <c r="N69" i="15"/>
  <c r="O69" i="15"/>
  <c r="P69" i="15"/>
  <c r="L71" i="15"/>
  <c r="M71" i="15" s="1"/>
  <c r="N71" i="15"/>
  <c r="P71" i="15" s="1"/>
  <c r="O71" i="15"/>
  <c r="L72" i="15"/>
  <c r="M72" i="15"/>
  <c r="N72" i="15"/>
  <c r="P72" i="15" s="1"/>
  <c r="O72" i="15"/>
  <c r="L73" i="15"/>
  <c r="M73" i="15"/>
  <c r="N73" i="15"/>
  <c r="P73" i="15" s="1"/>
  <c r="O73" i="15"/>
  <c r="L75" i="15"/>
  <c r="M75" i="15"/>
  <c r="M74" i="15" s="1"/>
  <c r="N75" i="15"/>
  <c r="P75" i="15" s="1"/>
  <c r="P74" i="15" s="1"/>
  <c r="O75" i="15"/>
  <c r="L16" i="15"/>
  <c r="M16" i="15"/>
  <c r="N16" i="15"/>
  <c r="O16" i="15"/>
  <c r="P16" i="15" s="1"/>
  <c r="P15" i="15"/>
  <c r="O15" i="15"/>
  <c r="N15" i="15"/>
  <c r="M15" i="15"/>
  <c r="L15" i="15"/>
  <c r="P97" i="14"/>
  <c r="M97" i="14"/>
  <c r="P54" i="14"/>
  <c r="M54" i="14"/>
  <c r="P48" i="14"/>
  <c r="M48" i="14"/>
  <c r="P16" i="14"/>
  <c r="P17" i="14"/>
  <c r="P18" i="14"/>
  <c r="P19" i="14"/>
  <c r="P20" i="14"/>
  <c r="P21" i="14"/>
  <c r="P28" i="14"/>
  <c r="P36" i="14"/>
  <c r="P44" i="14"/>
  <c r="P49" i="14"/>
  <c r="P50" i="14"/>
  <c r="P51" i="14"/>
  <c r="P52" i="14"/>
  <c r="P53" i="14"/>
  <c r="P55" i="14"/>
  <c r="P56" i="14"/>
  <c r="P57" i="14"/>
  <c r="P58" i="14"/>
  <c r="P59" i="14"/>
  <c r="P60" i="14"/>
  <c r="P61" i="14"/>
  <c r="P62" i="14"/>
  <c r="P63" i="14"/>
  <c r="P64" i="14"/>
  <c r="P68" i="14"/>
  <c r="P69" i="14"/>
  <c r="P70" i="14"/>
  <c r="P71" i="14"/>
  <c r="P72" i="14"/>
  <c r="P73" i="14"/>
  <c r="P74" i="14"/>
  <c r="P77" i="14"/>
  <c r="P78" i="14"/>
  <c r="P79" i="14"/>
  <c r="P80" i="14"/>
  <c r="P81" i="14"/>
  <c r="P82" i="14"/>
  <c r="P83" i="14"/>
  <c r="P84" i="14"/>
  <c r="P85" i="14"/>
  <c r="P86" i="14"/>
  <c r="P87" i="14"/>
  <c r="P88" i="14"/>
  <c r="P89" i="14"/>
  <c r="P90" i="14"/>
  <c r="P91" i="14"/>
  <c r="P92" i="14"/>
  <c r="P93" i="14"/>
  <c r="P98" i="14"/>
  <c r="P99" i="14"/>
  <c r="P100" i="14"/>
  <c r="P101" i="14"/>
  <c r="P102" i="14"/>
  <c r="P103" i="14"/>
  <c r="P106" i="14"/>
  <c r="O16" i="14"/>
  <c r="O17" i="14"/>
  <c r="O18" i="14"/>
  <c r="O19" i="14"/>
  <c r="O20" i="14"/>
  <c r="O21" i="14"/>
  <c r="O22" i="14"/>
  <c r="O23" i="14"/>
  <c r="O24" i="14"/>
  <c r="O25" i="14"/>
  <c r="O26" i="14"/>
  <c r="O27" i="14"/>
  <c r="O28" i="14"/>
  <c r="O29" i="14"/>
  <c r="O30" i="14"/>
  <c r="O31" i="14"/>
  <c r="O32" i="14"/>
  <c r="O33" i="14"/>
  <c r="O34" i="14"/>
  <c r="O35" i="14"/>
  <c r="O36" i="14"/>
  <c r="O37" i="14"/>
  <c r="O38" i="14"/>
  <c r="O39" i="14"/>
  <c r="O40" i="14"/>
  <c r="O41" i="14"/>
  <c r="O42" i="14"/>
  <c r="O43" i="14"/>
  <c r="O44" i="14"/>
  <c r="O45" i="14"/>
  <c r="O47" i="14"/>
  <c r="O49" i="14"/>
  <c r="O50" i="14"/>
  <c r="O51" i="14"/>
  <c r="O52" i="14"/>
  <c r="O53" i="14"/>
  <c r="O55" i="14"/>
  <c r="O56" i="14"/>
  <c r="O57" i="14"/>
  <c r="O58" i="14"/>
  <c r="O59" i="14"/>
  <c r="O60" i="14"/>
  <c r="O61" i="14"/>
  <c r="O62" i="14"/>
  <c r="O63" i="14"/>
  <c r="O64" i="14"/>
  <c r="O66" i="14"/>
  <c r="O67" i="14"/>
  <c r="O68" i="14"/>
  <c r="O69" i="14"/>
  <c r="O70" i="14"/>
  <c r="O71" i="14"/>
  <c r="O72" i="14"/>
  <c r="O73" i="14"/>
  <c r="O74" i="14"/>
  <c r="O75" i="14"/>
  <c r="O76" i="14"/>
  <c r="O77" i="14"/>
  <c r="O78" i="14"/>
  <c r="O79" i="14"/>
  <c r="O80" i="14"/>
  <c r="O81" i="14"/>
  <c r="O82" i="14"/>
  <c r="O83" i="14"/>
  <c r="O84" i="14"/>
  <c r="O85" i="14"/>
  <c r="O86" i="14"/>
  <c r="O87" i="14"/>
  <c r="O88" i="14"/>
  <c r="O89" i="14"/>
  <c r="O90" i="14"/>
  <c r="O91" i="14"/>
  <c r="O92" i="14"/>
  <c r="O93" i="14"/>
  <c r="O94" i="14"/>
  <c r="O95" i="14"/>
  <c r="O96" i="14"/>
  <c r="O98" i="14"/>
  <c r="O99" i="14"/>
  <c r="O100" i="14"/>
  <c r="O101" i="14"/>
  <c r="O102" i="14"/>
  <c r="O103" i="14"/>
  <c r="O105" i="14"/>
  <c r="O106" i="14"/>
  <c r="O107" i="14"/>
  <c r="O108" i="14"/>
  <c r="O109" i="14"/>
  <c r="O111" i="14"/>
  <c r="N16" i="14"/>
  <c r="N17" i="14"/>
  <c r="N18" i="14"/>
  <c r="N19" i="14"/>
  <c r="N20" i="14"/>
  <c r="N21" i="14"/>
  <c r="N22" i="14"/>
  <c r="P22" i="14" s="1"/>
  <c r="N23" i="14"/>
  <c r="P23" i="14" s="1"/>
  <c r="N24" i="14"/>
  <c r="P24" i="14" s="1"/>
  <c r="N25" i="14"/>
  <c r="P25" i="14" s="1"/>
  <c r="N26" i="14"/>
  <c r="P26" i="14" s="1"/>
  <c r="N27" i="14"/>
  <c r="P27" i="14" s="1"/>
  <c r="N28" i="14"/>
  <c r="N29" i="14"/>
  <c r="P29" i="14" s="1"/>
  <c r="N30" i="14"/>
  <c r="P30" i="14" s="1"/>
  <c r="N31" i="14"/>
  <c r="P31" i="14" s="1"/>
  <c r="N32" i="14"/>
  <c r="P32" i="14" s="1"/>
  <c r="N33" i="14"/>
  <c r="P33" i="14" s="1"/>
  <c r="N34" i="14"/>
  <c r="P34" i="14" s="1"/>
  <c r="N35" i="14"/>
  <c r="P35" i="14" s="1"/>
  <c r="N36" i="14"/>
  <c r="N37" i="14"/>
  <c r="P37" i="14" s="1"/>
  <c r="N38" i="14"/>
  <c r="P38" i="14" s="1"/>
  <c r="N39" i="14"/>
  <c r="P39" i="14" s="1"/>
  <c r="N40" i="14"/>
  <c r="P40" i="14" s="1"/>
  <c r="N41" i="14"/>
  <c r="P41" i="14" s="1"/>
  <c r="N42" i="14"/>
  <c r="P42" i="14" s="1"/>
  <c r="N43" i="14"/>
  <c r="P43" i="14" s="1"/>
  <c r="N44" i="14"/>
  <c r="N45" i="14"/>
  <c r="P45" i="14" s="1"/>
  <c r="N47" i="14"/>
  <c r="P47" i="14" s="1"/>
  <c r="P46" i="14" s="1"/>
  <c r="N49" i="14"/>
  <c r="N50" i="14"/>
  <c r="N51" i="14"/>
  <c r="N52" i="14"/>
  <c r="N53" i="14"/>
  <c r="N55" i="14"/>
  <c r="N56" i="14"/>
  <c r="N57" i="14"/>
  <c r="N58" i="14"/>
  <c r="N59" i="14"/>
  <c r="N60" i="14"/>
  <c r="N61" i="14"/>
  <c r="N62" i="14"/>
  <c r="N63" i="14"/>
  <c r="N64" i="14"/>
  <c r="N66" i="14"/>
  <c r="P66" i="14" s="1"/>
  <c r="N67" i="14"/>
  <c r="P67" i="14" s="1"/>
  <c r="N68" i="14"/>
  <c r="N69" i="14"/>
  <c r="N70" i="14"/>
  <c r="N71" i="14"/>
  <c r="N72" i="14"/>
  <c r="N73" i="14"/>
  <c r="N74" i="14"/>
  <c r="N75" i="14"/>
  <c r="P75" i="14" s="1"/>
  <c r="N76" i="14"/>
  <c r="P76" i="14" s="1"/>
  <c r="N77" i="14"/>
  <c r="N78" i="14"/>
  <c r="N79" i="14"/>
  <c r="N80" i="14"/>
  <c r="N81" i="14"/>
  <c r="N82" i="14"/>
  <c r="N83" i="14"/>
  <c r="N84" i="14"/>
  <c r="N85" i="14"/>
  <c r="N86" i="14"/>
  <c r="N87" i="14"/>
  <c r="N88" i="14"/>
  <c r="N89" i="14"/>
  <c r="N90" i="14"/>
  <c r="N91" i="14"/>
  <c r="N92" i="14"/>
  <c r="N93" i="14"/>
  <c r="N94" i="14"/>
  <c r="P94" i="14" s="1"/>
  <c r="N95" i="14"/>
  <c r="P95" i="14" s="1"/>
  <c r="N96" i="14"/>
  <c r="P96" i="14" s="1"/>
  <c r="N98" i="14"/>
  <c r="N99" i="14"/>
  <c r="N100" i="14"/>
  <c r="N101" i="14"/>
  <c r="N102" i="14"/>
  <c r="N103" i="14"/>
  <c r="N105" i="14"/>
  <c r="P105" i="14" s="1"/>
  <c r="N106" i="14"/>
  <c r="N107" i="14"/>
  <c r="P107" i="14" s="1"/>
  <c r="N108" i="14"/>
  <c r="P108" i="14" s="1"/>
  <c r="N109" i="14"/>
  <c r="P109" i="14" s="1"/>
  <c r="N111" i="14"/>
  <c r="P111" i="14" s="1"/>
  <c r="P110" i="14" s="1"/>
  <c r="M16" i="14"/>
  <c r="M17" i="14"/>
  <c r="M18" i="14"/>
  <c r="M19" i="14"/>
  <c r="M20" i="14"/>
  <c r="M21" i="14"/>
  <c r="M22" i="14"/>
  <c r="M23" i="14"/>
  <c r="M24" i="14"/>
  <c r="M25" i="14"/>
  <c r="M26" i="14"/>
  <c r="M27" i="14"/>
  <c r="M28" i="14"/>
  <c r="M29" i="14"/>
  <c r="M30" i="14"/>
  <c r="M31" i="14"/>
  <c r="M32" i="14"/>
  <c r="M33" i="14"/>
  <c r="M34" i="14"/>
  <c r="M35" i="14"/>
  <c r="M36" i="14"/>
  <c r="M37" i="14"/>
  <c r="M38" i="14"/>
  <c r="M39" i="14"/>
  <c r="M40" i="14"/>
  <c r="M41" i="14"/>
  <c r="M42" i="14"/>
  <c r="M43" i="14"/>
  <c r="M44" i="14"/>
  <c r="M45" i="14"/>
  <c r="M47" i="14"/>
  <c r="M46" i="14" s="1"/>
  <c r="M49" i="14"/>
  <c r="M50" i="14"/>
  <c r="M51" i="14"/>
  <c r="M52" i="14"/>
  <c r="M53" i="14"/>
  <c r="M55" i="14"/>
  <c r="M56" i="14"/>
  <c r="M57" i="14"/>
  <c r="M58" i="14"/>
  <c r="M59" i="14"/>
  <c r="M60" i="14"/>
  <c r="M61" i="14"/>
  <c r="M62" i="14"/>
  <c r="M63" i="14"/>
  <c r="M64" i="14"/>
  <c r="M66" i="14"/>
  <c r="M67" i="14"/>
  <c r="M68" i="14"/>
  <c r="M69" i="14"/>
  <c r="M70" i="14"/>
  <c r="M71" i="14"/>
  <c r="M72" i="14"/>
  <c r="M73" i="14"/>
  <c r="M74" i="14"/>
  <c r="M75" i="14"/>
  <c r="M76" i="14"/>
  <c r="M77" i="14"/>
  <c r="M78" i="14"/>
  <c r="M79" i="14"/>
  <c r="M80" i="14"/>
  <c r="M81" i="14"/>
  <c r="M82" i="14"/>
  <c r="M83" i="14"/>
  <c r="M84" i="14"/>
  <c r="M85" i="14"/>
  <c r="M86" i="14"/>
  <c r="M87" i="14"/>
  <c r="M88" i="14"/>
  <c r="M89" i="14"/>
  <c r="M90" i="14"/>
  <c r="M91" i="14"/>
  <c r="M92" i="14"/>
  <c r="M93" i="14"/>
  <c r="M94" i="14"/>
  <c r="M95" i="14"/>
  <c r="M96" i="14"/>
  <c r="M98" i="14"/>
  <c r="M99" i="14"/>
  <c r="M100" i="14"/>
  <c r="M101" i="14"/>
  <c r="M102" i="14"/>
  <c r="M103" i="14"/>
  <c r="M105" i="14"/>
  <c r="M106" i="14"/>
  <c r="M107" i="14"/>
  <c r="M108" i="14"/>
  <c r="M109" i="14"/>
  <c r="M111" i="14"/>
  <c r="M110" i="14" s="1"/>
  <c r="L16" i="14"/>
  <c r="L17" i="14"/>
  <c r="L18" i="14"/>
  <c r="L19" i="14"/>
  <c r="L20" i="14"/>
  <c r="L21" i="14"/>
  <c r="L22" i="14"/>
  <c r="L23" i="14"/>
  <c r="L24" i="14"/>
  <c r="L25" i="14"/>
  <c r="L26" i="14"/>
  <c r="L27" i="14"/>
  <c r="L28" i="14"/>
  <c r="L29" i="14"/>
  <c r="L30" i="14"/>
  <c r="L31" i="14"/>
  <c r="L32" i="14"/>
  <c r="L33" i="14"/>
  <c r="L34" i="14"/>
  <c r="L35" i="14"/>
  <c r="L36" i="14"/>
  <c r="L37" i="14"/>
  <c r="L38" i="14"/>
  <c r="L39" i="14"/>
  <c r="L40" i="14"/>
  <c r="L41" i="14"/>
  <c r="L42" i="14"/>
  <c r="L43" i="14"/>
  <c r="L44" i="14"/>
  <c r="L45" i="14"/>
  <c r="L47" i="14"/>
  <c r="L49" i="14"/>
  <c r="L50" i="14"/>
  <c r="L51" i="14"/>
  <c r="L52" i="14"/>
  <c r="L53" i="14"/>
  <c r="L55" i="14"/>
  <c r="L56" i="14"/>
  <c r="L57" i="14"/>
  <c r="L58" i="14"/>
  <c r="L59" i="14"/>
  <c r="L60" i="14"/>
  <c r="L61" i="14"/>
  <c r="L62" i="14"/>
  <c r="L63" i="14"/>
  <c r="L64" i="14"/>
  <c r="L66" i="14"/>
  <c r="L67" i="14"/>
  <c r="L68" i="14"/>
  <c r="L69" i="14"/>
  <c r="L70" i="14"/>
  <c r="L71" i="14"/>
  <c r="L72" i="14"/>
  <c r="L73" i="14"/>
  <c r="L74" i="14"/>
  <c r="L75" i="14"/>
  <c r="L76" i="14"/>
  <c r="L77" i="14"/>
  <c r="L78" i="14"/>
  <c r="L79" i="14"/>
  <c r="L80" i="14"/>
  <c r="L81" i="14"/>
  <c r="L82" i="14"/>
  <c r="L83" i="14"/>
  <c r="L84" i="14"/>
  <c r="L85" i="14"/>
  <c r="L86" i="14"/>
  <c r="L87" i="14"/>
  <c r="L88" i="14"/>
  <c r="L89" i="14"/>
  <c r="L90" i="14"/>
  <c r="L91" i="14"/>
  <c r="L92" i="14"/>
  <c r="L93" i="14"/>
  <c r="L94" i="14"/>
  <c r="L95" i="14"/>
  <c r="L96" i="14"/>
  <c r="L98" i="14"/>
  <c r="L99" i="14"/>
  <c r="L100" i="14"/>
  <c r="L101" i="14"/>
  <c r="L102" i="14"/>
  <c r="L103" i="14"/>
  <c r="L105" i="14"/>
  <c r="L106" i="14"/>
  <c r="L107" i="14"/>
  <c r="L108" i="14"/>
  <c r="L109" i="14"/>
  <c r="L111" i="14"/>
  <c r="P15" i="14"/>
  <c r="M15" i="14"/>
  <c r="O15" i="14"/>
  <c r="N15" i="14"/>
  <c r="L15" i="14"/>
  <c r="P37" i="13"/>
  <c r="M37" i="13"/>
  <c r="P40" i="13"/>
  <c r="P62" i="13"/>
  <c r="M62" i="13"/>
  <c r="M40" i="13"/>
  <c r="P16" i="13"/>
  <c r="P17" i="13"/>
  <c r="P18" i="13"/>
  <c r="P19" i="13"/>
  <c r="P23" i="13"/>
  <c r="P31" i="13"/>
  <c r="P38" i="13"/>
  <c r="P39" i="13"/>
  <c r="P41" i="13"/>
  <c r="P42" i="13"/>
  <c r="P43" i="13"/>
  <c r="P44" i="13"/>
  <c r="P45" i="13"/>
  <c r="P49" i="13"/>
  <c r="P50" i="13"/>
  <c r="P52" i="13"/>
  <c r="P53" i="13"/>
  <c r="P54" i="13"/>
  <c r="P55" i="13"/>
  <c r="P56" i="13"/>
  <c r="P57" i="13"/>
  <c r="P58" i="13"/>
  <c r="P59" i="13"/>
  <c r="P63" i="13"/>
  <c r="P64" i="13"/>
  <c r="P65" i="13"/>
  <c r="P66" i="13"/>
  <c r="P69" i="13"/>
  <c r="O16" i="13"/>
  <c r="O17" i="13"/>
  <c r="O18" i="13"/>
  <c r="O19" i="13"/>
  <c r="O20" i="13"/>
  <c r="O21" i="13"/>
  <c r="O22" i="13"/>
  <c r="O23" i="13"/>
  <c r="O24" i="13"/>
  <c r="O25" i="13"/>
  <c r="O26" i="13"/>
  <c r="O27" i="13"/>
  <c r="O28" i="13"/>
  <c r="O29" i="13"/>
  <c r="O30" i="13"/>
  <c r="O31" i="13"/>
  <c r="O32" i="13"/>
  <c r="O33" i="13"/>
  <c r="O34" i="13"/>
  <c r="O36" i="13"/>
  <c r="O38" i="13"/>
  <c r="O39" i="13"/>
  <c r="O41" i="13"/>
  <c r="O42" i="13"/>
  <c r="O43" i="13"/>
  <c r="O44" i="13"/>
  <c r="O45" i="13"/>
  <c r="O47" i="13"/>
  <c r="O48" i="13"/>
  <c r="O49" i="13"/>
  <c r="O50" i="13"/>
  <c r="O51" i="13"/>
  <c r="O52" i="13"/>
  <c r="O53" i="13"/>
  <c r="O54" i="13"/>
  <c r="O55" i="13"/>
  <c r="O56" i="13"/>
  <c r="O57" i="13"/>
  <c r="O58" i="13"/>
  <c r="O59" i="13"/>
  <c r="O60" i="13"/>
  <c r="O61" i="13"/>
  <c r="O63" i="13"/>
  <c r="O64" i="13"/>
  <c r="O65" i="13"/>
  <c r="O66" i="13"/>
  <c r="O68" i="13"/>
  <c r="O69" i="13"/>
  <c r="O70" i="13"/>
  <c r="O72" i="13"/>
  <c r="P15" i="13"/>
  <c r="O15" i="13"/>
  <c r="N16" i="13"/>
  <c r="N17" i="13"/>
  <c r="N18" i="13"/>
  <c r="N19" i="13"/>
  <c r="N20" i="13"/>
  <c r="P20" i="13" s="1"/>
  <c r="N21" i="13"/>
  <c r="P21" i="13" s="1"/>
  <c r="N22" i="13"/>
  <c r="P22" i="13" s="1"/>
  <c r="N23" i="13"/>
  <c r="N24" i="13"/>
  <c r="P24" i="13" s="1"/>
  <c r="N25" i="13"/>
  <c r="P25" i="13" s="1"/>
  <c r="N26" i="13"/>
  <c r="P26" i="13" s="1"/>
  <c r="N27" i="13"/>
  <c r="P27" i="13" s="1"/>
  <c r="N28" i="13"/>
  <c r="P28" i="13" s="1"/>
  <c r="N29" i="13"/>
  <c r="P29" i="13" s="1"/>
  <c r="N30" i="13"/>
  <c r="P30" i="13" s="1"/>
  <c r="N31" i="13"/>
  <c r="N32" i="13"/>
  <c r="P32" i="13" s="1"/>
  <c r="N33" i="13"/>
  <c r="P33" i="13" s="1"/>
  <c r="N34" i="13"/>
  <c r="P34" i="13" s="1"/>
  <c r="N36" i="13"/>
  <c r="P36" i="13" s="1"/>
  <c r="P35" i="13" s="1"/>
  <c r="N38" i="13"/>
  <c r="N39" i="13"/>
  <c r="N41" i="13"/>
  <c r="N42" i="13"/>
  <c r="N43" i="13"/>
  <c r="N44" i="13"/>
  <c r="N45" i="13"/>
  <c r="N47" i="13"/>
  <c r="P47" i="13" s="1"/>
  <c r="N48" i="13"/>
  <c r="P48" i="13" s="1"/>
  <c r="N49" i="13"/>
  <c r="N50" i="13"/>
  <c r="N51" i="13"/>
  <c r="P51" i="13" s="1"/>
  <c r="N52" i="13"/>
  <c r="N53" i="13"/>
  <c r="N54" i="13"/>
  <c r="N55" i="13"/>
  <c r="N56" i="13"/>
  <c r="N57" i="13"/>
  <c r="N58" i="13"/>
  <c r="N59" i="13"/>
  <c r="N60" i="13"/>
  <c r="P60" i="13" s="1"/>
  <c r="N61" i="13"/>
  <c r="P61" i="13" s="1"/>
  <c r="N63" i="13"/>
  <c r="N64" i="13"/>
  <c r="N65" i="13"/>
  <c r="N66" i="13"/>
  <c r="N68" i="13"/>
  <c r="P68" i="13" s="1"/>
  <c r="N69" i="13"/>
  <c r="N70" i="13"/>
  <c r="P70" i="13" s="1"/>
  <c r="N72" i="13"/>
  <c r="P72" i="13" s="1"/>
  <c r="P71" i="13" s="1"/>
  <c r="M16" i="13"/>
  <c r="M17" i="13"/>
  <c r="M18" i="13"/>
  <c r="M19" i="13"/>
  <c r="M20" i="13"/>
  <c r="M21" i="13"/>
  <c r="M22" i="13"/>
  <c r="M23" i="13"/>
  <c r="M24" i="13"/>
  <c r="M25" i="13"/>
  <c r="M26" i="13"/>
  <c r="M27" i="13"/>
  <c r="M28" i="13"/>
  <c r="M29" i="13"/>
  <c r="M30" i="13"/>
  <c r="M31" i="13"/>
  <c r="M32" i="13"/>
  <c r="M33" i="13"/>
  <c r="M34" i="13"/>
  <c r="M36" i="13"/>
  <c r="M35" i="13" s="1"/>
  <c r="M38" i="13"/>
  <c r="M39" i="13"/>
  <c r="M41" i="13"/>
  <c r="M42" i="13"/>
  <c r="M43" i="13"/>
  <c r="M44" i="13"/>
  <c r="M45" i="13"/>
  <c r="M47" i="13"/>
  <c r="M48" i="13"/>
  <c r="M49" i="13"/>
  <c r="M50" i="13"/>
  <c r="M51" i="13"/>
  <c r="M52" i="13"/>
  <c r="M53" i="13"/>
  <c r="M54" i="13"/>
  <c r="M55" i="13"/>
  <c r="M56" i="13"/>
  <c r="M57" i="13"/>
  <c r="M58" i="13"/>
  <c r="M59" i="13"/>
  <c r="M60" i="13"/>
  <c r="M61" i="13"/>
  <c r="M63" i="13"/>
  <c r="M64" i="13"/>
  <c r="M65" i="13"/>
  <c r="M66" i="13"/>
  <c r="M68" i="13"/>
  <c r="M67" i="13" s="1"/>
  <c r="M69" i="13"/>
  <c r="M70" i="13"/>
  <c r="M72" i="13"/>
  <c r="L16" i="13"/>
  <c r="L17" i="13"/>
  <c r="L18" i="13"/>
  <c r="L19" i="13"/>
  <c r="L20" i="13"/>
  <c r="L21" i="13"/>
  <c r="L22" i="13"/>
  <c r="L23" i="13"/>
  <c r="L24" i="13"/>
  <c r="L25" i="13"/>
  <c r="L26" i="13"/>
  <c r="L27" i="13"/>
  <c r="L28" i="13"/>
  <c r="L29" i="13"/>
  <c r="L30" i="13"/>
  <c r="L31" i="13"/>
  <c r="L32" i="13"/>
  <c r="L33" i="13"/>
  <c r="L34" i="13"/>
  <c r="L36" i="13"/>
  <c r="L38" i="13"/>
  <c r="L39" i="13"/>
  <c r="L41" i="13"/>
  <c r="L42" i="13"/>
  <c r="L43" i="13"/>
  <c r="L44" i="13"/>
  <c r="L45" i="13"/>
  <c r="L47" i="13"/>
  <c r="L48" i="13"/>
  <c r="L49" i="13"/>
  <c r="L50" i="13"/>
  <c r="L51" i="13"/>
  <c r="L52" i="13"/>
  <c r="L53" i="13"/>
  <c r="L54" i="13"/>
  <c r="L55" i="13"/>
  <c r="L56" i="13"/>
  <c r="L57" i="13"/>
  <c r="L58" i="13"/>
  <c r="L59" i="13"/>
  <c r="L60" i="13"/>
  <c r="L61" i="13"/>
  <c r="L63" i="13"/>
  <c r="L64" i="13"/>
  <c r="L65" i="13"/>
  <c r="L66" i="13"/>
  <c r="L68" i="13"/>
  <c r="L69" i="13"/>
  <c r="L70" i="13"/>
  <c r="L72" i="13"/>
  <c r="N15" i="13"/>
  <c r="M15" i="13"/>
  <c r="L15" i="13"/>
  <c r="P38" i="12"/>
  <c r="M38" i="12"/>
  <c r="P41" i="12"/>
  <c r="M41" i="12"/>
  <c r="P65" i="12"/>
  <c r="M65" i="12"/>
  <c r="P16" i="12"/>
  <c r="P17" i="12"/>
  <c r="P18" i="12"/>
  <c r="P19" i="12"/>
  <c r="P23" i="12"/>
  <c r="P31" i="12"/>
  <c r="P39" i="12"/>
  <c r="P40" i="12"/>
  <c r="P42" i="12"/>
  <c r="P43" i="12"/>
  <c r="P44" i="12"/>
  <c r="P45" i="12"/>
  <c r="P46" i="12"/>
  <c r="P47" i="12"/>
  <c r="P48" i="12"/>
  <c r="P52" i="12"/>
  <c r="P53" i="12"/>
  <c r="P55" i="12"/>
  <c r="P56" i="12"/>
  <c r="P57" i="12"/>
  <c r="P58" i="12"/>
  <c r="P59" i="12"/>
  <c r="P60" i="12"/>
  <c r="P61" i="12"/>
  <c r="P62" i="12"/>
  <c r="P66" i="12"/>
  <c r="P67" i="12"/>
  <c r="P68" i="12"/>
  <c r="P69" i="12"/>
  <c r="P70" i="12"/>
  <c r="P71" i="12"/>
  <c r="P74" i="12"/>
  <c r="O16" i="12"/>
  <c r="O17" i="12"/>
  <c r="O18" i="12"/>
  <c r="O19" i="12"/>
  <c r="O20" i="12"/>
  <c r="O21" i="12"/>
  <c r="O22" i="12"/>
  <c r="O23" i="12"/>
  <c r="O24" i="12"/>
  <c r="O25" i="12"/>
  <c r="O26" i="12"/>
  <c r="O27" i="12"/>
  <c r="O28" i="12"/>
  <c r="O29" i="12"/>
  <c r="O30" i="12"/>
  <c r="O31" i="12"/>
  <c r="O32" i="12"/>
  <c r="O33" i="12"/>
  <c r="O34" i="12"/>
  <c r="O35" i="12"/>
  <c r="O37" i="12"/>
  <c r="O38" i="12"/>
  <c r="O39" i="12"/>
  <c r="O40" i="12"/>
  <c r="O42" i="12"/>
  <c r="O43" i="12"/>
  <c r="O44" i="12"/>
  <c r="O45" i="12"/>
  <c r="O46" i="12"/>
  <c r="O47" i="12"/>
  <c r="O48" i="12"/>
  <c r="O50" i="12"/>
  <c r="O51" i="12"/>
  <c r="O52" i="12"/>
  <c r="O53" i="12"/>
  <c r="O54" i="12"/>
  <c r="O55" i="12"/>
  <c r="O56" i="12"/>
  <c r="O57" i="12"/>
  <c r="O58" i="12"/>
  <c r="O59" i="12"/>
  <c r="O60" i="12"/>
  <c r="O61" i="12"/>
  <c r="O62" i="12"/>
  <c r="O63" i="12"/>
  <c r="O64" i="12"/>
  <c r="O66" i="12"/>
  <c r="O67" i="12"/>
  <c r="O68" i="12"/>
  <c r="O69" i="12"/>
  <c r="O70" i="12"/>
  <c r="O71" i="12"/>
  <c r="O73" i="12"/>
  <c r="O74" i="12"/>
  <c r="O75" i="12"/>
  <c r="O76" i="12"/>
  <c r="O77" i="12"/>
  <c r="O79" i="12"/>
  <c r="N16" i="12"/>
  <c r="N17" i="12"/>
  <c r="N18" i="12"/>
  <c r="N19" i="12"/>
  <c r="N20" i="12"/>
  <c r="P20" i="12" s="1"/>
  <c r="N21" i="12"/>
  <c r="P21" i="12" s="1"/>
  <c r="N22" i="12"/>
  <c r="P22" i="12" s="1"/>
  <c r="N23" i="12"/>
  <c r="N24" i="12"/>
  <c r="P24" i="12" s="1"/>
  <c r="N25" i="12"/>
  <c r="P25" i="12" s="1"/>
  <c r="N26" i="12"/>
  <c r="P26" i="12" s="1"/>
  <c r="N27" i="12"/>
  <c r="P27" i="12" s="1"/>
  <c r="N28" i="12"/>
  <c r="P28" i="12" s="1"/>
  <c r="N29" i="12"/>
  <c r="P29" i="12" s="1"/>
  <c r="N30" i="12"/>
  <c r="P30" i="12" s="1"/>
  <c r="N31" i="12"/>
  <c r="N32" i="12"/>
  <c r="P32" i="12" s="1"/>
  <c r="N33" i="12"/>
  <c r="P33" i="12" s="1"/>
  <c r="N34" i="12"/>
  <c r="P34" i="12" s="1"/>
  <c r="N35" i="12"/>
  <c r="P35" i="12" s="1"/>
  <c r="N37" i="12"/>
  <c r="P37" i="12" s="1"/>
  <c r="P36" i="12" s="1"/>
  <c r="N38" i="12"/>
  <c r="N39" i="12"/>
  <c r="N40" i="12"/>
  <c r="N42" i="12"/>
  <c r="N43" i="12"/>
  <c r="N44" i="12"/>
  <c r="N45" i="12"/>
  <c r="N46" i="12"/>
  <c r="N47" i="12"/>
  <c r="N48" i="12"/>
  <c r="N50" i="12"/>
  <c r="P50" i="12" s="1"/>
  <c r="N51" i="12"/>
  <c r="P51" i="12" s="1"/>
  <c r="N52" i="12"/>
  <c r="N53" i="12"/>
  <c r="N54" i="12"/>
  <c r="P54" i="12" s="1"/>
  <c r="N55" i="12"/>
  <c r="N56" i="12"/>
  <c r="N57" i="12"/>
  <c r="N58" i="12"/>
  <c r="N59" i="12"/>
  <c r="N60" i="12"/>
  <c r="N61" i="12"/>
  <c r="N62" i="12"/>
  <c r="N63" i="12"/>
  <c r="P63" i="12" s="1"/>
  <c r="N64" i="12"/>
  <c r="P64" i="12" s="1"/>
  <c r="N66" i="12"/>
  <c r="N67" i="12"/>
  <c r="N68" i="12"/>
  <c r="N69" i="12"/>
  <c r="N70" i="12"/>
  <c r="N71" i="12"/>
  <c r="N73" i="12"/>
  <c r="P73" i="12" s="1"/>
  <c r="N74" i="12"/>
  <c r="N75" i="12"/>
  <c r="P75" i="12" s="1"/>
  <c r="N76" i="12"/>
  <c r="P76" i="12" s="1"/>
  <c r="N77" i="12"/>
  <c r="P77" i="12" s="1"/>
  <c r="N79" i="12"/>
  <c r="P79" i="12" s="1"/>
  <c r="P78" i="12" s="1"/>
  <c r="M16" i="12"/>
  <c r="M17" i="12"/>
  <c r="M18" i="12"/>
  <c r="M19" i="12"/>
  <c r="M20" i="12"/>
  <c r="M21" i="12"/>
  <c r="M22" i="12"/>
  <c r="M23" i="12"/>
  <c r="M24" i="12"/>
  <c r="M25" i="12"/>
  <c r="M26" i="12"/>
  <c r="M27" i="12"/>
  <c r="M28" i="12"/>
  <c r="M29" i="12"/>
  <c r="M30" i="12"/>
  <c r="M31" i="12"/>
  <c r="M32" i="12"/>
  <c r="M33" i="12"/>
  <c r="M34" i="12"/>
  <c r="M35" i="12"/>
  <c r="M37" i="12"/>
  <c r="M36" i="12" s="1"/>
  <c r="M39" i="12"/>
  <c r="M40" i="12"/>
  <c r="M42" i="12"/>
  <c r="M43" i="12"/>
  <c r="M44" i="12"/>
  <c r="M45" i="12"/>
  <c r="M46" i="12"/>
  <c r="M47" i="12"/>
  <c r="M48" i="12"/>
  <c r="M50" i="12"/>
  <c r="M51" i="12"/>
  <c r="M52" i="12"/>
  <c r="M53" i="12"/>
  <c r="M54" i="12"/>
  <c r="M55" i="12"/>
  <c r="M56" i="12"/>
  <c r="M57" i="12"/>
  <c r="M58" i="12"/>
  <c r="M59" i="12"/>
  <c r="M60" i="12"/>
  <c r="M61" i="12"/>
  <c r="M62" i="12"/>
  <c r="M63" i="12"/>
  <c r="M64" i="12"/>
  <c r="M66" i="12"/>
  <c r="M67" i="12"/>
  <c r="M68" i="12"/>
  <c r="M69" i="12"/>
  <c r="M70" i="12"/>
  <c r="M71" i="12"/>
  <c r="M73" i="12"/>
  <c r="M74" i="12"/>
  <c r="M75" i="12"/>
  <c r="M76" i="12"/>
  <c r="M77" i="12"/>
  <c r="M79" i="12"/>
  <c r="M78" i="12" s="1"/>
  <c r="L16" i="12"/>
  <c r="L17" i="12"/>
  <c r="L18" i="12"/>
  <c r="L19" i="12"/>
  <c r="L20" i="12"/>
  <c r="L21" i="12"/>
  <c r="L22" i="12"/>
  <c r="L23" i="12"/>
  <c r="L24" i="12"/>
  <c r="L25" i="12"/>
  <c r="L26" i="12"/>
  <c r="L27" i="12"/>
  <c r="L28" i="12"/>
  <c r="L29" i="12"/>
  <c r="L30" i="12"/>
  <c r="L31" i="12"/>
  <c r="L32" i="12"/>
  <c r="L33" i="12"/>
  <c r="L34" i="12"/>
  <c r="L35" i="12"/>
  <c r="L37" i="12"/>
  <c r="L38" i="12"/>
  <c r="L39" i="12"/>
  <c r="L40" i="12"/>
  <c r="L42" i="12"/>
  <c r="L43" i="12"/>
  <c r="L44" i="12"/>
  <c r="L45" i="12"/>
  <c r="L46" i="12"/>
  <c r="L47" i="12"/>
  <c r="L48" i="12"/>
  <c r="L50" i="12"/>
  <c r="L51" i="12"/>
  <c r="L52" i="12"/>
  <c r="L53" i="12"/>
  <c r="L54" i="12"/>
  <c r="L55" i="12"/>
  <c r="L56" i="12"/>
  <c r="L57" i="12"/>
  <c r="L58" i="12"/>
  <c r="L59" i="12"/>
  <c r="L60" i="12"/>
  <c r="L61" i="12"/>
  <c r="L62" i="12"/>
  <c r="L63" i="12"/>
  <c r="L64" i="12"/>
  <c r="L66" i="12"/>
  <c r="L67" i="12"/>
  <c r="L68" i="12"/>
  <c r="L69" i="12"/>
  <c r="L70" i="12"/>
  <c r="L71" i="12"/>
  <c r="L73" i="12"/>
  <c r="L74" i="12"/>
  <c r="L75" i="12"/>
  <c r="L76" i="12"/>
  <c r="L77" i="12"/>
  <c r="L79" i="12"/>
  <c r="P15" i="12"/>
  <c r="O15" i="12"/>
  <c r="N15" i="12"/>
  <c r="M15" i="12"/>
  <c r="L15" i="12"/>
  <c r="M38" i="11"/>
  <c r="M41" i="11"/>
  <c r="M65" i="11"/>
  <c r="P16" i="11"/>
  <c r="P17" i="11"/>
  <c r="P18" i="11"/>
  <c r="P39" i="11"/>
  <c r="P38" i="11" s="1"/>
  <c r="P40" i="11"/>
  <c r="P42" i="11"/>
  <c r="P41" i="11" s="1"/>
  <c r="P43" i="11"/>
  <c r="P44" i="11"/>
  <c r="P45" i="11"/>
  <c r="P46" i="11"/>
  <c r="P47" i="11"/>
  <c r="P51" i="11"/>
  <c r="P52" i="11"/>
  <c r="P54" i="11"/>
  <c r="P55" i="11"/>
  <c r="P56" i="11"/>
  <c r="P57" i="11"/>
  <c r="P58" i="11"/>
  <c r="P59" i="11"/>
  <c r="P60" i="11"/>
  <c r="P61" i="11"/>
  <c r="P62" i="11"/>
  <c r="P66" i="11"/>
  <c r="P65" i="11" s="1"/>
  <c r="P67" i="11"/>
  <c r="P68" i="11"/>
  <c r="P69" i="11"/>
  <c r="P70" i="11"/>
  <c r="P71" i="11"/>
  <c r="P74" i="11"/>
  <c r="O16" i="11"/>
  <c r="O17" i="11"/>
  <c r="O18" i="11"/>
  <c r="O19" i="11"/>
  <c r="O20" i="11"/>
  <c r="O21" i="11"/>
  <c r="O22" i="11"/>
  <c r="O23" i="11"/>
  <c r="O24" i="11"/>
  <c r="O25" i="11"/>
  <c r="O26" i="11"/>
  <c r="O27" i="11"/>
  <c r="O28" i="11"/>
  <c r="O29" i="11"/>
  <c r="O30" i="11"/>
  <c r="O31" i="11"/>
  <c r="O32" i="11"/>
  <c r="O33" i="11"/>
  <c r="O34" i="11"/>
  <c r="O35" i="11"/>
  <c r="O37" i="11"/>
  <c r="O39" i="11"/>
  <c r="O40" i="11"/>
  <c r="O42" i="11"/>
  <c r="O43" i="11"/>
  <c r="O44" i="11"/>
  <c r="O45" i="11"/>
  <c r="O46" i="11"/>
  <c r="O47" i="11"/>
  <c r="O49" i="11"/>
  <c r="O50" i="11"/>
  <c r="O51" i="11"/>
  <c r="O52" i="11"/>
  <c r="O53" i="11"/>
  <c r="O54" i="11"/>
  <c r="O55" i="11"/>
  <c r="O56" i="11"/>
  <c r="O57" i="11"/>
  <c r="O58" i="11"/>
  <c r="O59" i="11"/>
  <c r="O60" i="11"/>
  <c r="O61" i="11"/>
  <c r="O62" i="11"/>
  <c r="O63" i="11"/>
  <c r="O64" i="11"/>
  <c r="O66" i="11"/>
  <c r="O67" i="11"/>
  <c r="O68" i="11"/>
  <c r="O69" i="11"/>
  <c r="O70" i="11"/>
  <c r="O71" i="11"/>
  <c r="O73" i="11"/>
  <c r="O74" i="11"/>
  <c r="O75" i="11"/>
  <c r="O76" i="11"/>
  <c r="O77" i="11"/>
  <c r="O79" i="11"/>
  <c r="P19" i="11"/>
  <c r="P20" i="11"/>
  <c r="P21" i="11"/>
  <c r="P22" i="11"/>
  <c r="P23" i="11"/>
  <c r="P24" i="11"/>
  <c r="P25" i="11"/>
  <c r="P26" i="11"/>
  <c r="P27" i="11"/>
  <c r="P28" i="11"/>
  <c r="P29" i="11"/>
  <c r="P30" i="11"/>
  <c r="P31" i="11"/>
  <c r="P32" i="11"/>
  <c r="P33" i="11"/>
  <c r="P34" i="11"/>
  <c r="P35" i="11"/>
  <c r="P37" i="11"/>
  <c r="P36" i="11" s="1"/>
  <c r="P49" i="11"/>
  <c r="P50" i="11"/>
  <c r="P53" i="11"/>
  <c r="P63" i="11"/>
  <c r="P64" i="11"/>
  <c r="P73" i="11"/>
  <c r="P75" i="11"/>
  <c r="P76" i="11"/>
  <c r="P77" i="11"/>
  <c r="P79" i="11"/>
  <c r="P78" i="11" s="1"/>
  <c r="M16" i="11"/>
  <c r="M17" i="11"/>
  <c r="M18" i="11"/>
  <c r="M19" i="11"/>
  <c r="M20" i="11"/>
  <c r="M21" i="11"/>
  <c r="M22" i="11"/>
  <c r="M23" i="11"/>
  <c r="M24" i="11"/>
  <c r="M25" i="11"/>
  <c r="M26" i="11"/>
  <c r="M27" i="11"/>
  <c r="M28" i="11"/>
  <c r="M29" i="11"/>
  <c r="M30" i="11"/>
  <c r="M31" i="11"/>
  <c r="M32" i="11"/>
  <c r="M33" i="11"/>
  <c r="M34" i="11"/>
  <c r="M35" i="11"/>
  <c r="M37" i="11"/>
  <c r="M36" i="11" s="1"/>
  <c r="M39" i="11"/>
  <c r="M40" i="11"/>
  <c r="M42" i="11"/>
  <c r="M43" i="11"/>
  <c r="M44" i="11"/>
  <c r="M45" i="11"/>
  <c r="M46" i="11"/>
  <c r="M47" i="11"/>
  <c r="M49" i="11"/>
  <c r="M50" i="11"/>
  <c r="M51" i="11"/>
  <c r="M52" i="11"/>
  <c r="M53" i="11"/>
  <c r="M54" i="11"/>
  <c r="M55" i="11"/>
  <c r="M56" i="11"/>
  <c r="M57" i="11"/>
  <c r="M58" i="11"/>
  <c r="M59" i="11"/>
  <c r="M60" i="11"/>
  <c r="M61" i="11"/>
  <c r="M62" i="11"/>
  <c r="M63" i="11"/>
  <c r="M64" i="11"/>
  <c r="M66" i="11"/>
  <c r="M67" i="11"/>
  <c r="M68" i="11"/>
  <c r="M69" i="11"/>
  <c r="M70" i="11"/>
  <c r="M71" i="11"/>
  <c r="M73" i="11"/>
  <c r="M74" i="11"/>
  <c r="M75" i="11"/>
  <c r="M76" i="11"/>
  <c r="M77" i="11"/>
  <c r="M79" i="11"/>
  <c r="L16" i="11"/>
  <c r="L17" i="11"/>
  <c r="L18" i="11"/>
  <c r="L19" i="11"/>
  <c r="L20" i="11"/>
  <c r="L21" i="11"/>
  <c r="L22" i="11"/>
  <c r="L23" i="11"/>
  <c r="L24" i="11"/>
  <c r="L25" i="11"/>
  <c r="L26" i="11"/>
  <c r="L27" i="11"/>
  <c r="L28" i="11"/>
  <c r="L29" i="11"/>
  <c r="L30" i="11"/>
  <c r="L31" i="11"/>
  <c r="L32" i="11"/>
  <c r="L33" i="11"/>
  <c r="L34" i="11"/>
  <c r="L35" i="11"/>
  <c r="L37" i="11"/>
  <c r="L39" i="11"/>
  <c r="L40" i="11"/>
  <c r="L42" i="11"/>
  <c r="L43" i="11"/>
  <c r="L44" i="11"/>
  <c r="L45" i="11"/>
  <c r="L46" i="11"/>
  <c r="L47" i="11"/>
  <c r="L49" i="11"/>
  <c r="L50" i="11"/>
  <c r="L51" i="11"/>
  <c r="L52" i="11"/>
  <c r="L53" i="11"/>
  <c r="L54" i="11"/>
  <c r="L55" i="11"/>
  <c r="L56" i="11"/>
  <c r="L57" i="11"/>
  <c r="L58" i="11"/>
  <c r="L59" i="11"/>
  <c r="L60" i="11"/>
  <c r="L61" i="11"/>
  <c r="L62" i="11"/>
  <c r="L63" i="11"/>
  <c r="L64" i="11"/>
  <c r="L67" i="11"/>
  <c r="L68" i="11"/>
  <c r="L69" i="11"/>
  <c r="L70" i="11"/>
  <c r="L71" i="11"/>
  <c r="L73" i="11"/>
  <c r="L74" i="11"/>
  <c r="L75" i="11"/>
  <c r="L76" i="11"/>
  <c r="L77" i="11"/>
  <c r="L79" i="11"/>
  <c r="P15" i="11"/>
  <c r="M15" i="11"/>
  <c r="O15" i="11"/>
  <c r="L15" i="11"/>
  <c r="P41" i="10"/>
  <c r="M41" i="10"/>
  <c r="P76" i="10"/>
  <c r="M76" i="10"/>
  <c r="P16" i="10"/>
  <c r="P17" i="10"/>
  <c r="P18" i="10"/>
  <c r="P19" i="10"/>
  <c r="P20" i="10"/>
  <c r="P42" i="10"/>
  <c r="P43" i="10"/>
  <c r="P44" i="10"/>
  <c r="P45" i="10"/>
  <c r="P46" i="10"/>
  <c r="P50" i="10"/>
  <c r="P51" i="10"/>
  <c r="P52" i="10"/>
  <c r="P53" i="10"/>
  <c r="P54" i="10"/>
  <c r="P55" i="10"/>
  <c r="P56" i="10"/>
  <c r="P60" i="10"/>
  <c r="P61" i="10"/>
  <c r="P63" i="10"/>
  <c r="P64" i="10"/>
  <c r="P65" i="10"/>
  <c r="P66" i="10"/>
  <c r="P67" i="10"/>
  <c r="P68" i="10"/>
  <c r="P69" i="10"/>
  <c r="P70" i="10"/>
  <c r="P71" i="10"/>
  <c r="P72" i="10"/>
  <c r="P73" i="10"/>
  <c r="P77" i="10"/>
  <c r="P78" i="10"/>
  <c r="P79" i="10"/>
  <c r="P80" i="10"/>
  <c r="P81" i="10"/>
  <c r="P82" i="10"/>
  <c r="P85" i="10"/>
  <c r="O16" i="10"/>
  <c r="O17" i="10"/>
  <c r="O18" i="10"/>
  <c r="O19" i="10"/>
  <c r="O20" i="10"/>
  <c r="O21" i="10"/>
  <c r="O22" i="10"/>
  <c r="O23" i="10"/>
  <c r="O24" i="10"/>
  <c r="O25" i="10"/>
  <c r="O26" i="10"/>
  <c r="O27" i="10"/>
  <c r="O28" i="10"/>
  <c r="O29" i="10"/>
  <c r="O30" i="10"/>
  <c r="O31" i="10"/>
  <c r="O32" i="10"/>
  <c r="O33" i="10"/>
  <c r="O34" i="10"/>
  <c r="O35" i="10"/>
  <c r="O36" i="10"/>
  <c r="O37" i="10"/>
  <c r="O38" i="10"/>
  <c r="O40" i="10"/>
  <c r="O42" i="10"/>
  <c r="O43" i="10"/>
  <c r="O44" i="10"/>
  <c r="O45" i="10"/>
  <c r="O46" i="10"/>
  <c r="O48" i="10"/>
  <c r="O49" i="10"/>
  <c r="O50" i="10"/>
  <c r="O51" i="10"/>
  <c r="O52" i="10"/>
  <c r="O53" i="10"/>
  <c r="O54" i="10"/>
  <c r="O55" i="10"/>
  <c r="O56" i="10"/>
  <c r="O58" i="10"/>
  <c r="O59" i="10"/>
  <c r="O60" i="10"/>
  <c r="O61" i="10"/>
  <c r="O62" i="10"/>
  <c r="O63" i="10"/>
  <c r="O64" i="10"/>
  <c r="O65" i="10"/>
  <c r="O66" i="10"/>
  <c r="O67" i="10"/>
  <c r="O68" i="10"/>
  <c r="O69" i="10"/>
  <c r="O70" i="10"/>
  <c r="O71" i="10"/>
  <c r="O72" i="10"/>
  <c r="O73" i="10"/>
  <c r="O74" i="10"/>
  <c r="O75" i="10"/>
  <c r="O77" i="10"/>
  <c r="O78" i="10"/>
  <c r="O79" i="10"/>
  <c r="O80" i="10"/>
  <c r="O81" i="10"/>
  <c r="O82" i="10"/>
  <c r="O84" i="10"/>
  <c r="O85" i="10"/>
  <c r="O86" i="10"/>
  <c r="O87" i="10"/>
  <c r="O88" i="10"/>
  <c r="O90" i="10"/>
  <c r="N16" i="10"/>
  <c r="N17" i="10"/>
  <c r="N18" i="10"/>
  <c r="N19" i="10"/>
  <c r="N20" i="10"/>
  <c r="N21" i="10"/>
  <c r="P21" i="10" s="1"/>
  <c r="N22" i="10"/>
  <c r="P22" i="10" s="1"/>
  <c r="N23" i="10"/>
  <c r="P23" i="10" s="1"/>
  <c r="N24" i="10"/>
  <c r="P24" i="10" s="1"/>
  <c r="N25" i="10"/>
  <c r="P25" i="10" s="1"/>
  <c r="N26" i="10"/>
  <c r="P26" i="10" s="1"/>
  <c r="N27" i="10"/>
  <c r="P27" i="10" s="1"/>
  <c r="N28" i="10"/>
  <c r="P28" i="10" s="1"/>
  <c r="N29" i="10"/>
  <c r="P29" i="10" s="1"/>
  <c r="N30" i="10"/>
  <c r="P30" i="10" s="1"/>
  <c r="N31" i="10"/>
  <c r="P31" i="10" s="1"/>
  <c r="N32" i="10"/>
  <c r="P32" i="10" s="1"/>
  <c r="N33" i="10"/>
  <c r="P33" i="10" s="1"/>
  <c r="N34" i="10"/>
  <c r="P34" i="10" s="1"/>
  <c r="N35" i="10"/>
  <c r="P35" i="10" s="1"/>
  <c r="N36" i="10"/>
  <c r="P36" i="10" s="1"/>
  <c r="N37" i="10"/>
  <c r="P37" i="10" s="1"/>
  <c r="N38" i="10"/>
  <c r="P38" i="10" s="1"/>
  <c r="N40" i="10"/>
  <c r="P40" i="10" s="1"/>
  <c r="P39" i="10" s="1"/>
  <c r="N42" i="10"/>
  <c r="N43" i="10"/>
  <c r="N44" i="10"/>
  <c r="N45" i="10"/>
  <c r="N46" i="10"/>
  <c r="N48" i="10"/>
  <c r="P48" i="10" s="1"/>
  <c r="N49" i="10"/>
  <c r="P49" i="10" s="1"/>
  <c r="N50" i="10"/>
  <c r="N51" i="10"/>
  <c r="N52" i="10"/>
  <c r="N53" i="10"/>
  <c r="N54" i="10"/>
  <c r="N55" i="10"/>
  <c r="N56" i="10"/>
  <c r="N58" i="10"/>
  <c r="P58" i="10" s="1"/>
  <c r="N59" i="10"/>
  <c r="P59" i="10" s="1"/>
  <c r="N60" i="10"/>
  <c r="N61" i="10"/>
  <c r="N62" i="10"/>
  <c r="P62" i="10" s="1"/>
  <c r="N63" i="10"/>
  <c r="N64" i="10"/>
  <c r="N65" i="10"/>
  <c r="N66" i="10"/>
  <c r="N67" i="10"/>
  <c r="N68" i="10"/>
  <c r="N69" i="10"/>
  <c r="N70" i="10"/>
  <c r="N71" i="10"/>
  <c r="N72" i="10"/>
  <c r="N73" i="10"/>
  <c r="N74" i="10"/>
  <c r="P74" i="10" s="1"/>
  <c r="N75" i="10"/>
  <c r="P75" i="10" s="1"/>
  <c r="N77" i="10"/>
  <c r="N78" i="10"/>
  <c r="N79" i="10"/>
  <c r="N80" i="10"/>
  <c r="N81" i="10"/>
  <c r="N82" i="10"/>
  <c r="N84" i="10"/>
  <c r="P84" i="10" s="1"/>
  <c r="N85" i="10"/>
  <c r="N86" i="10"/>
  <c r="P86" i="10" s="1"/>
  <c r="N87" i="10"/>
  <c r="P87" i="10" s="1"/>
  <c r="N88" i="10"/>
  <c r="P88" i="10" s="1"/>
  <c r="N90" i="10"/>
  <c r="P90" i="10" s="1"/>
  <c r="P89" i="10" s="1"/>
  <c r="M16" i="10"/>
  <c r="M17" i="10"/>
  <c r="M18" i="10"/>
  <c r="M19" i="10"/>
  <c r="M20" i="10"/>
  <c r="M21" i="10"/>
  <c r="M22" i="10"/>
  <c r="M23" i="10"/>
  <c r="M24" i="10"/>
  <c r="M25" i="10"/>
  <c r="M26" i="10"/>
  <c r="M27" i="10"/>
  <c r="M28" i="10"/>
  <c r="M29" i="10"/>
  <c r="M30" i="10"/>
  <c r="M31" i="10"/>
  <c r="M32" i="10"/>
  <c r="M33" i="10"/>
  <c r="M34" i="10"/>
  <c r="M35" i="10"/>
  <c r="M36" i="10"/>
  <c r="M37" i="10"/>
  <c r="M38" i="10"/>
  <c r="M40" i="10"/>
  <c r="M39" i="10" s="1"/>
  <c r="M42" i="10"/>
  <c r="M43" i="10"/>
  <c r="M44" i="10"/>
  <c r="M45" i="10"/>
  <c r="M46" i="10"/>
  <c r="M48" i="10"/>
  <c r="M49" i="10"/>
  <c r="M50" i="10"/>
  <c r="M51" i="10"/>
  <c r="M52" i="10"/>
  <c r="M53" i="10"/>
  <c r="M54" i="10"/>
  <c r="M55" i="10"/>
  <c r="M56" i="10"/>
  <c r="M58" i="10"/>
  <c r="M59" i="10"/>
  <c r="M60" i="10"/>
  <c r="M61" i="10"/>
  <c r="M62" i="10"/>
  <c r="M63" i="10"/>
  <c r="M64" i="10"/>
  <c r="M65" i="10"/>
  <c r="M66" i="10"/>
  <c r="M67" i="10"/>
  <c r="M68" i="10"/>
  <c r="M69" i="10"/>
  <c r="M70" i="10"/>
  <c r="M71" i="10"/>
  <c r="M72" i="10"/>
  <c r="M73" i="10"/>
  <c r="M74" i="10"/>
  <c r="M75" i="10"/>
  <c r="M77" i="10"/>
  <c r="M78" i="10"/>
  <c r="M79" i="10"/>
  <c r="M80" i="10"/>
  <c r="M81" i="10"/>
  <c r="M82" i="10"/>
  <c r="M84" i="10"/>
  <c r="M85" i="10"/>
  <c r="M86" i="10"/>
  <c r="M87" i="10"/>
  <c r="M88" i="10"/>
  <c r="M90" i="10"/>
  <c r="M89" i="10" s="1"/>
  <c r="M15" i="10"/>
  <c r="L16" i="10"/>
  <c r="L17" i="10"/>
  <c r="L18" i="10"/>
  <c r="L19" i="10"/>
  <c r="L20" i="10"/>
  <c r="L21" i="10"/>
  <c r="L22" i="10"/>
  <c r="L23" i="10"/>
  <c r="L24" i="10"/>
  <c r="L25" i="10"/>
  <c r="L26" i="10"/>
  <c r="L27" i="10"/>
  <c r="L28" i="10"/>
  <c r="L29" i="10"/>
  <c r="L30" i="10"/>
  <c r="L31" i="10"/>
  <c r="L32" i="10"/>
  <c r="L33" i="10"/>
  <c r="L34" i="10"/>
  <c r="L35" i="10"/>
  <c r="L36" i="10"/>
  <c r="L37" i="10"/>
  <c r="L38" i="10"/>
  <c r="L40" i="10"/>
  <c r="L42" i="10"/>
  <c r="L43" i="10"/>
  <c r="L44" i="10"/>
  <c r="L45" i="10"/>
  <c r="L46" i="10"/>
  <c r="L48" i="10"/>
  <c r="L49" i="10"/>
  <c r="L50" i="10"/>
  <c r="L51" i="10"/>
  <c r="L52" i="10"/>
  <c r="L53" i="10"/>
  <c r="L54" i="10"/>
  <c r="L55" i="10"/>
  <c r="L56" i="10"/>
  <c r="L58" i="10"/>
  <c r="L59" i="10"/>
  <c r="L60" i="10"/>
  <c r="L61" i="10"/>
  <c r="L62" i="10"/>
  <c r="L63" i="10"/>
  <c r="L64" i="10"/>
  <c r="L65" i="10"/>
  <c r="L66" i="10"/>
  <c r="L67" i="10"/>
  <c r="L68" i="10"/>
  <c r="L69" i="10"/>
  <c r="L70" i="10"/>
  <c r="L71" i="10"/>
  <c r="L72" i="10"/>
  <c r="L73" i="10"/>
  <c r="L74" i="10"/>
  <c r="L75" i="10"/>
  <c r="L77" i="10"/>
  <c r="L78" i="10"/>
  <c r="L79" i="10"/>
  <c r="L80" i="10"/>
  <c r="L81" i="10"/>
  <c r="L82" i="10"/>
  <c r="L84" i="10"/>
  <c r="L85" i="10"/>
  <c r="L86" i="10"/>
  <c r="L87" i="10"/>
  <c r="L88" i="10"/>
  <c r="L90" i="10"/>
  <c r="P15" i="10"/>
  <c r="O15" i="10"/>
  <c r="N15" i="10"/>
  <c r="L15" i="10"/>
  <c r="P16" i="9"/>
  <c r="P17" i="9"/>
  <c r="P18" i="9"/>
  <c r="P40" i="9"/>
  <c r="P41" i="9"/>
  <c r="P42" i="9"/>
  <c r="P43" i="9"/>
  <c r="P45" i="9"/>
  <c r="P46" i="9"/>
  <c r="P47" i="9"/>
  <c r="P48" i="9"/>
  <c r="P49" i="9"/>
  <c r="P53" i="9"/>
  <c r="P54" i="9"/>
  <c r="P56" i="9"/>
  <c r="P57" i="9"/>
  <c r="P58" i="9"/>
  <c r="P59" i="9"/>
  <c r="P60" i="9"/>
  <c r="P61" i="9"/>
  <c r="P62" i="9"/>
  <c r="P63" i="9"/>
  <c r="P64" i="9"/>
  <c r="P65" i="9"/>
  <c r="P69" i="9"/>
  <c r="P70" i="9"/>
  <c r="P71" i="9"/>
  <c r="P72" i="9"/>
  <c r="P75" i="9"/>
  <c r="O16" i="9"/>
  <c r="O17" i="9"/>
  <c r="O18" i="9"/>
  <c r="O19" i="9"/>
  <c r="O20" i="9"/>
  <c r="O21" i="9"/>
  <c r="O22" i="9"/>
  <c r="O23" i="9"/>
  <c r="O24" i="9"/>
  <c r="O25" i="9"/>
  <c r="O26" i="9"/>
  <c r="O27" i="9"/>
  <c r="O28" i="9"/>
  <c r="O29" i="9"/>
  <c r="O30" i="9"/>
  <c r="O31" i="9"/>
  <c r="O32" i="9"/>
  <c r="O33" i="9"/>
  <c r="O34" i="9"/>
  <c r="O35" i="9"/>
  <c r="O36" i="9"/>
  <c r="O38" i="9"/>
  <c r="O40" i="9"/>
  <c r="O41" i="9"/>
  <c r="O42" i="9"/>
  <c r="O43" i="9"/>
  <c r="O45" i="9"/>
  <c r="O46" i="9"/>
  <c r="O47" i="9"/>
  <c r="O48" i="9"/>
  <c r="O49" i="9"/>
  <c r="O51" i="9"/>
  <c r="O52" i="9"/>
  <c r="O53" i="9"/>
  <c r="O54" i="9"/>
  <c r="O55" i="9"/>
  <c r="O56" i="9"/>
  <c r="O57" i="9"/>
  <c r="O58" i="9"/>
  <c r="O59" i="9"/>
  <c r="O60" i="9"/>
  <c r="O61" i="9"/>
  <c r="O62" i="9"/>
  <c r="O63" i="9"/>
  <c r="O64" i="9"/>
  <c r="O65" i="9"/>
  <c r="O66" i="9"/>
  <c r="O67" i="9"/>
  <c r="O69" i="9"/>
  <c r="O70" i="9"/>
  <c r="O71" i="9"/>
  <c r="O72" i="9"/>
  <c r="O74" i="9"/>
  <c r="O75" i="9"/>
  <c r="O76" i="9"/>
  <c r="O78" i="9"/>
  <c r="N16" i="9"/>
  <c r="N17" i="9"/>
  <c r="N18" i="9"/>
  <c r="N19" i="9"/>
  <c r="P19" i="9" s="1"/>
  <c r="N20" i="9"/>
  <c r="P20" i="9" s="1"/>
  <c r="N21" i="9"/>
  <c r="P21" i="9" s="1"/>
  <c r="N22" i="9"/>
  <c r="P22" i="9" s="1"/>
  <c r="N23" i="9"/>
  <c r="P23" i="9" s="1"/>
  <c r="N24" i="9"/>
  <c r="P24" i="9" s="1"/>
  <c r="N25" i="9"/>
  <c r="P25" i="9" s="1"/>
  <c r="N26" i="9"/>
  <c r="P26" i="9" s="1"/>
  <c r="N27" i="9"/>
  <c r="P27" i="9" s="1"/>
  <c r="N28" i="9"/>
  <c r="P28" i="9" s="1"/>
  <c r="N29" i="9"/>
  <c r="P29" i="9" s="1"/>
  <c r="N30" i="9"/>
  <c r="P30" i="9" s="1"/>
  <c r="N31" i="9"/>
  <c r="P31" i="9" s="1"/>
  <c r="N32" i="9"/>
  <c r="P32" i="9" s="1"/>
  <c r="N33" i="9"/>
  <c r="P33" i="9" s="1"/>
  <c r="N34" i="9"/>
  <c r="P34" i="9" s="1"/>
  <c r="N35" i="9"/>
  <c r="P35" i="9" s="1"/>
  <c r="N36" i="9"/>
  <c r="P36" i="9" s="1"/>
  <c r="N38" i="9"/>
  <c r="P38" i="9" s="1"/>
  <c r="P37" i="9" s="1"/>
  <c r="N40" i="9"/>
  <c r="N41" i="9"/>
  <c r="N42" i="9"/>
  <c r="N43" i="9"/>
  <c r="N45" i="9"/>
  <c r="N46" i="9"/>
  <c r="N47" i="9"/>
  <c r="N48" i="9"/>
  <c r="N49" i="9"/>
  <c r="N51" i="9"/>
  <c r="P51" i="9" s="1"/>
  <c r="N52" i="9"/>
  <c r="P52" i="9" s="1"/>
  <c r="N53" i="9"/>
  <c r="N54" i="9"/>
  <c r="N55" i="9"/>
  <c r="P55" i="9" s="1"/>
  <c r="N56" i="9"/>
  <c r="N57" i="9"/>
  <c r="N58" i="9"/>
  <c r="N59" i="9"/>
  <c r="N60" i="9"/>
  <c r="N61" i="9"/>
  <c r="N62" i="9"/>
  <c r="N63" i="9"/>
  <c r="N64" i="9"/>
  <c r="N65" i="9"/>
  <c r="N66" i="9"/>
  <c r="P66" i="9" s="1"/>
  <c r="N67" i="9"/>
  <c r="P67" i="9" s="1"/>
  <c r="N69" i="9"/>
  <c r="N70" i="9"/>
  <c r="N71" i="9"/>
  <c r="N72" i="9"/>
  <c r="N74" i="9"/>
  <c r="P74" i="9" s="1"/>
  <c r="N75" i="9"/>
  <c r="N76" i="9"/>
  <c r="P76" i="9" s="1"/>
  <c r="N78" i="9"/>
  <c r="P78" i="9" s="1"/>
  <c r="P77" i="9" s="1"/>
  <c r="L16" i="9"/>
  <c r="L17" i="9"/>
  <c r="L18" i="9"/>
  <c r="L19" i="9"/>
  <c r="L20" i="9"/>
  <c r="L21" i="9"/>
  <c r="L22" i="9"/>
  <c r="L23" i="9"/>
  <c r="L24" i="9"/>
  <c r="L25" i="9"/>
  <c r="L26" i="9"/>
  <c r="L27" i="9"/>
  <c r="L28" i="9"/>
  <c r="L29" i="9"/>
  <c r="L30" i="9"/>
  <c r="L31" i="9"/>
  <c r="L32" i="9"/>
  <c r="L33" i="9"/>
  <c r="L34" i="9"/>
  <c r="L35" i="9"/>
  <c r="L36" i="9"/>
  <c r="L38" i="9"/>
  <c r="L40" i="9"/>
  <c r="L41" i="9"/>
  <c r="L42" i="9"/>
  <c r="L43" i="9"/>
  <c r="L45" i="9"/>
  <c r="L46" i="9"/>
  <c r="L47" i="9"/>
  <c r="L48" i="9"/>
  <c r="L49" i="9"/>
  <c r="L51" i="9"/>
  <c r="L52" i="9"/>
  <c r="L53" i="9"/>
  <c r="L54" i="9"/>
  <c r="L55" i="9"/>
  <c r="L56" i="9"/>
  <c r="L57" i="9"/>
  <c r="L58" i="9"/>
  <c r="L59" i="9"/>
  <c r="L60" i="9"/>
  <c r="L61" i="9"/>
  <c r="L62" i="9"/>
  <c r="L63" i="9"/>
  <c r="L64" i="9"/>
  <c r="L65" i="9"/>
  <c r="L66" i="9"/>
  <c r="L67" i="9"/>
  <c r="L69" i="9"/>
  <c r="L70" i="9"/>
  <c r="L71" i="9"/>
  <c r="L72" i="9"/>
  <c r="L74" i="9"/>
  <c r="L75" i="9"/>
  <c r="L76" i="9"/>
  <c r="L78" i="9"/>
  <c r="P15" i="9"/>
  <c r="O15" i="9"/>
  <c r="N15" i="9"/>
  <c r="L15" i="9"/>
  <c r="M78" i="8"/>
  <c r="M48" i="8"/>
  <c r="M42" i="8"/>
  <c r="M16" i="8"/>
  <c r="M17" i="8"/>
  <c r="M18" i="8"/>
  <c r="M19" i="8"/>
  <c r="M20" i="8"/>
  <c r="M21" i="8"/>
  <c r="M22" i="8"/>
  <c r="M23" i="8"/>
  <c r="M24" i="8"/>
  <c r="M25" i="8"/>
  <c r="M26" i="8"/>
  <c r="M27" i="8"/>
  <c r="M28" i="8"/>
  <c r="M29" i="8"/>
  <c r="M30" i="8"/>
  <c r="M31" i="8"/>
  <c r="M32" i="8"/>
  <c r="M33" i="8"/>
  <c r="M34" i="8"/>
  <c r="M35" i="8"/>
  <c r="M36" i="8"/>
  <c r="M37" i="8"/>
  <c r="M38" i="8"/>
  <c r="M39" i="8"/>
  <c r="M41" i="8"/>
  <c r="M40" i="8" s="1"/>
  <c r="M43" i="8"/>
  <c r="M44" i="8"/>
  <c r="M45" i="8"/>
  <c r="M46" i="8"/>
  <c r="M47" i="8"/>
  <c r="M49" i="8"/>
  <c r="M50" i="8"/>
  <c r="M51" i="8"/>
  <c r="M52" i="8"/>
  <c r="M53" i="8"/>
  <c r="M54" i="8"/>
  <c r="M55" i="8"/>
  <c r="M56" i="8"/>
  <c r="M57" i="8"/>
  <c r="M58" i="8"/>
  <c r="M60" i="8"/>
  <c r="M61" i="8"/>
  <c r="M62" i="8"/>
  <c r="M63" i="8"/>
  <c r="M64" i="8"/>
  <c r="M65" i="8"/>
  <c r="M66" i="8"/>
  <c r="M67" i="8"/>
  <c r="M68" i="8"/>
  <c r="M69" i="8"/>
  <c r="M70" i="8"/>
  <c r="M71" i="8"/>
  <c r="M72" i="8"/>
  <c r="M73" i="8"/>
  <c r="M74" i="8"/>
  <c r="M75" i="8"/>
  <c r="M76" i="8"/>
  <c r="M77" i="8"/>
  <c r="M79" i="8"/>
  <c r="M80" i="8"/>
  <c r="M81" i="8"/>
  <c r="M82" i="8"/>
  <c r="M83" i="8"/>
  <c r="M84" i="8"/>
  <c r="M86" i="8"/>
  <c r="M87" i="8"/>
  <c r="M88" i="8"/>
  <c r="M89" i="8"/>
  <c r="M90" i="8"/>
  <c r="M92" i="8"/>
  <c r="M91" i="8" s="1"/>
  <c r="P16" i="8"/>
  <c r="P17" i="8"/>
  <c r="P18" i="8"/>
  <c r="P19" i="8"/>
  <c r="P20" i="8"/>
  <c r="P21" i="8"/>
  <c r="P43" i="8"/>
  <c r="P42" i="8" s="1"/>
  <c r="P44" i="8"/>
  <c r="P45" i="8"/>
  <c r="P46" i="8"/>
  <c r="P47" i="8"/>
  <c r="P49" i="8"/>
  <c r="P48" i="8" s="1"/>
  <c r="P50" i="8"/>
  <c r="P51" i="8"/>
  <c r="P52" i="8"/>
  <c r="P53" i="8"/>
  <c r="P54" i="8"/>
  <c r="P55" i="8"/>
  <c r="P56" i="8"/>
  <c r="P57" i="8"/>
  <c r="P58" i="8"/>
  <c r="P62" i="8"/>
  <c r="P63" i="8"/>
  <c r="P65" i="8"/>
  <c r="P66" i="8"/>
  <c r="P67" i="8"/>
  <c r="P68" i="8"/>
  <c r="P69" i="8"/>
  <c r="P70" i="8"/>
  <c r="P71" i="8"/>
  <c r="P72" i="8"/>
  <c r="P73" i="8"/>
  <c r="P74" i="8"/>
  <c r="P75" i="8"/>
  <c r="P79" i="8"/>
  <c r="P78" i="8" s="1"/>
  <c r="P80" i="8"/>
  <c r="P81" i="8"/>
  <c r="P82" i="8"/>
  <c r="P83" i="8"/>
  <c r="P84" i="8"/>
  <c r="P87" i="8"/>
  <c r="O16" i="8"/>
  <c r="O17" i="8"/>
  <c r="O18" i="8"/>
  <c r="O19" i="8"/>
  <c r="O20" i="8"/>
  <c r="O21" i="8"/>
  <c r="O22" i="8"/>
  <c r="O23" i="8"/>
  <c r="O24" i="8"/>
  <c r="O25" i="8"/>
  <c r="O26" i="8"/>
  <c r="O27" i="8"/>
  <c r="O28" i="8"/>
  <c r="O29" i="8"/>
  <c r="O30" i="8"/>
  <c r="O31" i="8"/>
  <c r="O32" i="8"/>
  <c r="O33" i="8"/>
  <c r="O34" i="8"/>
  <c r="O35" i="8"/>
  <c r="O36" i="8"/>
  <c r="O37" i="8"/>
  <c r="O38" i="8"/>
  <c r="O39" i="8"/>
  <c r="O41" i="8"/>
  <c r="O43" i="8"/>
  <c r="O44" i="8"/>
  <c r="O45" i="8"/>
  <c r="O46" i="8"/>
  <c r="O47" i="8"/>
  <c r="O49" i="8"/>
  <c r="O50" i="8"/>
  <c r="O51" i="8"/>
  <c r="O52" i="8"/>
  <c r="O53" i="8"/>
  <c r="O54" i="8"/>
  <c r="O55" i="8"/>
  <c r="O56" i="8"/>
  <c r="O57" i="8"/>
  <c r="O58" i="8"/>
  <c r="O60" i="8"/>
  <c r="O61" i="8"/>
  <c r="O62" i="8"/>
  <c r="O63" i="8"/>
  <c r="O64" i="8"/>
  <c r="O65" i="8"/>
  <c r="O66" i="8"/>
  <c r="O67" i="8"/>
  <c r="O68" i="8"/>
  <c r="O69" i="8"/>
  <c r="O70" i="8"/>
  <c r="O71" i="8"/>
  <c r="O72" i="8"/>
  <c r="O73" i="8"/>
  <c r="O74" i="8"/>
  <c r="O75" i="8"/>
  <c r="O76" i="8"/>
  <c r="O77" i="8"/>
  <c r="O79" i="8"/>
  <c r="O80" i="8"/>
  <c r="O81" i="8"/>
  <c r="O82" i="8"/>
  <c r="O83" i="8"/>
  <c r="O84" i="8"/>
  <c r="O86" i="8"/>
  <c r="O87" i="8"/>
  <c r="O88" i="8"/>
  <c r="O89" i="8"/>
  <c r="O90" i="8"/>
  <c r="O92" i="8"/>
  <c r="L16" i="8"/>
  <c r="L17" i="8"/>
  <c r="L18" i="8"/>
  <c r="L19" i="8"/>
  <c r="L20" i="8"/>
  <c r="L21" i="8"/>
  <c r="L22" i="8"/>
  <c r="L23" i="8"/>
  <c r="L24" i="8"/>
  <c r="L25" i="8"/>
  <c r="L26" i="8"/>
  <c r="L27" i="8"/>
  <c r="L28" i="8"/>
  <c r="L29" i="8"/>
  <c r="L30" i="8"/>
  <c r="L31" i="8"/>
  <c r="L32" i="8"/>
  <c r="L33" i="8"/>
  <c r="L34" i="8"/>
  <c r="L35" i="8"/>
  <c r="L36" i="8"/>
  <c r="L37" i="8"/>
  <c r="L38" i="8"/>
  <c r="L39" i="8"/>
  <c r="L41" i="8"/>
  <c r="L43" i="8"/>
  <c r="L44" i="8"/>
  <c r="L45" i="8"/>
  <c r="L46" i="8"/>
  <c r="L47" i="8"/>
  <c r="L49" i="8"/>
  <c r="L50" i="8"/>
  <c r="L51" i="8"/>
  <c r="L52" i="8"/>
  <c r="L53" i="8"/>
  <c r="L54" i="8"/>
  <c r="L55" i="8"/>
  <c r="L56" i="8"/>
  <c r="L57" i="8"/>
  <c r="L58" i="8"/>
  <c r="L60" i="8"/>
  <c r="L61" i="8"/>
  <c r="L62" i="8"/>
  <c r="L63" i="8"/>
  <c r="L64" i="8"/>
  <c r="L65" i="8"/>
  <c r="L66" i="8"/>
  <c r="L67" i="8"/>
  <c r="L68" i="8"/>
  <c r="L69" i="8"/>
  <c r="L70" i="8"/>
  <c r="L71" i="8"/>
  <c r="L72" i="8"/>
  <c r="L73" i="8"/>
  <c r="L74" i="8"/>
  <c r="L75" i="8"/>
  <c r="L76" i="8"/>
  <c r="L77" i="8"/>
  <c r="L79" i="8"/>
  <c r="L80" i="8"/>
  <c r="L81" i="8"/>
  <c r="L82" i="8"/>
  <c r="L83" i="8"/>
  <c r="L84" i="8"/>
  <c r="L86" i="8"/>
  <c r="L87" i="8"/>
  <c r="L88" i="8"/>
  <c r="L89" i="8"/>
  <c r="L90" i="8"/>
  <c r="L92" i="8"/>
  <c r="P15" i="8"/>
  <c r="O15" i="8"/>
  <c r="N15" i="8"/>
  <c r="M15" i="8"/>
  <c r="L15" i="8"/>
  <c r="M70" i="7"/>
  <c r="M43" i="7"/>
  <c r="M40" i="7"/>
  <c r="P16" i="7"/>
  <c r="P17" i="7"/>
  <c r="P18" i="7"/>
  <c r="P19" i="7"/>
  <c r="P20" i="7"/>
  <c r="P41" i="7"/>
  <c r="P40" i="7" s="1"/>
  <c r="P42" i="7"/>
  <c r="P44" i="7"/>
  <c r="P45" i="7"/>
  <c r="P46" i="7"/>
  <c r="P47" i="7"/>
  <c r="P48" i="7"/>
  <c r="P49" i="7"/>
  <c r="P50" i="7"/>
  <c r="P51" i="7"/>
  <c r="P52" i="7"/>
  <c r="P56" i="7"/>
  <c r="P57" i="7"/>
  <c r="P59" i="7"/>
  <c r="P60" i="7"/>
  <c r="P61" i="7"/>
  <c r="P62" i="7"/>
  <c r="P63" i="7"/>
  <c r="P64" i="7"/>
  <c r="P65" i="7"/>
  <c r="P66" i="7"/>
  <c r="P67" i="7"/>
  <c r="P71" i="7"/>
  <c r="P72" i="7"/>
  <c r="P73" i="7"/>
  <c r="P74" i="7"/>
  <c r="P75" i="7"/>
  <c r="P76" i="7"/>
  <c r="P79" i="7"/>
  <c r="O16" i="7"/>
  <c r="O17" i="7"/>
  <c r="O18" i="7"/>
  <c r="O19" i="7"/>
  <c r="O20" i="7"/>
  <c r="O21" i="7"/>
  <c r="O22" i="7"/>
  <c r="O23" i="7"/>
  <c r="O24" i="7"/>
  <c r="O25" i="7"/>
  <c r="O26" i="7"/>
  <c r="O27" i="7"/>
  <c r="O28" i="7"/>
  <c r="O29" i="7"/>
  <c r="O30" i="7"/>
  <c r="O31" i="7"/>
  <c r="O32" i="7"/>
  <c r="O33" i="7"/>
  <c r="O34" i="7"/>
  <c r="O35" i="7"/>
  <c r="O36" i="7"/>
  <c r="O37" i="7"/>
  <c r="O39" i="7"/>
  <c r="O41" i="7"/>
  <c r="O42" i="7"/>
  <c r="O44" i="7"/>
  <c r="O45" i="7"/>
  <c r="O46" i="7"/>
  <c r="O47" i="7"/>
  <c r="O48" i="7"/>
  <c r="O49" i="7"/>
  <c r="O50" i="7"/>
  <c r="O51" i="7"/>
  <c r="O52" i="7"/>
  <c r="O54" i="7"/>
  <c r="O55" i="7"/>
  <c r="O56" i="7"/>
  <c r="O57" i="7"/>
  <c r="O58" i="7"/>
  <c r="O59" i="7"/>
  <c r="O60" i="7"/>
  <c r="O61" i="7"/>
  <c r="O62" i="7"/>
  <c r="O63" i="7"/>
  <c r="O64" i="7"/>
  <c r="O65" i="7"/>
  <c r="O66" i="7"/>
  <c r="O67" i="7"/>
  <c r="O68" i="7"/>
  <c r="O69" i="7"/>
  <c r="O71" i="7"/>
  <c r="O72" i="7"/>
  <c r="O73" i="7"/>
  <c r="O74" i="7"/>
  <c r="O75" i="7"/>
  <c r="O76" i="7"/>
  <c r="O78" i="7"/>
  <c r="O79" i="7"/>
  <c r="O80" i="7"/>
  <c r="O81" i="7"/>
  <c r="O82" i="7"/>
  <c r="O84" i="7"/>
  <c r="M16" i="7"/>
  <c r="M17" i="7"/>
  <c r="M18" i="7"/>
  <c r="M19" i="7"/>
  <c r="M20" i="7"/>
  <c r="M21" i="7"/>
  <c r="M22" i="7"/>
  <c r="M23" i="7"/>
  <c r="M24" i="7"/>
  <c r="M25" i="7"/>
  <c r="M26" i="7"/>
  <c r="M27" i="7"/>
  <c r="M28" i="7"/>
  <c r="M29" i="7"/>
  <c r="M30" i="7"/>
  <c r="M31" i="7"/>
  <c r="M32" i="7"/>
  <c r="M33" i="7"/>
  <c r="M34" i="7"/>
  <c r="M35" i="7"/>
  <c r="M36" i="7"/>
  <c r="M37" i="7"/>
  <c r="M39" i="7"/>
  <c r="M38" i="7" s="1"/>
  <c r="M41" i="7"/>
  <c r="M42" i="7"/>
  <c r="M44" i="7"/>
  <c r="M45" i="7"/>
  <c r="M46" i="7"/>
  <c r="M47" i="7"/>
  <c r="M48" i="7"/>
  <c r="M49" i="7"/>
  <c r="M50" i="7"/>
  <c r="M51" i="7"/>
  <c r="M52" i="7"/>
  <c r="M54" i="7"/>
  <c r="M53" i="7" s="1"/>
  <c r="M55" i="7"/>
  <c r="M56" i="7"/>
  <c r="M57" i="7"/>
  <c r="M58" i="7"/>
  <c r="M59" i="7"/>
  <c r="M60" i="7"/>
  <c r="M61" i="7"/>
  <c r="M62" i="7"/>
  <c r="M63" i="7"/>
  <c r="M64" i="7"/>
  <c r="M65" i="7"/>
  <c r="M66" i="7"/>
  <c r="M67" i="7"/>
  <c r="M68" i="7"/>
  <c r="M69" i="7"/>
  <c r="M71" i="7"/>
  <c r="M72" i="7"/>
  <c r="M73" i="7"/>
  <c r="M74" i="7"/>
  <c r="M75" i="7"/>
  <c r="M76" i="7"/>
  <c r="M78" i="7"/>
  <c r="M77" i="7" s="1"/>
  <c r="M79" i="7"/>
  <c r="M80" i="7"/>
  <c r="M81" i="7"/>
  <c r="M82" i="7"/>
  <c r="M84" i="7"/>
  <c r="M83" i="7" s="1"/>
  <c r="P15" i="7"/>
  <c r="M15" i="7"/>
  <c r="L16" i="7"/>
  <c r="L17" i="7"/>
  <c r="L18" i="7"/>
  <c r="L19" i="7"/>
  <c r="L20" i="7"/>
  <c r="L21" i="7"/>
  <c r="L22" i="7"/>
  <c r="L23" i="7"/>
  <c r="L24" i="7"/>
  <c r="L25" i="7"/>
  <c r="L26" i="7"/>
  <c r="L27" i="7"/>
  <c r="L28" i="7"/>
  <c r="L29" i="7"/>
  <c r="L30" i="7"/>
  <c r="L31" i="7"/>
  <c r="L32" i="7"/>
  <c r="L33" i="7"/>
  <c r="L34" i="7"/>
  <c r="L35" i="7"/>
  <c r="L36" i="7"/>
  <c r="L37" i="7"/>
  <c r="L39" i="7"/>
  <c r="L41" i="7"/>
  <c r="L42" i="7"/>
  <c r="L44" i="7"/>
  <c r="L45" i="7"/>
  <c r="L46" i="7"/>
  <c r="L47" i="7"/>
  <c r="L48" i="7"/>
  <c r="L49" i="7"/>
  <c r="L50" i="7"/>
  <c r="L51" i="7"/>
  <c r="L52" i="7"/>
  <c r="L54" i="7"/>
  <c r="L55" i="7"/>
  <c r="L56" i="7"/>
  <c r="L57" i="7"/>
  <c r="L58" i="7"/>
  <c r="L59" i="7"/>
  <c r="L60" i="7"/>
  <c r="L61" i="7"/>
  <c r="L62" i="7"/>
  <c r="L63" i="7"/>
  <c r="L64" i="7"/>
  <c r="L65" i="7"/>
  <c r="L66" i="7"/>
  <c r="L67" i="7"/>
  <c r="L68" i="7"/>
  <c r="L69" i="7"/>
  <c r="L71" i="7"/>
  <c r="L72" i="7"/>
  <c r="L73" i="7"/>
  <c r="L74" i="7"/>
  <c r="L75" i="7"/>
  <c r="L76" i="7"/>
  <c r="L78" i="7"/>
  <c r="L79" i="7"/>
  <c r="L80" i="7"/>
  <c r="L81" i="7"/>
  <c r="L82" i="7"/>
  <c r="L84" i="7"/>
  <c r="O15" i="7"/>
  <c r="L15" i="7"/>
  <c r="N15" i="7"/>
  <c r="J96" i="5"/>
  <c r="P51" i="5"/>
  <c r="O16" i="5"/>
  <c r="O17" i="5"/>
  <c r="O18" i="5"/>
  <c r="O19" i="5"/>
  <c r="O20" i="5"/>
  <c r="O21" i="5"/>
  <c r="O22" i="5"/>
  <c r="O23" i="5"/>
  <c r="O24" i="5"/>
  <c r="O25" i="5"/>
  <c r="O26" i="5"/>
  <c r="O27" i="5"/>
  <c r="O28" i="5"/>
  <c r="O29" i="5"/>
  <c r="O30" i="5"/>
  <c r="O31" i="5"/>
  <c r="O32" i="5"/>
  <c r="O33" i="5"/>
  <c r="O34" i="5"/>
  <c r="O35" i="5"/>
  <c r="O36" i="5"/>
  <c r="O37" i="5"/>
  <c r="O38" i="5"/>
  <c r="O39" i="5"/>
  <c r="O41" i="5"/>
  <c r="O43" i="5"/>
  <c r="O44" i="5"/>
  <c r="O45" i="5"/>
  <c r="O46" i="5"/>
  <c r="O47" i="5"/>
  <c r="O48" i="5"/>
  <c r="O50" i="5"/>
  <c r="O51" i="5"/>
  <c r="O52" i="5"/>
  <c r="O53" i="5"/>
  <c r="O54" i="5"/>
  <c r="O55" i="5"/>
  <c r="O56" i="5"/>
  <c r="O57" i="5"/>
  <c r="O58" i="5"/>
  <c r="O59" i="5"/>
  <c r="O61" i="5"/>
  <c r="O62" i="5"/>
  <c r="O63" i="5"/>
  <c r="O64" i="5"/>
  <c r="O65" i="5"/>
  <c r="O66" i="5"/>
  <c r="O67" i="5"/>
  <c r="O68" i="5"/>
  <c r="O69" i="5"/>
  <c r="O70" i="5"/>
  <c r="O71" i="5"/>
  <c r="O72" i="5"/>
  <c r="O73" i="5"/>
  <c r="O74" i="5"/>
  <c r="O75" i="5"/>
  <c r="O76" i="5"/>
  <c r="O77" i="5"/>
  <c r="O78" i="5"/>
  <c r="O79" i="5"/>
  <c r="O81" i="5"/>
  <c r="O82" i="5"/>
  <c r="O83" i="5"/>
  <c r="O84" i="5"/>
  <c r="O85" i="5"/>
  <c r="O86" i="5"/>
  <c r="O88" i="5"/>
  <c r="O89" i="5"/>
  <c r="O90" i="5"/>
  <c r="O91" i="5"/>
  <c r="O92" i="5"/>
  <c r="O94" i="5"/>
  <c r="O15" i="5"/>
  <c r="N16" i="5"/>
  <c r="P16" i="5" s="1"/>
  <c r="N17" i="5"/>
  <c r="P17" i="5" s="1"/>
  <c r="N18" i="5"/>
  <c r="P18" i="5" s="1"/>
  <c r="N19" i="5"/>
  <c r="P19" i="5" s="1"/>
  <c r="N20" i="5"/>
  <c r="P20" i="5" s="1"/>
  <c r="N21" i="5"/>
  <c r="P21" i="5" s="1"/>
  <c r="N22" i="5"/>
  <c r="P22" i="5" s="1"/>
  <c r="N23" i="5"/>
  <c r="P23" i="5" s="1"/>
  <c r="N24" i="5"/>
  <c r="P24" i="5" s="1"/>
  <c r="N25" i="5"/>
  <c r="P25" i="5" s="1"/>
  <c r="N26" i="5"/>
  <c r="N27" i="5"/>
  <c r="P27" i="5" s="1"/>
  <c r="N28" i="5"/>
  <c r="P28" i="5" s="1"/>
  <c r="N29" i="5"/>
  <c r="P29" i="5" s="1"/>
  <c r="N30" i="5"/>
  <c r="P30" i="5" s="1"/>
  <c r="N31" i="5"/>
  <c r="P31" i="5" s="1"/>
  <c r="N32" i="5"/>
  <c r="P32" i="5" s="1"/>
  <c r="N33" i="5"/>
  <c r="P33" i="5" s="1"/>
  <c r="N34" i="5"/>
  <c r="N35" i="5"/>
  <c r="P35" i="5" s="1"/>
  <c r="N36" i="5"/>
  <c r="P36" i="5" s="1"/>
  <c r="N37" i="5"/>
  <c r="P37" i="5" s="1"/>
  <c r="N38" i="5"/>
  <c r="P38" i="5" s="1"/>
  <c r="N39" i="5"/>
  <c r="P39" i="5" s="1"/>
  <c r="N41" i="5"/>
  <c r="P41" i="5" s="1"/>
  <c r="P40" i="5" s="1"/>
  <c r="N43" i="5"/>
  <c r="P43" i="5" s="1"/>
  <c r="N44" i="5"/>
  <c r="P44" i="5" s="1"/>
  <c r="N45" i="5"/>
  <c r="P45" i="5" s="1"/>
  <c r="N46" i="5"/>
  <c r="P46" i="5" s="1"/>
  <c r="N47" i="5"/>
  <c r="P47" i="5" s="1"/>
  <c r="N48" i="5"/>
  <c r="P48" i="5" s="1"/>
  <c r="N50" i="5"/>
  <c r="P50" i="5" s="1"/>
  <c r="N51" i="5"/>
  <c r="N52" i="5"/>
  <c r="P52" i="5" s="1"/>
  <c r="N53" i="5"/>
  <c r="P53" i="5" s="1"/>
  <c r="N54" i="5"/>
  <c r="P54" i="5" s="1"/>
  <c r="N55" i="5"/>
  <c r="P55" i="5" s="1"/>
  <c r="N56" i="5"/>
  <c r="P56" i="5" s="1"/>
  <c r="N57" i="5"/>
  <c r="P57" i="5" s="1"/>
  <c r="N58" i="5"/>
  <c r="P58" i="5" s="1"/>
  <c r="N59" i="5"/>
  <c r="P59" i="5" s="1"/>
  <c r="N61" i="5"/>
  <c r="P61" i="5" s="1"/>
  <c r="N62" i="5"/>
  <c r="N63" i="5"/>
  <c r="P63" i="5" s="1"/>
  <c r="N64" i="5"/>
  <c r="P64" i="5" s="1"/>
  <c r="N65" i="5"/>
  <c r="P65" i="5" s="1"/>
  <c r="N66" i="5"/>
  <c r="P66" i="5" s="1"/>
  <c r="N67" i="5"/>
  <c r="P67" i="5" s="1"/>
  <c r="N68" i="5"/>
  <c r="P68" i="5" s="1"/>
  <c r="N69" i="5"/>
  <c r="P69" i="5" s="1"/>
  <c r="N70" i="5"/>
  <c r="P70" i="5" s="1"/>
  <c r="N71" i="5"/>
  <c r="P71" i="5" s="1"/>
  <c r="N72" i="5"/>
  <c r="P72" i="5" s="1"/>
  <c r="N73" i="5"/>
  <c r="P73" i="5" s="1"/>
  <c r="N74" i="5"/>
  <c r="P74" i="5" s="1"/>
  <c r="N75" i="5"/>
  <c r="P75" i="5" s="1"/>
  <c r="N76" i="5"/>
  <c r="P76" i="5" s="1"/>
  <c r="N77" i="5"/>
  <c r="P77" i="5" s="1"/>
  <c r="N78" i="5"/>
  <c r="P78" i="5" s="1"/>
  <c r="N79" i="5"/>
  <c r="P79" i="5" s="1"/>
  <c r="N81" i="5"/>
  <c r="P81" i="5" s="1"/>
  <c r="N82" i="5"/>
  <c r="P82" i="5" s="1"/>
  <c r="N83" i="5"/>
  <c r="P83" i="5" s="1"/>
  <c r="N84" i="5"/>
  <c r="P84" i="5" s="1"/>
  <c r="N85" i="5"/>
  <c r="P85" i="5" s="1"/>
  <c r="N86" i="5"/>
  <c r="P86" i="5" s="1"/>
  <c r="N88" i="5"/>
  <c r="N89" i="5"/>
  <c r="P89" i="5" s="1"/>
  <c r="N90" i="5"/>
  <c r="P90" i="5" s="1"/>
  <c r="N91" i="5"/>
  <c r="P91" i="5" s="1"/>
  <c r="N92" i="5"/>
  <c r="P92" i="5" s="1"/>
  <c r="N94" i="5"/>
  <c r="P94" i="5" s="1"/>
  <c r="P93" i="5" s="1"/>
  <c r="N15" i="5"/>
  <c r="P15" i="5" s="1"/>
  <c r="M16" i="5"/>
  <c r="M24" i="5"/>
  <c r="M32" i="5"/>
  <c r="M41" i="5"/>
  <c r="M40" i="5" s="1"/>
  <c r="M51" i="5"/>
  <c r="M59" i="5"/>
  <c r="M68" i="5"/>
  <c r="M76" i="5"/>
  <c r="M85" i="5"/>
  <c r="M15" i="5"/>
  <c r="L16" i="5"/>
  <c r="L17" i="5"/>
  <c r="M17" i="5" s="1"/>
  <c r="L18" i="5"/>
  <c r="M18" i="5" s="1"/>
  <c r="L19" i="5"/>
  <c r="M19" i="5" s="1"/>
  <c r="L20" i="5"/>
  <c r="M20" i="5" s="1"/>
  <c r="L21" i="5"/>
  <c r="M21" i="5" s="1"/>
  <c r="L22" i="5"/>
  <c r="M22" i="5" s="1"/>
  <c r="L23" i="5"/>
  <c r="M23" i="5" s="1"/>
  <c r="L24" i="5"/>
  <c r="L25" i="5"/>
  <c r="M25" i="5" s="1"/>
  <c r="L26" i="5"/>
  <c r="M26" i="5" s="1"/>
  <c r="L27" i="5"/>
  <c r="M27" i="5" s="1"/>
  <c r="L28" i="5"/>
  <c r="M28" i="5" s="1"/>
  <c r="L29" i="5"/>
  <c r="M29" i="5" s="1"/>
  <c r="L30" i="5"/>
  <c r="M30" i="5" s="1"/>
  <c r="L31" i="5"/>
  <c r="M31" i="5" s="1"/>
  <c r="L32" i="5"/>
  <c r="L33" i="5"/>
  <c r="M33" i="5" s="1"/>
  <c r="L34" i="5"/>
  <c r="M34" i="5" s="1"/>
  <c r="L35" i="5"/>
  <c r="M35" i="5" s="1"/>
  <c r="L36" i="5"/>
  <c r="M36" i="5" s="1"/>
  <c r="L37" i="5"/>
  <c r="M37" i="5" s="1"/>
  <c r="L38" i="5"/>
  <c r="M38" i="5" s="1"/>
  <c r="L39" i="5"/>
  <c r="M39" i="5" s="1"/>
  <c r="L41" i="5"/>
  <c r="L43" i="5"/>
  <c r="M43" i="5" s="1"/>
  <c r="L44" i="5"/>
  <c r="M44" i="5" s="1"/>
  <c r="L45" i="5"/>
  <c r="M45" i="5" s="1"/>
  <c r="L46" i="5"/>
  <c r="M46" i="5" s="1"/>
  <c r="L47" i="5"/>
  <c r="M47" i="5" s="1"/>
  <c r="L48" i="5"/>
  <c r="M48" i="5" s="1"/>
  <c r="L50" i="5"/>
  <c r="M50" i="5" s="1"/>
  <c r="L51" i="5"/>
  <c r="L52" i="5"/>
  <c r="M52" i="5" s="1"/>
  <c r="L53" i="5"/>
  <c r="M53" i="5" s="1"/>
  <c r="L54" i="5"/>
  <c r="M54" i="5" s="1"/>
  <c r="L55" i="5"/>
  <c r="M55" i="5" s="1"/>
  <c r="L56" i="5"/>
  <c r="M56" i="5" s="1"/>
  <c r="L57" i="5"/>
  <c r="M57" i="5" s="1"/>
  <c r="L58" i="5"/>
  <c r="M58" i="5" s="1"/>
  <c r="L59" i="5"/>
  <c r="L61" i="5"/>
  <c r="M61" i="5" s="1"/>
  <c r="L62" i="5"/>
  <c r="M62" i="5" s="1"/>
  <c r="L63" i="5"/>
  <c r="M63" i="5" s="1"/>
  <c r="L64" i="5"/>
  <c r="M64" i="5" s="1"/>
  <c r="L65" i="5"/>
  <c r="M65" i="5" s="1"/>
  <c r="L66" i="5"/>
  <c r="M66" i="5" s="1"/>
  <c r="L67" i="5"/>
  <c r="M67" i="5" s="1"/>
  <c r="L68" i="5"/>
  <c r="L69" i="5"/>
  <c r="M69" i="5" s="1"/>
  <c r="L70" i="5"/>
  <c r="M70" i="5" s="1"/>
  <c r="L71" i="5"/>
  <c r="M71" i="5" s="1"/>
  <c r="L72" i="5"/>
  <c r="M72" i="5" s="1"/>
  <c r="L73" i="5"/>
  <c r="M73" i="5" s="1"/>
  <c r="L74" i="5"/>
  <c r="M74" i="5" s="1"/>
  <c r="L75" i="5"/>
  <c r="M75" i="5" s="1"/>
  <c r="L76" i="5"/>
  <c r="L77" i="5"/>
  <c r="M77" i="5" s="1"/>
  <c r="L78" i="5"/>
  <c r="M78" i="5" s="1"/>
  <c r="L79" i="5"/>
  <c r="M79" i="5" s="1"/>
  <c r="L81" i="5"/>
  <c r="M81" i="5" s="1"/>
  <c r="L82" i="5"/>
  <c r="M82" i="5" s="1"/>
  <c r="L83" i="5"/>
  <c r="M83" i="5" s="1"/>
  <c r="L84" i="5"/>
  <c r="M84" i="5" s="1"/>
  <c r="L85" i="5"/>
  <c r="L86" i="5"/>
  <c r="M86" i="5" s="1"/>
  <c r="L88" i="5"/>
  <c r="M88" i="5" s="1"/>
  <c r="L89" i="5"/>
  <c r="M89" i="5" s="1"/>
  <c r="L90" i="5"/>
  <c r="M90" i="5" s="1"/>
  <c r="L91" i="5"/>
  <c r="M91" i="5" s="1"/>
  <c r="L92" i="5"/>
  <c r="M92" i="5" s="1"/>
  <c r="L94" i="5"/>
  <c r="M94" i="5" s="1"/>
  <c r="M93" i="5" s="1"/>
  <c r="L15" i="5"/>
  <c r="J90" i="6"/>
  <c r="J87" i="6"/>
  <c r="J81" i="6"/>
  <c r="J74" i="6"/>
  <c r="J56" i="6"/>
  <c r="J45" i="6"/>
  <c r="P67" i="6"/>
  <c r="P78" i="6"/>
  <c r="O16" i="6"/>
  <c r="O17" i="6"/>
  <c r="O18" i="6"/>
  <c r="O19" i="6"/>
  <c r="O20" i="6"/>
  <c r="P20" i="6" s="1"/>
  <c r="O21" i="6"/>
  <c r="O22" i="6"/>
  <c r="O23" i="6"/>
  <c r="O24" i="6"/>
  <c r="O25" i="6"/>
  <c r="O26" i="6"/>
  <c r="O27" i="6"/>
  <c r="O28" i="6"/>
  <c r="O29" i="6"/>
  <c r="O30" i="6"/>
  <c r="O31" i="6"/>
  <c r="O32" i="6"/>
  <c r="O33" i="6"/>
  <c r="O34" i="6"/>
  <c r="O35" i="6"/>
  <c r="O36" i="6"/>
  <c r="O37" i="6"/>
  <c r="O38" i="6"/>
  <c r="O40" i="6"/>
  <c r="O42" i="6"/>
  <c r="O43" i="6"/>
  <c r="O44" i="6"/>
  <c r="O46" i="6"/>
  <c r="O47" i="6"/>
  <c r="P47" i="6" s="1"/>
  <c r="O48" i="6"/>
  <c r="O49" i="6"/>
  <c r="O50" i="6"/>
  <c r="O51" i="6"/>
  <c r="O52" i="6"/>
  <c r="O53" i="6"/>
  <c r="O54" i="6"/>
  <c r="O55" i="6"/>
  <c r="P55" i="6" s="1"/>
  <c r="O57" i="6"/>
  <c r="O58" i="6"/>
  <c r="O59" i="6"/>
  <c r="O60" i="6"/>
  <c r="O61" i="6"/>
  <c r="O62" i="6"/>
  <c r="O63" i="6"/>
  <c r="O64" i="6"/>
  <c r="O65" i="6"/>
  <c r="O66" i="6"/>
  <c r="O67" i="6"/>
  <c r="O68" i="6"/>
  <c r="O69" i="6"/>
  <c r="O70" i="6"/>
  <c r="O71" i="6"/>
  <c r="O72" i="6"/>
  <c r="O73" i="6"/>
  <c r="O75" i="6"/>
  <c r="O76" i="6"/>
  <c r="O77" i="6"/>
  <c r="O78" i="6"/>
  <c r="O79" i="6"/>
  <c r="O80" i="6"/>
  <c r="O82" i="6"/>
  <c r="O83" i="6"/>
  <c r="O84" i="6"/>
  <c r="O85" i="6"/>
  <c r="O86" i="6"/>
  <c r="O88" i="6"/>
  <c r="N16" i="6"/>
  <c r="P16" i="6" s="1"/>
  <c r="N17" i="6"/>
  <c r="P17" i="6" s="1"/>
  <c r="N18" i="6"/>
  <c r="P18" i="6" s="1"/>
  <c r="N19" i="6"/>
  <c r="P19" i="6" s="1"/>
  <c r="N20" i="6"/>
  <c r="N21" i="6"/>
  <c r="P21" i="6" s="1"/>
  <c r="N22" i="6"/>
  <c r="P22" i="6" s="1"/>
  <c r="N23" i="6"/>
  <c r="P23" i="6" s="1"/>
  <c r="N24" i="6"/>
  <c r="P24" i="6" s="1"/>
  <c r="N25" i="6"/>
  <c r="P25" i="6" s="1"/>
  <c r="N26" i="6"/>
  <c r="P26" i="6" s="1"/>
  <c r="N27" i="6"/>
  <c r="P27" i="6" s="1"/>
  <c r="N28" i="6"/>
  <c r="N29" i="6"/>
  <c r="P29" i="6" s="1"/>
  <c r="N30" i="6"/>
  <c r="P30" i="6" s="1"/>
  <c r="N31" i="6"/>
  <c r="P31" i="6" s="1"/>
  <c r="N32" i="6"/>
  <c r="P32" i="6" s="1"/>
  <c r="N33" i="6"/>
  <c r="P33" i="6" s="1"/>
  <c r="N34" i="6"/>
  <c r="P34" i="6" s="1"/>
  <c r="N35" i="6"/>
  <c r="P35" i="6" s="1"/>
  <c r="N36" i="6"/>
  <c r="N37" i="6"/>
  <c r="P37" i="6" s="1"/>
  <c r="N38" i="6"/>
  <c r="P38" i="6" s="1"/>
  <c r="N40" i="6"/>
  <c r="P40" i="6" s="1"/>
  <c r="P39" i="6" s="1"/>
  <c r="N42" i="6"/>
  <c r="P42" i="6" s="1"/>
  <c r="P41" i="6" s="1"/>
  <c r="N43" i="6"/>
  <c r="P43" i="6" s="1"/>
  <c r="N44" i="6"/>
  <c r="P44" i="6" s="1"/>
  <c r="N46" i="6"/>
  <c r="P46" i="6" s="1"/>
  <c r="N47" i="6"/>
  <c r="N48" i="6"/>
  <c r="P48" i="6" s="1"/>
  <c r="N49" i="6"/>
  <c r="P49" i="6" s="1"/>
  <c r="N50" i="6"/>
  <c r="P50" i="6" s="1"/>
  <c r="N51" i="6"/>
  <c r="P51" i="6" s="1"/>
  <c r="N52" i="6"/>
  <c r="P52" i="6" s="1"/>
  <c r="N53" i="6"/>
  <c r="P53" i="6" s="1"/>
  <c r="N54" i="6"/>
  <c r="P54" i="6" s="1"/>
  <c r="N55" i="6"/>
  <c r="N57" i="6"/>
  <c r="P57" i="6" s="1"/>
  <c r="N58" i="6"/>
  <c r="P58" i="6" s="1"/>
  <c r="N59" i="6"/>
  <c r="P59" i="6" s="1"/>
  <c r="N60" i="6"/>
  <c r="P60" i="6" s="1"/>
  <c r="N61" i="6"/>
  <c r="P61" i="6" s="1"/>
  <c r="N62" i="6"/>
  <c r="P62" i="6" s="1"/>
  <c r="N63" i="6"/>
  <c r="P63" i="6" s="1"/>
  <c r="N64" i="6"/>
  <c r="P64" i="6" s="1"/>
  <c r="N65" i="6"/>
  <c r="P65" i="6" s="1"/>
  <c r="N66" i="6"/>
  <c r="P66" i="6" s="1"/>
  <c r="N67" i="6"/>
  <c r="N68" i="6"/>
  <c r="P68" i="6" s="1"/>
  <c r="N69" i="6"/>
  <c r="P69" i="6" s="1"/>
  <c r="N70" i="6"/>
  <c r="P70" i="6" s="1"/>
  <c r="N71" i="6"/>
  <c r="P71" i="6" s="1"/>
  <c r="N72" i="6"/>
  <c r="N73" i="6"/>
  <c r="P73" i="6" s="1"/>
  <c r="N75" i="6"/>
  <c r="P75" i="6" s="1"/>
  <c r="N76" i="6"/>
  <c r="P76" i="6" s="1"/>
  <c r="N77" i="6"/>
  <c r="P77" i="6" s="1"/>
  <c r="N78" i="6"/>
  <c r="N79" i="6"/>
  <c r="P79" i="6" s="1"/>
  <c r="N80" i="6"/>
  <c r="P80" i="6" s="1"/>
  <c r="N82" i="6"/>
  <c r="N83" i="6"/>
  <c r="P83" i="6" s="1"/>
  <c r="N84" i="6"/>
  <c r="P84" i="6" s="1"/>
  <c r="N85" i="6"/>
  <c r="P85" i="6" s="1"/>
  <c r="N86" i="6"/>
  <c r="P86" i="6" s="1"/>
  <c r="N88" i="6"/>
  <c r="P88" i="6" s="1"/>
  <c r="P87" i="6" s="1"/>
  <c r="N15" i="6"/>
  <c r="M19" i="6"/>
  <c r="M22" i="6"/>
  <c r="M23" i="6"/>
  <c r="M27" i="6"/>
  <c r="M30" i="6"/>
  <c r="M31" i="6"/>
  <c r="M35" i="6"/>
  <c r="M38" i="6"/>
  <c r="M40" i="6"/>
  <c r="M39" i="6" s="1"/>
  <c r="M46" i="6"/>
  <c r="M49" i="6"/>
  <c r="M50" i="6"/>
  <c r="M54" i="6"/>
  <c r="M58" i="6"/>
  <c r="M59" i="6"/>
  <c r="M63" i="6"/>
  <c r="M66" i="6"/>
  <c r="M67" i="6"/>
  <c r="M71" i="6"/>
  <c r="M75" i="6"/>
  <c r="M76" i="6"/>
  <c r="M80" i="6"/>
  <c r="M84" i="6"/>
  <c r="M85" i="6"/>
  <c r="L16" i="6"/>
  <c r="M16" i="6" s="1"/>
  <c r="L17" i="6"/>
  <c r="M17" i="6" s="1"/>
  <c r="L18" i="6"/>
  <c r="M18" i="6" s="1"/>
  <c r="L19" i="6"/>
  <c r="L20" i="6"/>
  <c r="M20" i="6" s="1"/>
  <c r="L21" i="6"/>
  <c r="M21" i="6" s="1"/>
  <c r="L22" i="6"/>
  <c r="L23" i="6"/>
  <c r="L24" i="6"/>
  <c r="M24" i="6" s="1"/>
  <c r="L25" i="6"/>
  <c r="M25" i="6" s="1"/>
  <c r="L26" i="6"/>
  <c r="M26" i="6" s="1"/>
  <c r="L27" i="6"/>
  <c r="L28" i="6"/>
  <c r="M28" i="6" s="1"/>
  <c r="L29" i="6"/>
  <c r="M29" i="6" s="1"/>
  <c r="L30" i="6"/>
  <c r="L31" i="6"/>
  <c r="L32" i="6"/>
  <c r="M32" i="6" s="1"/>
  <c r="L33" i="6"/>
  <c r="M33" i="6" s="1"/>
  <c r="L34" i="6"/>
  <c r="M34" i="6" s="1"/>
  <c r="L35" i="6"/>
  <c r="L36" i="6"/>
  <c r="M36" i="6" s="1"/>
  <c r="L37" i="6"/>
  <c r="M37" i="6" s="1"/>
  <c r="L38" i="6"/>
  <c r="L40" i="6"/>
  <c r="L42" i="6"/>
  <c r="M42" i="6" s="1"/>
  <c r="L43" i="6"/>
  <c r="M43" i="6" s="1"/>
  <c r="L44" i="6"/>
  <c r="M44" i="6" s="1"/>
  <c r="L46" i="6"/>
  <c r="L47" i="6"/>
  <c r="M47" i="6" s="1"/>
  <c r="L48" i="6"/>
  <c r="M48" i="6" s="1"/>
  <c r="L49" i="6"/>
  <c r="L50" i="6"/>
  <c r="L51" i="6"/>
  <c r="M51" i="6" s="1"/>
  <c r="L52" i="6"/>
  <c r="M52" i="6" s="1"/>
  <c r="L53" i="6"/>
  <c r="M53" i="6" s="1"/>
  <c r="L54" i="6"/>
  <c r="L55" i="6"/>
  <c r="M55" i="6" s="1"/>
  <c r="L57" i="6"/>
  <c r="M57" i="6" s="1"/>
  <c r="L58" i="6"/>
  <c r="L59" i="6"/>
  <c r="L60" i="6"/>
  <c r="M60" i="6" s="1"/>
  <c r="L61" i="6"/>
  <c r="M61" i="6" s="1"/>
  <c r="L62" i="6"/>
  <c r="M62" i="6" s="1"/>
  <c r="L63" i="6"/>
  <c r="L64" i="6"/>
  <c r="M64" i="6" s="1"/>
  <c r="L65" i="6"/>
  <c r="M65" i="6" s="1"/>
  <c r="L66" i="6"/>
  <c r="L67" i="6"/>
  <c r="L68" i="6"/>
  <c r="M68" i="6" s="1"/>
  <c r="L69" i="6"/>
  <c r="M69" i="6" s="1"/>
  <c r="L70" i="6"/>
  <c r="M70" i="6" s="1"/>
  <c r="L71" i="6"/>
  <c r="L72" i="6"/>
  <c r="M72" i="6" s="1"/>
  <c r="L73" i="6"/>
  <c r="M73" i="6" s="1"/>
  <c r="L75" i="6"/>
  <c r="L76" i="6"/>
  <c r="L77" i="6"/>
  <c r="M77" i="6" s="1"/>
  <c r="L78" i="6"/>
  <c r="M78" i="6" s="1"/>
  <c r="L79" i="6"/>
  <c r="M79" i="6" s="1"/>
  <c r="L80" i="6"/>
  <c r="L82" i="6"/>
  <c r="M82" i="6" s="1"/>
  <c r="L83" i="6"/>
  <c r="M83" i="6" s="1"/>
  <c r="L84" i="6"/>
  <c r="L85" i="6"/>
  <c r="L86" i="6"/>
  <c r="M86" i="6" s="1"/>
  <c r="L88" i="6"/>
  <c r="M88" i="6" s="1"/>
  <c r="M87" i="6" s="1"/>
  <c r="J115" i="4"/>
  <c r="Q115" i="4"/>
  <c r="R115" i="4"/>
  <c r="S115" i="4"/>
  <c r="T115" i="4"/>
  <c r="U115" i="4"/>
  <c r="V115" i="4"/>
  <c r="W115" i="4"/>
  <c r="X115" i="4"/>
  <c r="Y115" i="4"/>
  <c r="Z115" i="4"/>
  <c r="AA115" i="4"/>
  <c r="AB115" i="4"/>
  <c r="AC115" i="4"/>
  <c r="AD115" i="4"/>
  <c r="AE115" i="4"/>
  <c r="AF115" i="4"/>
  <c r="P20" i="4"/>
  <c r="P53" i="4"/>
  <c r="P62" i="4"/>
  <c r="P73" i="4"/>
  <c r="P83" i="4"/>
  <c r="P91" i="4"/>
  <c r="P101" i="4"/>
  <c r="O16" i="4"/>
  <c r="O17" i="4"/>
  <c r="O18" i="4"/>
  <c r="O19" i="4"/>
  <c r="O20" i="4"/>
  <c r="O21" i="4"/>
  <c r="O22" i="4"/>
  <c r="O23" i="4"/>
  <c r="O24" i="4"/>
  <c r="O25" i="4"/>
  <c r="O26" i="4"/>
  <c r="O27" i="4"/>
  <c r="O28" i="4"/>
  <c r="O29" i="4"/>
  <c r="O30" i="4"/>
  <c r="O31" i="4"/>
  <c r="O32" i="4"/>
  <c r="O33" i="4"/>
  <c r="O34" i="4"/>
  <c r="O35" i="4"/>
  <c r="O36" i="4"/>
  <c r="O37" i="4"/>
  <c r="O38" i="4"/>
  <c r="O39" i="4"/>
  <c r="O40" i="4"/>
  <c r="O41" i="4"/>
  <c r="O42" i="4"/>
  <c r="O43" i="4"/>
  <c r="O44" i="4"/>
  <c r="O45" i="4"/>
  <c r="O46" i="4"/>
  <c r="O48" i="4"/>
  <c r="O50" i="4"/>
  <c r="O51" i="4"/>
  <c r="O52" i="4"/>
  <c r="O53" i="4"/>
  <c r="O54" i="4"/>
  <c r="O55" i="4"/>
  <c r="O57" i="4"/>
  <c r="O58" i="4"/>
  <c r="O59" i="4"/>
  <c r="O60" i="4"/>
  <c r="O61" i="4"/>
  <c r="O62" i="4"/>
  <c r="O63" i="4"/>
  <c r="O64" i="4"/>
  <c r="O65" i="4"/>
  <c r="O66" i="4"/>
  <c r="O68" i="4"/>
  <c r="O69" i="4"/>
  <c r="O70" i="4"/>
  <c r="O71" i="4"/>
  <c r="O72" i="4"/>
  <c r="O73" i="4"/>
  <c r="O74" i="4"/>
  <c r="O75" i="4"/>
  <c r="O76" i="4"/>
  <c r="O77" i="4"/>
  <c r="O78" i="4"/>
  <c r="O79" i="4"/>
  <c r="O80" i="4"/>
  <c r="O81" i="4"/>
  <c r="O82" i="4"/>
  <c r="O83" i="4"/>
  <c r="O84" i="4"/>
  <c r="O85" i="4"/>
  <c r="O86" i="4"/>
  <c r="O87" i="4"/>
  <c r="O88" i="4"/>
  <c r="O89" i="4"/>
  <c r="O90" i="4"/>
  <c r="O91" i="4"/>
  <c r="O92" i="4"/>
  <c r="O93" i="4"/>
  <c r="O94" i="4"/>
  <c r="O95" i="4"/>
  <c r="O96" i="4"/>
  <c r="O97" i="4"/>
  <c r="O98" i="4"/>
  <c r="O100" i="4"/>
  <c r="O101" i="4"/>
  <c r="O102" i="4"/>
  <c r="O103" i="4"/>
  <c r="O104" i="4"/>
  <c r="O105" i="4"/>
  <c r="O107" i="4"/>
  <c r="O108" i="4"/>
  <c r="O109" i="4"/>
  <c r="O110" i="4"/>
  <c r="O111" i="4"/>
  <c r="O113" i="4"/>
  <c r="N16" i="4"/>
  <c r="P16" i="4" s="1"/>
  <c r="N17" i="4"/>
  <c r="P17" i="4" s="1"/>
  <c r="N18" i="4"/>
  <c r="P18" i="4" s="1"/>
  <c r="N19" i="4"/>
  <c r="P19" i="4" s="1"/>
  <c r="N20" i="4"/>
  <c r="N21" i="4"/>
  <c r="P21" i="4" s="1"/>
  <c r="N22" i="4"/>
  <c r="P22" i="4" s="1"/>
  <c r="N23" i="4"/>
  <c r="N24" i="4"/>
  <c r="P24" i="4" s="1"/>
  <c r="N25" i="4"/>
  <c r="N26" i="4"/>
  <c r="P26" i="4" s="1"/>
  <c r="N27" i="4"/>
  <c r="P27" i="4" s="1"/>
  <c r="N28" i="4"/>
  <c r="P28" i="4" s="1"/>
  <c r="N29" i="4"/>
  <c r="P29" i="4" s="1"/>
  <c r="N30" i="4"/>
  <c r="P30" i="4" s="1"/>
  <c r="N31" i="4"/>
  <c r="N32" i="4"/>
  <c r="P32" i="4" s="1"/>
  <c r="N33" i="4"/>
  <c r="N34" i="4"/>
  <c r="P34" i="4" s="1"/>
  <c r="N35" i="4"/>
  <c r="P35" i="4" s="1"/>
  <c r="N36" i="4"/>
  <c r="P36" i="4" s="1"/>
  <c r="N37" i="4"/>
  <c r="P37" i="4" s="1"/>
  <c r="N38" i="4"/>
  <c r="P38" i="4" s="1"/>
  <c r="N39" i="4"/>
  <c r="N40" i="4"/>
  <c r="P40" i="4" s="1"/>
  <c r="N41" i="4"/>
  <c r="N42" i="4"/>
  <c r="P42" i="4" s="1"/>
  <c r="N43" i="4"/>
  <c r="P43" i="4" s="1"/>
  <c r="N44" i="4"/>
  <c r="P44" i="4" s="1"/>
  <c r="N45" i="4"/>
  <c r="P45" i="4" s="1"/>
  <c r="N46" i="4"/>
  <c r="P46" i="4" s="1"/>
  <c r="N48" i="4"/>
  <c r="N50" i="4"/>
  <c r="P50" i="4" s="1"/>
  <c r="P49" i="4" s="1"/>
  <c r="N51" i="4"/>
  <c r="P51" i="4" s="1"/>
  <c r="N52" i="4"/>
  <c r="P52" i="4" s="1"/>
  <c r="N53" i="4"/>
  <c r="N54" i="4"/>
  <c r="P54" i="4" s="1"/>
  <c r="N55" i="4"/>
  <c r="P55" i="4" s="1"/>
  <c r="N57" i="4"/>
  <c r="P57" i="4" s="1"/>
  <c r="N58" i="4"/>
  <c r="P58" i="4" s="1"/>
  <c r="N59" i="4"/>
  <c r="P59" i="4" s="1"/>
  <c r="N60" i="4"/>
  <c r="P60" i="4" s="1"/>
  <c r="N61" i="4"/>
  <c r="P61" i="4" s="1"/>
  <c r="N62" i="4"/>
  <c r="N63" i="4"/>
  <c r="P63" i="4" s="1"/>
  <c r="N64" i="4"/>
  <c r="P64" i="4" s="1"/>
  <c r="N65" i="4"/>
  <c r="P65" i="4" s="1"/>
  <c r="N66" i="4"/>
  <c r="P66" i="4" s="1"/>
  <c r="N68" i="4"/>
  <c r="P68" i="4" s="1"/>
  <c r="N69" i="4"/>
  <c r="N70" i="4"/>
  <c r="P70" i="4" s="1"/>
  <c r="N71" i="4"/>
  <c r="P71" i="4" s="1"/>
  <c r="N72" i="4"/>
  <c r="P72" i="4" s="1"/>
  <c r="N73" i="4"/>
  <c r="N74" i="4"/>
  <c r="P74" i="4" s="1"/>
  <c r="N75" i="4"/>
  <c r="P75" i="4" s="1"/>
  <c r="N76" i="4"/>
  <c r="P76" i="4" s="1"/>
  <c r="N77" i="4"/>
  <c r="N78" i="4"/>
  <c r="P78" i="4" s="1"/>
  <c r="N79" i="4"/>
  <c r="P79" i="4" s="1"/>
  <c r="N80" i="4"/>
  <c r="P80" i="4" s="1"/>
  <c r="N81" i="4"/>
  <c r="P81" i="4" s="1"/>
  <c r="N82" i="4"/>
  <c r="P82" i="4" s="1"/>
  <c r="N83" i="4"/>
  <c r="N84" i="4"/>
  <c r="P84" i="4" s="1"/>
  <c r="N85" i="4"/>
  <c r="P85" i="4" s="1"/>
  <c r="N86" i="4"/>
  <c r="P86" i="4" s="1"/>
  <c r="N87" i="4"/>
  <c r="P87" i="4" s="1"/>
  <c r="N88" i="4"/>
  <c r="P88" i="4" s="1"/>
  <c r="N89" i="4"/>
  <c r="P89" i="4" s="1"/>
  <c r="N90" i="4"/>
  <c r="P90" i="4" s="1"/>
  <c r="N91" i="4"/>
  <c r="N92" i="4"/>
  <c r="P92" i="4" s="1"/>
  <c r="N93" i="4"/>
  <c r="P93" i="4" s="1"/>
  <c r="N94" i="4"/>
  <c r="P94" i="4" s="1"/>
  <c r="N95" i="4"/>
  <c r="P95" i="4" s="1"/>
  <c r="N96" i="4"/>
  <c r="P96" i="4" s="1"/>
  <c r="N97" i="4"/>
  <c r="P97" i="4" s="1"/>
  <c r="N98" i="4"/>
  <c r="P98" i="4" s="1"/>
  <c r="N100" i="4"/>
  <c r="P100" i="4" s="1"/>
  <c r="N101" i="4"/>
  <c r="N102" i="4"/>
  <c r="P102" i="4" s="1"/>
  <c r="N103" i="4"/>
  <c r="P103" i="4" s="1"/>
  <c r="N104" i="4"/>
  <c r="P104" i="4" s="1"/>
  <c r="N105" i="4"/>
  <c r="P105" i="4" s="1"/>
  <c r="N107" i="4"/>
  <c r="P107" i="4" s="1"/>
  <c r="N108" i="4"/>
  <c r="P108" i="4" s="1"/>
  <c r="N109" i="4"/>
  <c r="P109" i="4" s="1"/>
  <c r="N110" i="4"/>
  <c r="P110" i="4" s="1"/>
  <c r="N111" i="4"/>
  <c r="N113" i="4"/>
  <c r="P113" i="4" s="1"/>
  <c r="P112" i="4" s="1"/>
  <c r="M17" i="4"/>
  <c r="M19" i="4"/>
  <c r="M25" i="4"/>
  <c r="M27" i="4"/>
  <c r="M33" i="4"/>
  <c r="M35" i="4"/>
  <c r="M41" i="4"/>
  <c r="M43" i="4"/>
  <c r="M51" i="4"/>
  <c r="M53" i="4"/>
  <c r="M60" i="4"/>
  <c r="M62" i="4"/>
  <c r="M69" i="4"/>
  <c r="M71" i="4"/>
  <c r="M77" i="4"/>
  <c r="M79" i="4"/>
  <c r="M85" i="4"/>
  <c r="M87" i="4"/>
  <c r="M93" i="4"/>
  <c r="M95" i="4"/>
  <c r="M102" i="4"/>
  <c r="M104" i="4"/>
  <c r="M111" i="4"/>
  <c r="L16" i="4"/>
  <c r="M16" i="4" s="1"/>
  <c r="L17" i="4"/>
  <c r="L18" i="4"/>
  <c r="M18" i="4" s="1"/>
  <c r="L19" i="4"/>
  <c r="L20" i="4"/>
  <c r="M20" i="4" s="1"/>
  <c r="L21" i="4"/>
  <c r="M21" i="4" s="1"/>
  <c r="L22" i="4"/>
  <c r="M22" i="4" s="1"/>
  <c r="L23" i="4"/>
  <c r="M23" i="4" s="1"/>
  <c r="L24" i="4"/>
  <c r="M24" i="4" s="1"/>
  <c r="L25" i="4"/>
  <c r="L26" i="4"/>
  <c r="M26" i="4" s="1"/>
  <c r="L27" i="4"/>
  <c r="L28" i="4"/>
  <c r="M28" i="4" s="1"/>
  <c r="L29" i="4"/>
  <c r="M29" i="4" s="1"/>
  <c r="L30" i="4"/>
  <c r="M30" i="4" s="1"/>
  <c r="L31" i="4"/>
  <c r="M31" i="4" s="1"/>
  <c r="L32" i="4"/>
  <c r="M32" i="4" s="1"/>
  <c r="L33" i="4"/>
  <c r="L34" i="4"/>
  <c r="M34" i="4" s="1"/>
  <c r="L35" i="4"/>
  <c r="L36" i="4"/>
  <c r="M36" i="4" s="1"/>
  <c r="L37" i="4"/>
  <c r="M37" i="4" s="1"/>
  <c r="L38" i="4"/>
  <c r="M38" i="4" s="1"/>
  <c r="L39" i="4"/>
  <c r="M39" i="4" s="1"/>
  <c r="L40" i="4"/>
  <c r="M40" i="4" s="1"/>
  <c r="L41" i="4"/>
  <c r="L42" i="4"/>
  <c r="M42" i="4" s="1"/>
  <c r="L43" i="4"/>
  <c r="L44" i="4"/>
  <c r="M44" i="4" s="1"/>
  <c r="L45" i="4"/>
  <c r="M45" i="4" s="1"/>
  <c r="L46" i="4"/>
  <c r="M46" i="4" s="1"/>
  <c r="L48" i="4"/>
  <c r="M48" i="4" s="1"/>
  <c r="M47" i="4" s="1"/>
  <c r="L50" i="4"/>
  <c r="M50" i="4" s="1"/>
  <c r="M49" i="4" s="1"/>
  <c r="L51" i="4"/>
  <c r="L52" i="4"/>
  <c r="M52" i="4" s="1"/>
  <c r="L53" i="4"/>
  <c r="L54" i="4"/>
  <c r="M54" i="4" s="1"/>
  <c r="L55" i="4"/>
  <c r="M55" i="4" s="1"/>
  <c r="L57" i="4"/>
  <c r="M57" i="4" s="1"/>
  <c r="M56" i="4" s="1"/>
  <c r="L58" i="4"/>
  <c r="M58" i="4" s="1"/>
  <c r="L59" i="4"/>
  <c r="M59" i="4" s="1"/>
  <c r="L60" i="4"/>
  <c r="L61" i="4"/>
  <c r="M61" i="4" s="1"/>
  <c r="L62" i="4"/>
  <c r="L63" i="4"/>
  <c r="M63" i="4" s="1"/>
  <c r="L64" i="4"/>
  <c r="M64" i="4" s="1"/>
  <c r="L65" i="4"/>
  <c r="M65" i="4" s="1"/>
  <c r="L66" i="4"/>
  <c r="M66" i="4" s="1"/>
  <c r="L68" i="4"/>
  <c r="M68" i="4" s="1"/>
  <c r="L69" i="4"/>
  <c r="L70" i="4"/>
  <c r="M70" i="4" s="1"/>
  <c r="L71" i="4"/>
  <c r="L72" i="4"/>
  <c r="M72" i="4" s="1"/>
  <c r="L73" i="4"/>
  <c r="M73" i="4" s="1"/>
  <c r="L74" i="4"/>
  <c r="M74" i="4" s="1"/>
  <c r="L75" i="4"/>
  <c r="M75" i="4" s="1"/>
  <c r="L76" i="4"/>
  <c r="M76" i="4" s="1"/>
  <c r="L77" i="4"/>
  <c r="L78" i="4"/>
  <c r="M78" i="4" s="1"/>
  <c r="L79" i="4"/>
  <c r="L80" i="4"/>
  <c r="M80" i="4" s="1"/>
  <c r="L81" i="4"/>
  <c r="M81" i="4" s="1"/>
  <c r="L82" i="4"/>
  <c r="M82" i="4" s="1"/>
  <c r="L83" i="4"/>
  <c r="M83" i="4" s="1"/>
  <c r="L84" i="4"/>
  <c r="M84" i="4" s="1"/>
  <c r="L85" i="4"/>
  <c r="L86" i="4"/>
  <c r="M86" i="4" s="1"/>
  <c r="L87" i="4"/>
  <c r="L88" i="4"/>
  <c r="M88" i="4" s="1"/>
  <c r="L89" i="4"/>
  <c r="M89" i="4" s="1"/>
  <c r="L90" i="4"/>
  <c r="M90" i="4" s="1"/>
  <c r="L91" i="4"/>
  <c r="M91" i="4" s="1"/>
  <c r="L92" i="4"/>
  <c r="M92" i="4" s="1"/>
  <c r="L93" i="4"/>
  <c r="L94" i="4"/>
  <c r="M94" i="4" s="1"/>
  <c r="L95" i="4"/>
  <c r="L96" i="4"/>
  <c r="M96" i="4" s="1"/>
  <c r="L97" i="4"/>
  <c r="M97" i="4" s="1"/>
  <c r="L98" i="4"/>
  <c r="M98" i="4" s="1"/>
  <c r="L100" i="4"/>
  <c r="M100" i="4" s="1"/>
  <c r="L101" i="4"/>
  <c r="M101" i="4" s="1"/>
  <c r="L102" i="4"/>
  <c r="L103" i="4"/>
  <c r="M103" i="4" s="1"/>
  <c r="L104" i="4"/>
  <c r="L105" i="4"/>
  <c r="M105" i="4" s="1"/>
  <c r="L107" i="4"/>
  <c r="M107" i="4" s="1"/>
  <c r="L108" i="4"/>
  <c r="M108" i="4" s="1"/>
  <c r="L109" i="4"/>
  <c r="M109" i="4" s="1"/>
  <c r="L110" i="4"/>
  <c r="M110" i="4" s="1"/>
  <c r="L111" i="4"/>
  <c r="L113" i="4"/>
  <c r="M113" i="4" s="1"/>
  <c r="M112" i="4" s="1"/>
  <c r="J90" i="3"/>
  <c r="P45" i="3"/>
  <c r="P50" i="3"/>
  <c r="M50" i="3"/>
  <c r="M45" i="3"/>
  <c r="M43" i="3"/>
  <c r="M16" i="3"/>
  <c r="M17" i="3"/>
  <c r="M18" i="3"/>
  <c r="M19" i="3"/>
  <c r="M20" i="3"/>
  <c r="M21" i="3"/>
  <c r="M22" i="3"/>
  <c r="M23" i="3"/>
  <c r="M24" i="3"/>
  <c r="M25" i="3"/>
  <c r="M26" i="3"/>
  <c r="M27" i="3"/>
  <c r="M28" i="3"/>
  <c r="M29" i="3"/>
  <c r="M30" i="3"/>
  <c r="M31" i="3"/>
  <c r="M32" i="3"/>
  <c r="M33" i="3"/>
  <c r="M34" i="3"/>
  <c r="M35" i="3"/>
  <c r="M36" i="3"/>
  <c r="M37" i="3"/>
  <c r="M38" i="3"/>
  <c r="M39" i="3"/>
  <c r="M40" i="3"/>
  <c r="M41" i="3"/>
  <c r="M42" i="3"/>
  <c r="M44" i="3"/>
  <c r="M46" i="3"/>
  <c r="M47" i="3"/>
  <c r="M48" i="3"/>
  <c r="M49" i="3"/>
  <c r="M51" i="3"/>
  <c r="M52" i="3"/>
  <c r="M53" i="3"/>
  <c r="M54" i="3"/>
  <c r="M55" i="3"/>
  <c r="M56" i="3"/>
  <c r="M58" i="3"/>
  <c r="M59" i="3"/>
  <c r="M60" i="3"/>
  <c r="M61" i="3"/>
  <c r="M62" i="3"/>
  <c r="M63" i="3"/>
  <c r="M64" i="3"/>
  <c r="M65" i="3"/>
  <c r="M66" i="3"/>
  <c r="M67" i="3"/>
  <c r="M68" i="3"/>
  <c r="M69" i="3"/>
  <c r="M70" i="3"/>
  <c r="M71" i="3"/>
  <c r="M72" i="3"/>
  <c r="M73" i="3"/>
  <c r="M74" i="3"/>
  <c r="M75" i="3"/>
  <c r="M76" i="3"/>
  <c r="M77" i="3"/>
  <c r="M79" i="3"/>
  <c r="M78" i="3" s="1"/>
  <c r="M80" i="3"/>
  <c r="M81" i="3"/>
  <c r="M82" i="3"/>
  <c r="M84" i="3"/>
  <c r="M85" i="3"/>
  <c r="M86" i="3"/>
  <c r="M88" i="3"/>
  <c r="M87" i="3" s="1"/>
  <c r="M15" i="3"/>
  <c r="L16" i="3"/>
  <c r="L17" i="3"/>
  <c r="L18" i="3"/>
  <c r="L19" i="3"/>
  <c r="L20" i="3"/>
  <c r="L21" i="3"/>
  <c r="L22" i="3"/>
  <c r="L23" i="3"/>
  <c r="L24" i="3"/>
  <c r="L25" i="3"/>
  <c r="L26" i="3"/>
  <c r="L27" i="3"/>
  <c r="L28" i="3"/>
  <c r="L29" i="3"/>
  <c r="L30" i="3"/>
  <c r="L31" i="3"/>
  <c r="L32" i="3"/>
  <c r="L33" i="3"/>
  <c r="L34" i="3"/>
  <c r="L35" i="3"/>
  <c r="L36" i="3"/>
  <c r="L37" i="3"/>
  <c r="L38" i="3"/>
  <c r="L39" i="3"/>
  <c r="L40" i="3"/>
  <c r="L41" i="3"/>
  <c r="L42" i="3"/>
  <c r="L44" i="3"/>
  <c r="L46" i="3"/>
  <c r="L47" i="3"/>
  <c r="L48" i="3"/>
  <c r="L49" i="3"/>
  <c r="L51" i="3"/>
  <c r="L52" i="3"/>
  <c r="L53" i="3"/>
  <c r="L54" i="3"/>
  <c r="L55" i="3"/>
  <c r="L56" i="3"/>
  <c r="L58" i="3"/>
  <c r="L59" i="3"/>
  <c r="L60" i="3"/>
  <c r="L61" i="3"/>
  <c r="L62" i="3"/>
  <c r="L63" i="3"/>
  <c r="L64" i="3"/>
  <c r="L65" i="3"/>
  <c r="L66" i="3"/>
  <c r="L67" i="3"/>
  <c r="L68" i="3"/>
  <c r="L69" i="3"/>
  <c r="L70" i="3"/>
  <c r="L71" i="3"/>
  <c r="L72" i="3"/>
  <c r="L73" i="3"/>
  <c r="L74" i="3"/>
  <c r="L75" i="3"/>
  <c r="L76" i="3"/>
  <c r="L77" i="3"/>
  <c r="L79" i="3"/>
  <c r="L80" i="3"/>
  <c r="L81" i="3"/>
  <c r="L82" i="3"/>
  <c r="L84" i="3"/>
  <c r="L85" i="3"/>
  <c r="L86" i="3"/>
  <c r="L88" i="3"/>
  <c r="P63" i="2"/>
  <c r="O37" i="2"/>
  <c r="O39" i="2"/>
  <c r="O41" i="2"/>
  <c r="O42" i="2"/>
  <c r="O43" i="2"/>
  <c r="O44" i="2"/>
  <c r="O45" i="2"/>
  <c r="O46" i="2"/>
  <c r="O48" i="2"/>
  <c r="O49" i="2"/>
  <c r="O50" i="2"/>
  <c r="O51" i="2"/>
  <c r="O52" i="2"/>
  <c r="O53" i="2"/>
  <c r="O54" i="2"/>
  <c r="O55" i="2"/>
  <c r="O56" i="2"/>
  <c r="O58" i="2"/>
  <c r="O59" i="2"/>
  <c r="O60" i="2"/>
  <c r="O61" i="2"/>
  <c r="O62" i="2"/>
  <c r="O63" i="2"/>
  <c r="O64" i="2"/>
  <c r="O65" i="2"/>
  <c r="O66" i="2"/>
  <c r="O67" i="2"/>
  <c r="O68" i="2"/>
  <c r="O69" i="2"/>
  <c r="O70" i="2"/>
  <c r="O71" i="2"/>
  <c r="O72" i="2"/>
  <c r="O73" i="2"/>
  <c r="O74" i="2"/>
  <c r="O75" i="2"/>
  <c r="O76" i="2"/>
  <c r="O77" i="2"/>
  <c r="O78" i="2"/>
  <c r="O79" i="2"/>
  <c r="O80" i="2"/>
  <c r="O81" i="2"/>
  <c r="O82" i="2"/>
  <c r="O83" i="2"/>
  <c r="O84" i="2"/>
  <c r="O85" i="2"/>
  <c r="O87" i="2"/>
  <c r="O88" i="2"/>
  <c r="O89" i="2"/>
  <c r="O90" i="2"/>
  <c r="O92" i="2"/>
  <c r="O93" i="2"/>
  <c r="O94" i="2"/>
  <c r="O96" i="2"/>
  <c r="N20" i="2"/>
  <c r="N21" i="2"/>
  <c r="N22" i="2"/>
  <c r="N23" i="2"/>
  <c r="N24" i="2"/>
  <c r="N25" i="2"/>
  <c r="N26" i="2"/>
  <c r="N27" i="2"/>
  <c r="N28" i="2"/>
  <c r="N30" i="2"/>
  <c r="N31" i="2"/>
  <c r="N32" i="2"/>
  <c r="N33" i="2"/>
  <c r="N34" i="2"/>
  <c r="N35" i="2"/>
  <c r="N36" i="2"/>
  <c r="N39" i="2"/>
  <c r="N41" i="2"/>
  <c r="P41" i="2" s="1"/>
  <c r="N42" i="2"/>
  <c r="P42" i="2" s="1"/>
  <c r="N43" i="2"/>
  <c r="P43" i="2" s="1"/>
  <c r="N44" i="2"/>
  <c r="P44" i="2" s="1"/>
  <c r="N45" i="2"/>
  <c r="P45" i="2" s="1"/>
  <c r="N46" i="2"/>
  <c r="P46" i="2" s="1"/>
  <c r="N48" i="2"/>
  <c r="P48" i="2" s="1"/>
  <c r="N49" i="2"/>
  <c r="P49" i="2" s="1"/>
  <c r="N50" i="2"/>
  <c r="P50" i="2" s="1"/>
  <c r="N51" i="2"/>
  <c r="P51" i="2" s="1"/>
  <c r="N52" i="2"/>
  <c r="P52" i="2" s="1"/>
  <c r="N53" i="2"/>
  <c r="P53" i="2" s="1"/>
  <c r="N54" i="2"/>
  <c r="P54" i="2" s="1"/>
  <c r="N55" i="2"/>
  <c r="P55" i="2" s="1"/>
  <c r="N56" i="2"/>
  <c r="P56" i="2" s="1"/>
  <c r="N59" i="2"/>
  <c r="N60" i="2"/>
  <c r="P60" i="2" s="1"/>
  <c r="N61" i="2"/>
  <c r="P61" i="2" s="1"/>
  <c r="N62" i="2"/>
  <c r="P62" i="2" s="1"/>
  <c r="N63" i="2"/>
  <c r="N64" i="2"/>
  <c r="P64" i="2" s="1"/>
  <c r="N65" i="2"/>
  <c r="P65" i="2" s="1"/>
  <c r="N66" i="2"/>
  <c r="P66" i="2" s="1"/>
  <c r="N67" i="2"/>
  <c r="N68" i="2"/>
  <c r="P68" i="2" s="1"/>
  <c r="N69" i="2"/>
  <c r="P69" i="2" s="1"/>
  <c r="N70" i="2"/>
  <c r="P70" i="2" s="1"/>
  <c r="N71" i="2"/>
  <c r="P71" i="2" s="1"/>
  <c r="N72" i="2"/>
  <c r="P72" i="2" s="1"/>
  <c r="N73" i="2"/>
  <c r="P73" i="2" s="1"/>
  <c r="N74" i="2"/>
  <c r="P74" i="2" s="1"/>
  <c r="N75" i="2"/>
  <c r="P75" i="2" s="1"/>
  <c r="N76" i="2"/>
  <c r="P76" i="2" s="1"/>
  <c r="N77" i="2"/>
  <c r="P77" i="2" s="1"/>
  <c r="N78" i="2"/>
  <c r="P78" i="2" s="1"/>
  <c r="N79" i="2"/>
  <c r="P79" i="2" s="1"/>
  <c r="N80" i="2"/>
  <c r="P80" i="2" s="1"/>
  <c r="N81" i="2"/>
  <c r="P81" i="2" s="1"/>
  <c r="N82" i="2"/>
  <c r="P82" i="2" s="1"/>
  <c r="N83" i="2"/>
  <c r="N84" i="2"/>
  <c r="P84" i="2" s="1"/>
  <c r="N85" i="2"/>
  <c r="N87" i="2"/>
  <c r="P87" i="2" s="1"/>
  <c r="P86" i="2" s="1"/>
  <c r="N88" i="2"/>
  <c r="P88" i="2" s="1"/>
  <c r="N89" i="2"/>
  <c r="P89" i="2" s="1"/>
  <c r="N90" i="2"/>
  <c r="P90" i="2" s="1"/>
  <c r="N92" i="2"/>
  <c r="N93" i="2"/>
  <c r="N94" i="2"/>
  <c r="P94" i="2" s="1"/>
  <c r="N96" i="2"/>
  <c r="M17" i="2"/>
  <c r="M18" i="2"/>
  <c r="M20" i="2"/>
  <c r="M25" i="2"/>
  <c r="M26" i="2"/>
  <c r="M28" i="2"/>
  <c r="M39" i="2"/>
  <c r="M38" i="2" s="1"/>
  <c r="M42" i="2"/>
  <c r="M46" i="2"/>
  <c r="M49" i="2"/>
  <c r="M51" i="2"/>
  <c r="M55" i="2"/>
  <c r="M59" i="2"/>
  <c r="M60" i="2"/>
  <c r="M61" i="2"/>
  <c r="M64" i="2"/>
  <c r="M65" i="2"/>
  <c r="M67" i="2"/>
  <c r="M68" i="2"/>
  <c r="M69" i="2"/>
  <c r="M72" i="2"/>
  <c r="M73" i="2"/>
  <c r="M75" i="2"/>
  <c r="M76" i="2"/>
  <c r="M77" i="2"/>
  <c r="M80" i="2"/>
  <c r="M81" i="2"/>
  <c r="M83" i="2"/>
  <c r="M84" i="2"/>
  <c r="M85" i="2"/>
  <c r="M89" i="2"/>
  <c r="M90" i="2"/>
  <c r="M93" i="2"/>
  <c r="M94" i="2"/>
  <c r="M96" i="2"/>
  <c r="M95" i="2" s="1"/>
  <c r="L16" i="2"/>
  <c r="M16" i="2" s="1"/>
  <c r="L17" i="2"/>
  <c r="L18" i="2"/>
  <c r="L19" i="2"/>
  <c r="M19" i="2" s="1"/>
  <c r="L20" i="2"/>
  <c r="L21" i="2"/>
  <c r="M21" i="2" s="1"/>
  <c r="L22" i="2"/>
  <c r="M22" i="2" s="1"/>
  <c r="L23" i="2"/>
  <c r="M23" i="2" s="1"/>
  <c r="L24" i="2"/>
  <c r="M24" i="2" s="1"/>
  <c r="L25" i="2"/>
  <c r="L26" i="2"/>
  <c r="L27" i="2"/>
  <c r="M27" i="2" s="1"/>
  <c r="L28" i="2"/>
  <c r="L29" i="2"/>
  <c r="L30" i="2"/>
  <c r="M30" i="2" s="1"/>
  <c r="L31" i="2"/>
  <c r="M31" i="2" s="1"/>
  <c r="L32" i="2"/>
  <c r="M32" i="2" s="1"/>
  <c r="L33" i="2"/>
  <c r="M33" i="2" s="1"/>
  <c r="L34" i="2"/>
  <c r="M34" i="2" s="1"/>
  <c r="L35" i="2"/>
  <c r="M35" i="2" s="1"/>
  <c r="L36" i="2"/>
  <c r="M36" i="2" s="1"/>
  <c r="L37" i="2"/>
  <c r="L39" i="2"/>
  <c r="L41" i="2"/>
  <c r="M41" i="2" s="1"/>
  <c r="L42" i="2"/>
  <c r="L43" i="2"/>
  <c r="M43" i="2" s="1"/>
  <c r="L44" i="2"/>
  <c r="M44" i="2" s="1"/>
  <c r="L45" i="2"/>
  <c r="M45" i="2" s="1"/>
  <c r="L46" i="2"/>
  <c r="L48" i="2"/>
  <c r="M48" i="2" s="1"/>
  <c r="L49" i="2"/>
  <c r="L50" i="2"/>
  <c r="M50" i="2" s="1"/>
  <c r="L51" i="2"/>
  <c r="L52" i="2"/>
  <c r="M52" i="2" s="1"/>
  <c r="L53" i="2"/>
  <c r="M53" i="2" s="1"/>
  <c r="L54" i="2"/>
  <c r="M54" i="2" s="1"/>
  <c r="L55" i="2"/>
  <c r="L56" i="2"/>
  <c r="M56" i="2" s="1"/>
  <c r="L58" i="2"/>
  <c r="L59" i="2"/>
  <c r="L60" i="2"/>
  <c r="L61" i="2"/>
  <c r="L62" i="2"/>
  <c r="M62" i="2" s="1"/>
  <c r="L63" i="2"/>
  <c r="M63" i="2" s="1"/>
  <c r="L64" i="2"/>
  <c r="L65" i="2"/>
  <c r="L66" i="2"/>
  <c r="M66" i="2" s="1"/>
  <c r="L67" i="2"/>
  <c r="L68" i="2"/>
  <c r="L69" i="2"/>
  <c r="L70" i="2"/>
  <c r="M70" i="2" s="1"/>
  <c r="L71" i="2"/>
  <c r="M71" i="2" s="1"/>
  <c r="L72" i="2"/>
  <c r="L73" i="2"/>
  <c r="L74" i="2"/>
  <c r="M74" i="2" s="1"/>
  <c r="L75" i="2"/>
  <c r="L76" i="2"/>
  <c r="L77" i="2"/>
  <c r="L78" i="2"/>
  <c r="M78" i="2" s="1"/>
  <c r="L79" i="2"/>
  <c r="M79" i="2" s="1"/>
  <c r="L80" i="2"/>
  <c r="L81" i="2"/>
  <c r="L82" i="2"/>
  <c r="M82" i="2" s="1"/>
  <c r="L83" i="2"/>
  <c r="L84" i="2"/>
  <c r="L85" i="2"/>
  <c r="L87" i="2"/>
  <c r="M87" i="2" s="1"/>
  <c r="M86" i="2" s="1"/>
  <c r="L88" i="2"/>
  <c r="M88" i="2" s="1"/>
  <c r="L89" i="2"/>
  <c r="L90" i="2"/>
  <c r="L92" i="2"/>
  <c r="M92" i="2" s="1"/>
  <c r="L93" i="2"/>
  <c r="L94" i="2"/>
  <c r="L96" i="2"/>
  <c r="O15" i="6"/>
  <c r="L15" i="6"/>
  <c r="M15" i="6" s="1"/>
  <c r="M14" i="33" l="1"/>
  <c r="M29" i="33" s="1"/>
  <c r="F49" i="1" s="1"/>
  <c r="P14" i="33"/>
  <c r="P29" i="33" s="1"/>
  <c r="M40" i="2"/>
  <c r="M47" i="2"/>
  <c r="M49" i="5"/>
  <c r="P42" i="5"/>
  <c r="M80" i="5"/>
  <c r="P49" i="5"/>
  <c r="M42" i="5"/>
  <c r="P80" i="5"/>
  <c r="P88" i="5"/>
  <c r="P62" i="5"/>
  <c r="P34" i="5"/>
  <c r="P14" i="5" s="1"/>
  <c r="P26" i="5"/>
  <c r="M74" i="6"/>
  <c r="P74" i="6"/>
  <c r="M45" i="6"/>
  <c r="P45" i="6"/>
  <c r="M41" i="6"/>
  <c r="P82" i="6"/>
  <c r="P72" i="6"/>
  <c r="P56" i="6" s="1"/>
  <c r="P36" i="6"/>
  <c r="P28" i="6"/>
  <c r="P99" i="4"/>
  <c r="P56" i="4"/>
  <c r="M99" i="4"/>
  <c r="P111" i="4"/>
  <c r="P106" i="4" s="1"/>
  <c r="P77" i="4"/>
  <c r="P69" i="4"/>
  <c r="P41" i="4"/>
  <c r="P33" i="4"/>
  <c r="P25" i="4"/>
  <c r="P48" i="4"/>
  <c r="P47" i="4" s="1"/>
  <c r="P39" i="4"/>
  <c r="P31" i="4"/>
  <c r="P23" i="4"/>
  <c r="P40" i="2"/>
  <c r="P47" i="2"/>
  <c r="P92" i="2"/>
  <c r="P37" i="2"/>
  <c r="P96" i="2"/>
  <c r="P95" i="2" s="1"/>
  <c r="P85" i="2"/>
  <c r="P93" i="2"/>
  <c r="P83" i="2"/>
  <c r="P67" i="2"/>
  <c r="P59" i="2"/>
  <c r="P39" i="2"/>
  <c r="P38" i="2" s="1"/>
  <c r="P58" i="2"/>
  <c r="P70" i="7"/>
  <c r="P43" i="7"/>
  <c r="M81" i="29"/>
  <c r="P81" i="29"/>
  <c r="P58" i="29"/>
  <c r="P14" i="29"/>
  <c r="P90" i="29" s="1"/>
  <c r="M14" i="29"/>
  <c r="M90" i="29" s="1"/>
  <c r="F45" i="1" s="1"/>
  <c r="M113" i="27"/>
  <c r="M112" i="27" s="1"/>
  <c r="P113" i="27"/>
  <c r="P112" i="27" s="1"/>
  <c r="P106" i="27"/>
  <c r="M58" i="27"/>
  <c r="P58" i="27"/>
  <c r="P45" i="27"/>
  <c r="P14" i="27"/>
  <c r="M14" i="27"/>
  <c r="M86" i="22"/>
  <c r="P86" i="22"/>
  <c r="M60" i="22"/>
  <c r="P60" i="22"/>
  <c r="M14" i="22"/>
  <c r="P14" i="22"/>
  <c r="M89" i="20"/>
  <c r="P89" i="20"/>
  <c r="P96" i="20" s="1"/>
  <c r="P47" i="20"/>
  <c r="M47" i="20"/>
  <c r="P26" i="20"/>
  <c r="P14" i="20"/>
  <c r="M55" i="19"/>
  <c r="P55" i="19"/>
  <c r="M80" i="19"/>
  <c r="F32" i="1" s="1"/>
  <c r="P14" i="19"/>
  <c r="M46" i="18"/>
  <c r="P46" i="18"/>
  <c r="M72" i="18"/>
  <c r="F31" i="1" s="1"/>
  <c r="P33" i="18"/>
  <c r="P14" i="18" s="1"/>
  <c r="M78" i="17"/>
  <c r="M87" i="17" s="1"/>
  <c r="F30" i="1" s="1"/>
  <c r="P79" i="17"/>
  <c r="M54" i="17"/>
  <c r="P55" i="17"/>
  <c r="P38" i="17"/>
  <c r="P32" i="17"/>
  <c r="P24" i="17"/>
  <c r="P39" i="17"/>
  <c r="P31" i="17"/>
  <c r="P23" i="17"/>
  <c r="P22" i="17"/>
  <c r="P30" i="17"/>
  <c r="P93" i="16"/>
  <c r="P89" i="16"/>
  <c r="M89" i="16"/>
  <c r="P81" i="16"/>
  <c r="P65" i="16"/>
  <c r="M55" i="16"/>
  <c r="P57" i="16"/>
  <c r="P55" i="16" s="1"/>
  <c r="P21" i="16"/>
  <c r="M14" i="16"/>
  <c r="P29" i="16"/>
  <c r="P14" i="16" s="1"/>
  <c r="P70" i="15"/>
  <c r="M70" i="15"/>
  <c r="M48" i="15"/>
  <c r="P48" i="15"/>
  <c r="M77" i="15"/>
  <c r="F28" i="1" s="1"/>
  <c r="P14" i="15"/>
  <c r="M65" i="14"/>
  <c r="P65" i="14"/>
  <c r="M104" i="14"/>
  <c r="P104" i="14"/>
  <c r="M14" i="14"/>
  <c r="P14" i="14"/>
  <c r="P67" i="13"/>
  <c r="M46" i="13"/>
  <c r="P46" i="13"/>
  <c r="M14" i="13"/>
  <c r="M74" i="13" s="1"/>
  <c r="F26" i="1" s="1"/>
  <c r="P14" i="13"/>
  <c r="M72" i="12"/>
  <c r="P72" i="12"/>
  <c r="P49" i="12"/>
  <c r="M49" i="12"/>
  <c r="M14" i="12"/>
  <c r="P14" i="12"/>
  <c r="M72" i="11"/>
  <c r="P72" i="11"/>
  <c r="P48" i="11"/>
  <c r="M48" i="11"/>
  <c r="M14" i="11"/>
  <c r="P14" i="11"/>
  <c r="P83" i="10"/>
  <c r="M83" i="10"/>
  <c r="M57" i="10"/>
  <c r="P57" i="10"/>
  <c r="P47" i="10"/>
  <c r="M47" i="10"/>
  <c r="P14" i="10"/>
  <c r="M14" i="10"/>
  <c r="P73" i="9"/>
  <c r="M73" i="9"/>
  <c r="M50" i="9"/>
  <c r="P50" i="9"/>
  <c r="M14" i="9"/>
  <c r="P14" i="9"/>
  <c r="M85" i="8"/>
  <c r="M59" i="8"/>
  <c r="M94" i="8" s="1"/>
  <c r="F21" i="1" s="1"/>
  <c r="M14" i="8"/>
  <c r="M14" i="7"/>
  <c r="F20" i="1" s="1"/>
  <c r="M87" i="5"/>
  <c r="P87" i="5"/>
  <c r="M60" i="5"/>
  <c r="P60" i="5"/>
  <c r="M14" i="5"/>
  <c r="M81" i="6"/>
  <c r="P81" i="6"/>
  <c r="M56" i="6"/>
  <c r="M14" i="6"/>
  <c r="M106" i="4"/>
  <c r="M14" i="4"/>
  <c r="M67" i="4"/>
  <c r="P67" i="4"/>
  <c r="M83" i="3"/>
  <c r="M57" i="3"/>
  <c r="M14" i="3"/>
  <c r="M91" i="2"/>
  <c r="M58" i="2"/>
  <c r="M57" i="2" s="1"/>
  <c r="M37" i="2"/>
  <c r="M29" i="2"/>
  <c r="P18" i="19"/>
  <c r="P25" i="17"/>
  <c r="P17" i="17"/>
  <c r="P57" i="17"/>
  <c r="P69" i="17"/>
  <c r="P70" i="17"/>
  <c r="P65" i="17"/>
  <c r="P49" i="17"/>
  <c r="P47" i="17" s="1"/>
  <c r="P77" i="17"/>
  <c r="P81" i="17"/>
  <c r="P33" i="17"/>
  <c r="P85" i="17"/>
  <c r="P84" i="17" s="1"/>
  <c r="P61" i="17"/>
  <c r="P83" i="17"/>
  <c r="P75" i="17"/>
  <c r="P72" i="17" s="1"/>
  <c r="P67" i="17"/>
  <c r="P59" i="17"/>
  <c r="P51" i="17"/>
  <c r="P35" i="17"/>
  <c r="P27" i="17"/>
  <c r="P19" i="17"/>
  <c r="M81" i="11"/>
  <c r="F24" i="1" s="1"/>
  <c r="N80" i="3"/>
  <c r="N81" i="3"/>
  <c r="N82" i="3"/>
  <c r="N86" i="3"/>
  <c r="P86" i="3" s="1"/>
  <c r="N88" i="3"/>
  <c r="N77" i="3"/>
  <c r="N76" i="3"/>
  <c r="N23" i="3"/>
  <c r="N25" i="3"/>
  <c r="N26" i="3"/>
  <c r="N27" i="3"/>
  <c r="N28" i="3"/>
  <c r="P28" i="3" s="1"/>
  <c r="N29" i="3"/>
  <c r="N30" i="3"/>
  <c r="N31" i="3"/>
  <c r="N33" i="3"/>
  <c r="N34" i="3"/>
  <c r="N35" i="3"/>
  <c r="P35" i="3" s="1"/>
  <c r="N36" i="3"/>
  <c r="N38" i="3"/>
  <c r="N39" i="3"/>
  <c r="N41" i="3"/>
  <c r="N42" i="3"/>
  <c r="N44" i="3"/>
  <c r="N46" i="3"/>
  <c r="N22" i="3"/>
  <c r="P22" i="3" s="1"/>
  <c r="O16" i="3"/>
  <c r="O17" i="3"/>
  <c r="O18" i="3"/>
  <c r="O19" i="3"/>
  <c r="O20" i="3"/>
  <c r="O21" i="3"/>
  <c r="O22" i="3"/>
  <c r="O23" i="3"/>
  <c r="O24" i="3"/>
  <c r="O25" i="3"/>
  <c r="O26" i="3"/>
  <c r="O27" i="3"/>
  <c r="O28" i="3"/>
  <c r="O29" i="3"/>
  <c r="O30" i="3"/>
  <c r="O31" i="3"/>
  <c r="O32" i="3"/>
  <c r="O33" i="3"/>
  <c r="O34" i="3"/>
  <c r="O35" i="3"/>
  <c r="O36" i="3"/>
  <c r="O37" i="3"/>
  <c r="O38" i="3"/>
  <c r="O39" i="3"/>
  <c r="O40" i="3"/>
  <c r="O41" i="3"/>
  <c r="O42" i="3"/>
  <c r="O44" i="3"/>
  <c r="O46" i="3"/>
  <c r="O47" i="3"/>
  <c r="O48" i="3"/>
  <c r="O49" i="3"/>
  <c r="O51" i="3"/>
  <c r="O52" i="3"/>
  <c r="O53" i="3"/>
  <c r="O54" i="3"/>
  <c r="O55" i="3"/>
  <c r="O56" i="3"/>
  <c r="O58" i="3"/>
  <c r="O59" i="3"/>
  <c r="O60" i="3"/>
  <c r="O61" i="3"/>
  <c r="O62" i="3"/>
  <c r="O63" i="3"/>
  <c r="O64" i="3"/>
  <c r="O65" i="3"/>
  <c r="O66" i="3"/>
  <c r="O67" i="3"/>
  <c r="O68" i="3"/>
  <c r="O69" i="3"/>
  <c r="O70" i="3"/>
  <c r="O71" i="3"/>
  <c r="O72" i="3"/>
  <c r="O73" i="3"/>
  <c r="O74" i="3"/>
  <c r="O75" i="3"/>
  <c r="O76" i="3"/>
  <c r="O77" i="3"/>
  <c r="O79" i="3"/>
  <c r="O80" i="3"/>
  <c r="O81" i="3"/>
  <c r="O82" i="3"/>
  <c r="O84" i="3"/>
  <c r="O85" i="3"/>
  <c r="O86" i="3"/>
  <c r="O88" i="3"/>
  <c r="O15" i="3"/>
  <c r="N16" i="3"/>
  <c r="P16" i="3" s="1"/>
  <c r="N17" i="3"/>
  <c r="P17" i="3" s="1"/>
  <c r="N18" i="3"/>
  <c r="N19" i="3"/>
  <c r="N20" i="3"/>
  <c r="N21" i="3"/>
  <c r="N24" i="3"/>
  <c r="P24" i="3" s="1"/>
  <c r="N32" i="3"/>
  <c r="P32" i="3" s="1"/>
  <c r="N37" i="3"/>
  <c r="P37" i="3" s="1"/>
  <c r="N40" i="3"/>
  <c r="P40" i="3" s="1"/>
  <c r="N47" i="3"/>
  <c r="N48" i="3"/>
  <c r="P48" i="3" s="1"/>
  <c r="N49" i="3"/>
  <c r="P49" i="3" s="1"/>
  <c r="N51" i="3"/>
  <c r="P51" i="3" s="1"/>
  <c r="N52" i="3"/>
  <c r="N53" i="3"/>
  <c r="N54" i="3"/>
  <c r="N55" i="3"/>
  <c r="N56" i="3"/>
  <c r="N58" i="3"/>
  <c r="P58" i="3" s="1"/>
  <c r="N59" i="3"/>
  <c r="P59" i="3" s="1"/>
  <c r="N60" i="3"/>
  <c r="P60" i="3" s="1"/>
  <c r="N61" i="3"/>
  <c r="N62" i="3"/>
  <c r="N63" i="3"/>
  <c r="N64" i="3"/>
  <c r="N65" i="3"/>
  <c r="N66" i="3"/>
  <c r="P66" i="3" s="1"/>
  <c r="N67" i="3"/>
  <c r="P67" i="3" s="1"/>
  <c r="N68" i="3"/>
  <c r="P68" i="3" s="1"/>
  <c r="N69" i="3"/>
  <c r="N70" i="3"/>
  <c r="N71" i="3"/>
  <c r="N72" i="3"/>
  <c r="N73" i="3"/>
  <c r="N74" i="3"/>
  <c r="P74" i="3" s="1"/>
  <c r="N75" i="3"/>
  <c r="P75" i="3" s="1"/>
  <c r="N79" i="3"/>
  <c r="N84" i="3"/>
  <c r="N15" i="3"/>
  <c r="L15" i="3"/>
  <c r="N19" i="2"/>
  <c r="N18" i="2"/>
  <c r="N17" i="2"/>
  <c r="N16" i="2"/>
  <c r="N15" i="2"/>
  <c r="O36" i="2"/>
  <c r="O35" i="2"/>
  <c r="O34" i="2"/>
  <c r="O33" i="2"/>
  <c r="O32" i="2"/>
  <c r="O31" i="2"/>
  <c r="O30" i="2"/>
  <c r="O29" i="2"/>
  <c r="O28" i="2"/>
  <c r="O27" i="2"/>
  <c r="O26" i="2"/>
  <c r="O25" i="2"/>
  <c r="O24" i="2"/>
  <c r="P24" i="2" s="1"/>
  <c r="O23" i="2"/>
  <c r="O22" i="2"/>
  <c r="O21" i="2"/>
  <c r="P21" i="2" s="1"/>
  <c r="O20" i="2"/>
  <c r="O19" i="2"/>
  <c r="O18" i="2"/>
  <c r="O17" i="2"/>
  <c r="O16" i="2"/>
  <c r="O15" i="2"/>
  <c r="L15" i="2"/>
  <c r="M15" i="2" s="1"/>
  <c r="M14" i="2" s="1"/>
  <c r="N15" i="4"/>
  <c r="P15" i="4" s="1"/>
  <c r="P14" i="4" s="1"/>
  <c r="O15" i="4"/>
  <c r="L15" i="4"/>
  <c r="M15" i="4" s="1"/>
  <c r="P91" i="2" l="1"/>
  <c r="P57" i="2"/>
  <c r="M92" i="10"/>
  <c r="F23" i="1" s="1"/>
  <c r="M117" i="27"/>
  <c r="F42" i="1" s="1"/>
  <c r="P117" i="27"/>
  <c r="H42" i="1" s="1"/>
  <c r="P81" i="11"/>
  <c r="H24" i="1" s="1"/>
  <c r="P14" i="17"/>
  <c r="M95" i="22"/>
  <c r="F37" i="1" s="1"/>
  <c r="P95" i="22"/>
  <c r="M96" i="20"/>
  <c r="F34" i="1" s="1"/>
  <c r="P80" i="19"/>
  <c r="P72" i="18"/>
  <c r="P78" i="17"/>
  <c r="P54" i="17"/>
  <c r="P96" i="16"/>
  <c r="M96" i="16"/>
  <c r="F29" i="1" s="1"/>
  <c r="P77" i="15"/>
  <c r="P113" i="14"/>
  <c r="M113" i="14"/>
  <c r="F27" i="1" s="1"/>
  <c r="P81" i="12"/>
  <c r="M81" i="12"/>
  <c r="F25" i="1" s="1"/>
  <c r="P92" i="10"/>
  <c r="H23" i="1" s="1"/>
  <c r="P80" i="9"/>
  <c r="H22" i="1" s="1"/>
  <c r="M80" i="9"/>
  <c r="F22" i="1" s="1"/>
  <c r="P96" i="5"/>
  <c r="H18" i="1" s="1"/>
  <c r="M96" i="5"/>
  <c r="F18" i="1" s="1"/>
  <c r="M90" i="6"/>
  <c r="F19" i="1" s="1"/>
  <c r="P115" i="4"/>
  <c r="H17" i="1" s="1"/>
  <c r="M115" i="4"/>
  <c r="F17" i="1" s="1"/>
  <c r="M90" i="3"/>
  <c r="F16" i="1" s="1"/>
  <c r="M98" i="2"/>
  <c r="F15" i="1" s="1"/>
  <c r="P72" i="3"/>
  <c r="P64" i="3"/>
  <c r="P55" i="3"/>
  <c r="P21" i="3"/>
  <c r="P19" i="3"/>
  <c r="P81" i="3"/>
  <c r="P79" i="3"/>
  <c r="P78" i="3" s="1"/>
  <c r="P71" i="3"/>
  <c r="P63" i="3"/>
  <c r="P54" i="3"/>
  <c r="P41" i="3"/>
  <c r="P33" i="3"/>
  <c r="P25" i="3"/>
  <c r="P84" i="3"/>
  <c r="P83" i="3" s="1"/>
  <c r="P70" i="3"/>
  <c r="P62" i="3"/>
  <c r="P53" i="3"/>
  <c r="P82" i="3"/>
  <c r="P46" i="3"/>
  <c r="P29" i="3"/>
  <c r="P76" i="3"/>
  <c r="P47" i="3"/>
  <c r="P44" i="3"/>
  <c r="P43" i="3" s="1"/>
  <c r="P27" i="3"/>
  <c r="P15" i="3"/>
  <c r="P73" i="3"/>
  <c r="P65" i="3"/>
  <c r="P56" i="3"/>
  <c r="P20" i="3"/>
  <c r="P39" i="3"/>
  <c r="P31" i="3"/>
  <c r="P23" i="3"/>
  <c r="P38" i="3"/>
  <c r="P30" i="3"/>
  <c r="P18" i="3"/>
  <c r="P80" i="3"/>
  <c r="P69" i="3"/>
  <c r="P61" i="3"/>
  <c r="P52" i="3"/>
  <c r="P77" i="3"/>
  <c r="P88" i="3"/>
  <c r="P87" i="3" s="1"/>
  <c r="P36" i="3"/>
  <c r="P42" i="3"/>
  <c r="P34" i="3"/>
  <c r="P26" i="3"/>
  <c r="P35" i="2"/>
  <c r="P20" i="2"/>
  <c r="P30" i="2"/>
  <c r="P16" i="2"/>
  <c r="P36" i="2"/>
  <c r="P31" i="2"/>
  <c r="P22" i="2"/>
  <c r="P23" i="2"/>
  <c r="N85" i="3"/>
  <c r="P85" i="3" s="1"/>
  <c r="P27" i="2"/>
  <c r="P19" i="2"/>
  <c r="P28" i="2"/>
  <c r="P32" i="2"/>
  <c r="P29" i="2"/>
  <c r="P18" i="2"/>
  <c r="P26" i="2"/>
  <c r="P34" i="2"/>
  <c r="P17" i="2"/>
  <c r="P25" i="2"/>
  <c r="P33" i="2"/>
  <c r="P15" i="2"/>
  <c r="F51" i="1" l="1"/>
  <c r="P87" i="17"/>
  <c r="H30" i="1" s="1"/>
  <c r="P14" i="2"/>
  <c r="P98" i="2" s="1"/>
  <c r="H15" i="1" s="1"/>
  <c r="P57" i="3"/>
  <c r="P14" i="3"/>
  <c r="U49" i="18"/>
  <c r="U48" i="18"/>
  <c r="V75" i="14"/>
  <c r="W66" i="14"/>
  <c r="V69" i="14"/>
  <c r="W69" i="14" s="1"/>
  <c r="U68" i="14"/>
  <c r="V66" i="14"/>
  <c r="P90" i="3" l="1"/>
  <c r="H16" i="1" s="1"/>
  <c r="V67" i="14"/>
  <c r="W67" i="14" s="1"/>
  <c r="W14" i="14" s="1"/>
  <c r="S59" i="2"/>
  <c r="T59" i="2" s="1"/>
  <c r="U59" i="2" s="1"/>
  <c r="U58" i="2"/>
  <c r="V58" i="2" s="1"/>
  <c r="G2" i="21" l="1"/>
  <c r="J76" i="13" l="1"/>
  <c r="C51" i="1" l="1"/>
  <c r="D13" i="1" l="1"/>
  <c r="D51" i="1" s="1"/>
  <c r="E35" i="34"/>
  <c r="N33" i="34"/>
  <c r="N32" i="34"/>
  <c r="N31" i="34"/>
  <c r="N30" i="34"/>
  <c r="N29" i="34"/>
  <c r="N28" i="34"/>
  <c r="N27" i="34"/>
  <c r="N26" i="34"/>
  <c r="N25" i="34"/>
  <c r="N24" i="34"/>
  <c r="N23" i="34"/>
  <c r="N22" i="34"/>
  <c r="N21" i="34"/>
  <c r="N20" i="34"/>
  <c r="N19" i="34"/>
  <c r="N18" i="34"/>
  <c r="N17" i="34"/>
  <c r="N16" i="34"/>
  <c r="N15" i="34"/>
  <c r="O13" i="34"/>
  <c r="N13" i="34"/>
  <c r="L13" i="34"/>
  <c r="K13" i="34"/>
  <c r="L8" i="34"/>
  <c r="G7" i="34"/>
  <c r="G6" i="34"/>
  <c r="G4" i="34"/>
  <c r="G3" i="34"/>
  <c r="E29" i="33"/>
  <c r="L14" i="33"/>
  <c r="K14" i="33"/>
  <c r="L8" i="33"/>
  <c r="G7" i="33"/>
  <c r="G6" i="33"/>
  <c r="G4" i="33"/>
  <c r="G3" i="33"/>
  <c r="G2" i="33"/>
  <c r="E34" i="32"/>
  <c r="N32" i="32"/>
  <c r="N31" i="32"/>
  <c r="N30" i="32"/>
  <c r="N29" i="32"/>
  <c r="O28" i="32"/>
  <c r="N28" i="32"/>
  <c r="N27" i="32"/>
  <c r="N26" i="32"/>
  <c r="N25" i="32"/>
  <c r="N24" i="32"/>
  <c r="N23" i="32"/>
  <c r="N22" i="32"/>
  <c r="O21" i="32"/>
  <c r="N21" i="32"/>
  <c r="N20" i="32"/>
  <c r="N19" i="32"/>
  <c r="N18" i="32"/>
  <c r="N17" i="32"/>
  <c r="P16" i="32"/>
  <c r="N16" i="32"/>
  <c r="O15" i="32"/>
  <c r="N15" i="32"/>
  <c r="L15" i="32"/>
  <c r="K15" i="32"/>
  <c r="M15" i="32"/>
  <c r="L8" i="32"/>
  <c r="G7" i="32"/>
  <c r="G6" i="32"/>
  <c r="G4" i="32"/>
  <c r="G3" i="32"/>
  <c r="G2" i="32"/>
  <c r="E77" i="31"/>
  <c r="N75" i="31"/>
  <c r="N74" i="31"/>
  <c r="N73" i="31"/>
  <c r="N72" i="31"/>
  <c r="N71" i="31"/>
  <c r="N70" i="31"/>
  <c r="N69" i="31"/>
  <c r="N68" i="31"/>
  <c r="O67" i="31"/>
  <c r="N67" i="31"/>
  <c r="L67" i="31"/>
  <c r="K67" i="31"/>
  <c r="N66" i="31"/>
  <c r="N65" i="31"/>
  <c r="N64" i="31"/>
  <c r="N63" i="31"/>
  <c r="N62" i="31"/>
  <c r="N61" i="31"/>
  <c r="N60" i="31"/>
  <c r="N59" i="31"/>
  <c r="N58" i="31"/>
  <c r="N57" i="31"/>
  <c r="N56" i="31"/>
  <c r="N55" i="31"/>
  <c r="N54" i="31"/>
  <c r="N53" i="31"/>
  <c r="N52" i="31"/>
  <c r="N51" i="31"/>
  <c r="N50" i="31"/>
  <c r="N49" i="31"/>
  <c r="N48" i="31"/>
  <c r="N47" i="31"/>
  <c r="N46" i="31"/>
  <c r="N45" i="31"/>
  <c r="N44" i="31"/>
  <c r="N43" i="31"/>
  <c r="O42" i="31"/>
  <c r="N42" i="31"/>
  <c r="N41" i="31"/>
  <c r="N40" i="31"/>
  <c r="N39" i="31"/>
  <c r="N38" i="31"/>
  <c r="N37" i="31"/>
  <c r="N36" i="31"/>
  <c r="N35" i="31"/>
  <c r="N34" i="31"/>
  <c r="N33" i="31"/>
  <c r="N32" i="31"/>
  <c r="N31" i="31"/>
  <c r="N30" i="31"/>
  <c r="N29" i="31"/>
  <c r="N28" i="31"/>
  <c r="N27" i="31"/>
  <c r="N26" i="31"/>
  <c r="N25" i="31"/>
  <c r="N24" i="31"/>
  <c r="N23" i="31"/>
  <c r="N22" i="31"/>
  <c r="N21" i="31"/>
  <c r="N20" i="31"/>
  <c r="N19" i="31"/>
  <c r="N18" i="31"/>
  <c r="N17" i="31"/>
  <c r="P16" i="31"/>
  <c r="M16" i="31"/>
  <c r="N16" i="31"/>
  <c r="O15" i="31"/>
  <c r="N15" i="31"/>
  <c r="L15" i="31"/>
  <c r="K15" i="31"/>
  <c r="M15" i="31"/>
  <c r="L8" i="31"/>
  <c r="G7" i="31"/>
  <c r="G6" i="31"/>
  <c r="G4" i="31"/>
  <c r="G3" i="31"/>
  <c r="G2" i="31"/>
  <c r="E23" i="30"/>
  <c r="N21" i="30"/>
  <c r="O20" i="30"/>
  <c r="N20" i="30"/>
  <c r="L20" i="30"/>
  <c r="K20" i="30"/>
  <c r="O19" i="30"/>
  <c r="N19" i="30"/>
  <c r="L19" i="30"/>
  <c r="K19" i="30"/>
  <c r="N18" i="30"/>
  <c r="O17" i="30"/>
  <c r="N17" i="30"/>
  <c r="L17" i="30"/>
  <c r="K17" i="30"/>
  <c r="O16" i="30"/>
  <c r="N16" i="30"/>
  <c r="L16" i="30"/>
  <c r="K16" i="30"/>
  <c r="N15" i="30"/>
  <c r="O14" i="30"/>
  <c r="N14" i="30"/>
  <c r="L14" i="30"/>
  <c r="K14" i="30"/>
  <c r="L8" i="30"/>
  <c r="G7" i="30"/>
  <c r="G6" i="30"/>
  <c r="G4" i="30"/>
  <c r="G3" i="30"/>
  <c r="G2" i="30"/>
  <c r="P13" i="34" l="1"/>
  <c r="M13" i="34"/>
  <c r="O29" i="32"/>
  <c r="O29" i="31"/>
  <c r="O33" i="31"/>
  <c r="O66" i="31"/>
  <c r="O22" i="32"/>
  <c r="O26" i="32"/>
  <c r="P15" i="31"/>
  <c r="O37" i="31"/>
  <c r="O64" i="31"/>
  <c r="O19" i="32"/>
  <c r="O17" i="31"/>
  <c r="O25" i="31"/>
  <c r="O41" i="31"/>
  <c r="O48" i="31"/>
  <c r="O62" i="31"/>
  <c r="O17" i="32"/>
  <c r="P15" i="32"/>
  <c r="O32" i="32"/>
  <c r="O21" i="31"/>
  <c r="O73" i="31"/>
  <c r="O18" i="31"/>
  <c r="O22" i="31"/>
  <c r="O26" i="31"/>
  <c r="O30" i="31"/>
  <c r="O34" i="31"/>
  <c r="O51" i="31"/>
  <c r="O70" i="31"/>
  <c r="O74" i="31"/>
  <c r="O25" i="32"/>
  <c r="O30" i="32"/>
  <c r="O69" i="31"/>
  <c r="O16" i="31"/>
  <c r="O20" i="31"/>
  <c r="O24" i="31"/>
  <c r="O28" i="31"/>
  <c r="O32" i="31"/>
  <c r="O38" i="31"/>
  <c r="O40" i="31"/>
  <c r="O45" i="31"/>
  <c r="O49" i="31"/>
  <c r="O53" i="31"/>
  <c r="O57" i="31"/>
  <c r="O68" i="31"/>
  <c r="O16" i="32"/>
  <c r="O20" i="32"/>
  <c r="O23" i="32"/>
  <c r="O27" i="32"/>
  <c r="O61" i="31"/>
  <c r="O65" i="31"/>
  <c r="O18" i="32"/>
  <c r="O46" i="31"/>
  <c r="O50" i="31"/>
  <c r="O54" i="31"/>
  <c r="O58" i="31"/>
  <c r="O71" i="31"/>
  <c r="O24" i="32"/>
  <c r="O31" i="32"/>
  <c r="O19" i="31"/>
  <c r="O23" i="31"/>
  <c r="O27" i="31"/>
  <c r="O31" i="31"/>
  <c r="O35" i="31"/>
  <c r="O52" i="31"/>
  <c r="O55" i="31"/>
  <c r="O72" i="31"/>
  <c r="O75" i="31"/>
  <c r="O43" i="31"/>
  <c r="O56" i="31"/>
  <c r="O59" i="31"/>
  <c r="O36" i="31"/>
  <c r="O39" i="31"/>
  <c r="O44" i="31"/>
  <c r="O47" i="31"/>
  <c r="O60" i="31"/>
  <c r="O63" i="31"/>
  <c r="E90" i="29"/>
  <c r="L8" i="29"/>
  <c r="G7" i="29"/>
  <c r="G6" i="29"/>
  <c r="G4" i="29"/>
  <c r="G3" i="29"/>
  <c r="E104" i="28" l="1"/>
  <c r="L8" i="28"/>
  <c r="G7" i="28"/>
  <c r="G6" i="28"/>
  <c r="G4" i="28"/>
  <c r="G3" i="28"/>
  <c r="G2" i="28"/>
  <c r="E117" i="27"/>
  <c r="L8" i="27"/>
  <c r="G7" i="27"/>
  <c r="G6" i="27"/>
  <c r="G4" i="27"/>
  <c r="G3" i="27"/>
  <c r="G2" i="27"/>
  <c r="E29" i="26"/>
  <c r="N27" i="26"/>
  <c r="N26" i="26"/>
  <c r="N25" i="26"/>
  <c r="N24" i="26"/>
  <c r="N23" i="26"/>
  <c r="N22" i="26"/>
  <c r="N21" i="26"/>
  <c r="P21" i="26" s="1"/>
  <c r="N20" i="26"/>
  <c r="P20" i="26" s="1"/>
  <c r="N19" i="26"/>
  <c r="N18" i="26"/>
  <c r="N17" i="26"/>
  <c r="N16" i="26"/>
  <c r="P16" i="26" s="1"/>
  <c r="N15" i="26"/>
  <c r="P15" i="26" s="1"/>
  <c r="O14" i="26"/>
  <c r="N14" i="26"/>
  <c r="L14" i="26"/>
  <c r="K14" i="26"/>
  <c r="L8" i="26"/>
  <c r="G7" i="26"/>
  <c r="G6" i="26"/>
  <c r="G4" i="26"/>
  <c r="G3" i="26"/>
  <c r="G2" i="26"/>
  <c r="E34" i="25"/>
  <c r="N32" i="25"/>
  <c r="N31" i="25"/>
  <c r="N30" i="25"/>
  <c r="N29" i="25"/>
  <c r="N28" i="25"/>
  <c r="N27" i="25"/>
  <c r="O26" i="25"/>
  <c r="N26" i="25"/>
  <c r="N25" i="25"/>
  <c r="N24" i="25"/>
  <c r="N23" i="25"/>
  <c r="N22" i="25"/>
  <c r="O21" i="25"/>
  <c r="N21" i="25"/>
  <c r="N20" i="25"/>
  <c r="N19" i="25"/>
  <c r="N18" i="25"/>
  <c r="N17" i="25"/>
  <c r="P16" i="25"/>
  <c r="M16" i="25"/>
  <c r="N16" i="25"/>
  <c r="L8" i="25"/>
  <c r="G7" i="25"/>
  <c r="G6" i="25"/>
  <c r="G4" i="25"/>
  <c r="G3" i="25"/>
  <c r="G2" i="25"/>
  <c r="E77" i="24"/>
  <c r="N75" i="24"/>
  <c r="N74" i="24"/>
  <c r="N73" i="24"/>
  <c r="N72" i="24"/>
  <c r="N71" i="24"/>
  <c r="N70" i="24"/>
  <c r="N69" i="24"/>
  <c r="N68" i="24"/>
  <c r="O67" i="24"/>
  <c r="N67" i="24"/>
  <c r="N66" i="24"/>
  <c r="N65" i="24"/>
  <c r="N64" i="24"/>
  <c r="N63" i="24"/>
  <c r="N62" i="24"/>
  <c r="N61" i="24"/>
  <c r="N60" i="24"/>
  <c r="N59" i="24"/>
  <c r="N58" i="24"/>
  <c r="N57" i="24"/>
  <c r="N56" i="24"/>
  <c r="N55" i="24"/>
  <c r="N54" i="24"/>
  <c r="N53" i="24"/>
  <c r="N52" i="24"/>
  <c r="N51" i="24"/>
  <c r="N50" i="24"/>
  <c r="N49" i="24"/>
  <c r="N48" i="24"/>
  <c r="N47" i="24"/>
  <c r="N46" i="24"/>
  <c r="N45" i="24"/>
  <c r="N44" i="24"/>
  <c r="N43" i="24"/>
  <c r="O42" i="24"/>
  <c r="N42" i="24"/>
  <c r="N41" i="24"/>
  <c r="N40" i="24"/>
  <c r="N39" i="24"/>
  <c r="N38" i="24"/>
  <c r="N37" i="24"/>
  <c r="N36" i="24"/>
  <c r="N35" i="24"/>
  <c r="N34" i="24"/>
  <c r="N33" i="24"/>
  <c r="N32" i="24"/>
  <c r="N31" i="24"/>
  <c r="N30" i="24"/>
  <c r="N29" i="24"/>
  <c r="N28" i="24"/>
  <c r="N27" i="24"/>
  <c r="N26" i="24"/>
  <c r="N25" i="24"/>
  <c r="N24" i="24"/>
  <c r="N23" i="24"/>
  <c r="N22" i="24"/>
  <c r="N21" i="24"/>
  <c r="N20" i="24"/>
  <c r="N19" i="24"/>
  <c r="N18" i="24"/>
  <c r="N17" i="24"/>
  <c r="N16" i="24"/>
  <c r="O15" i="24"/>
  <c r="N15" i="24"/>
  <c r="L15" i="24"/>
  <c r="K15" i="24"/>
  <c r="L8" i="24"/>
  <c r="G7" i="24"/>
  <c r="G6" i="24"/>
  <c r="G4" i="24"/>
  <c r="G3" i="24"/>
  <c r="G2" i="24"/>
  <c r="E23" i="23"/>
  <c r="N21" i="23"/>
  <c r="N20" i="23"/>
  <c r="K20" i="23"/>
  <c r="N19" i="23"/>
  <c r="K19" i="23"/>
  <c r="N18" i="23"/>
  <c r="N17" i="23"/>
  <c r="K17" i="23"/>
  <c r="N16" i="23"/>
  <c r="K16" i="23"/>
  <c r="N15" i="23"/>
  <c r="O14" i="23"/>
  <c r="N14" i="23"/>
  <c r="L14" i="23"/>
  <c r="K14" i="23"/>
  <c r="L8" i="23"/>
  <c r="G7" i="23"/>
  <c r="G6" i="23"/>
  <c r="G4" i="23"/>
  <c r="G3" i="23"/>
  <c r="G2" i="23"/>
  <c r="E95" i="22"/>
  <c r="L8" i="22"/>
  <c r="G7" i="22"/>
  <c r="G6" i="22"/>
  <c r="G4" i="22"/>
  <c r="G3" i="22"/>
  <c r="E104" i="21"/>
  <c r="L8" i="21"/>
  <c r="G7" i="21"/>
  <c r="G6" i="21"/>
  <c r="G4" i="21"/>
  <c r="G3" i="21"/>
  <c r="E96" i="20"/>
  <c r="L8" i="20"/>
  <c r="G7" i="20"/>
  <c r="G6" i="20"/>
  <c r="G4" i="20"/>
  <c r="G3" i="20"/>
  <c r="G2" i="20"/>
  <c r="E80" i="19"/>
  <c r="L8" i="19"/>
  <c r="G7" i="19"/>
  <c r="G6" i="19"/>
  <c r="G4" i="19"/>
  <c r="G3" i="19"/>
  <c r="G2" i="19"/>
  <c r="E72" i="18"/>
  <c r="L8" i="18"/>
  <c r="G7" i="18"/>
  <c r="G6" i="18"/>
  <c r="G4" i="18"/>
  <c r="G3" i="18"/>
  <c r="G2" i="18"/>
  <c r="E87" i="17"/>
  <c r="L8" i="17"/>
  <c r="G7" i="17"/>
  <c r="G6" i="17"/>
  <c r="G4" i="17"/>
  <c r="G3" i="17"/>
  <c r="G2" i="17"/>
  <c r="E96" i="16"/>
  <c r="L8" i="16"/>
  <c r="G7" i="16"/>
  <c r="G6" i="16"/>
  <c r="G4" i="16"/>
  <c r="G3" i="16"/>
  <c r="E77" i="15"/>
  <c r="L8" i="15"/>
  <c r="G7" i="15"/>
  <c r="G6" i="15"/>
  <c r="G4" i="15"/>
  <c r="G3" i="15"/>
  <c r="G2" i="15"/>
  <c r="E113" i="14"/>
  <c r="L8" i="14"/>
  <c r="G7" i="14"/>
  <c r="G6" i="14"/>
  <c r="G4" i="14"/>
  <c r="G3" i="14"/>
  <c r="G2" i="14"/>
  <c r="P14" i="26" l="1"/>
  <c r="P29" i="26" s="1"/>
  <c r="V70" i="14"/>
  <c r="V68" i="14"/>
  <c r="P14" i="23"/>
  <c r="M14" i="23"/>
  <c r="O53" i="24"/>
  <c r="O37" i="24"/>
  <c r="O51" i="24"/>
  <c r="O16" i="24"/>
  <c r="O18" i="24"/>
  <c r="O35" i="24"/>
  <c r="O64" i="24"/>
  <c r="O66" i="24"/>
  <c r="O25" i="25"/>
  <c r="O23" i="25"/>
  <c r="O17" i="24"/>
  <c r="O24" i="24"/>
  <c r="O26" i="24"/>
  <c r="O59" i="24"/>
  <c r="O61" i="24"/>
  <c r="O71" i="24"/>
  <c r="O73" i="24"/>
  <c r="O32" i="25"/>
  <c r="O20" i="24"/>
  <c r="O22" i="24"/>
  <c r="O39" i="24"/>
  <c r="O41" i="24"/>
  <c r="O55" i="24"/>
  <c r="O57" i="24"/>
  <c r="O69" i="24"/>
  <c r="O28" i="25"/>
  <c r="O30" i="25"/>
  <c r="O31" i="24"/>
  <c r="O33" i="24"/>
  <c r="O47" i="24"/>
  <c r="O49" i="24"/>
  <c r="O60" i="24"/>
  <c r="O62" i="24"/>
  <c r="O72" i="24"/>
  <c r="O74" i="24"/>
  <c r="O27" i="24"/>
  <c r="O29" i="24"/>
  <c r="O40" i="24"/>
  <c r="O43" i="24"/>
  <c r="O45" i="24"/>
  <c r="O56" i="24"/>
  <c r="O58" i="24"/>
  <c r="O68" i="24"/>
  <c r="O70" i="24"/>
  <c r="O18" i="25"/>
  <c r="O20" i="25"/>
  <c r="O29" i="25"/>
  <c r="O31" i="25"/>
  <c r="O23" i="24"/>
  <c r="O25" i="24"/>
  <c r="O36" i="24"/>
  <c r="O38" i="24"/>
  <c r="O52" i="24"/>
  <c r="O54" i="24"/>
  <c r="O27" i="25"/>
  <c r="O19" i="24"/>
  <c r="O21" i="24"/>
  <c r="O32" i="24"/>
  <c r="O34" i="24"/>
  <c r="O48" i="24"/>
  <c r="O50" i="24"/>
  <c r="O28" i="24"/>
  <c r="O30" i="24"/>
  <c r="O44" i="24"/>
  <c r="O46" i="24"/>
  <c r="O63" i="24"/>
  <c r="O65" i="24"/>
  <c r="O75" i="24"/>
  <c r="O17" i="25"/>
  <c r="O19" i="25"/>
  <c r="O22" i="25"/>
  <c r="O24" i="25"/>
  <c r="E74" i="13"/>
  <c r="L8" i="13"/>
  <c r="G7" i="13"/>
  <c r="G6" i="13"/>
  <c r="G4" i="13"/>
  <c r="G3" i="13"/>
  <c r="G2" i="13"/>
  <c r="L8" i="12"/>
  <c r="E81" i="12"/>
  <c r="E98" i="2"/>
  <c r="E90" i="3"/>
  <c r="E115" i="4"/>
  <c r="E90" i="6"/>
  <c r="E86" i="7"/>
  <c r="E94" i="8"/>
  <c r="E80" i="9"/>
  <c r="E81" i="11"/>
  <c r="E92" i="10"/>
  <c r="G7" i="12"/>
  <c r="G6" i="12"/>
  <c r="G4" i="12"/>
  <c r="G3" i="12"/>
  <c r="L8" i="11"/>
  <c r="G7" i="11"/>
  <c r="G6" i="11"/>
  <c r="G4" i="11"/>
  <c r="G3" i="11"/>
  <c r="O14" i="10"/>
  <c r="N14" i="10"/>
  <c r="L14" i="10"/>
  <c r="K14" i="10"/>
  <c r="L8" i="10"/>
  <c r="G7" i="10"/>
  <c r="G6" i="10"/>
  <c r="G4" i="10"/>
  <c r="G3" i="10"/>
  <c r="O16" i="25" l="1"/>
  <c r="L14" i="9"/>
  <c r="K14" i="9"/>
  <c r="L8" i="9"/>
  <c r="G7" i="9"/>
  <c r="G6" i="9"/>
  <c r="G4" i="9"/>
  <c r="G3" i="9"/>
  <c r="G2" i="9"/>
  <c r="P92" i="8"/>
  <c r="P91" i="8" s="1"/>
  <c r="P90" i="8"/>
  <c r="P89" i="8"/>
  <c r="P88" i="8"/>
  <c r="P86" i="8"/>
  <c r="P77" i="8"/>
  <c r="P76" i="8"/>
  <c r="P64" i="8"/>
  <c r="P61" i="8"/>
  <c r="P60" i="8"/>
  <c r="P41" i="8"/>
  <c r="P40" i="8" s="1"/>
  <c r="P39" i="8"/>
  <c r="P38" i="8"/>
  <c r="P37" i="8"/>
  <c r="P36" i="8"/>
  <c r="P35" i="8"/>
  <c r="P34" i="8"/>
  <c r="P33" i="8"/>
  <c r="P32" i="8"/>
  <c r="P31" i="8"/>
  <c r="P30" i="8"/>
  <c r="P29" i="8"/>
  <c r="P28" i="8"/>
  <c r="P27" i="8"/>
  <c r="P26" i="8"/>
  <c r="P25" i="8"/>
  <c r="P24" i="8"/>
  <c r="P23" i="8"/>
  <c r="P22" i="8"/>
  <c r="O14" i="8"/>
  <c r="N14" i="8"/>
  <c r="L14" i="8"/>
  <c r="K14" i="8"/>
  <c r="L8" i="8"/>
  <c r="G7" i="8"/>
  <c r="G6" i="8"/>
  <c r="G4" i="8"/>
  <c r="G3" i="8"/>
  <c r="G2" i="8"/>
  <c r="P84" i="7"/>
  <c r="P83" i="7" s="1"/>
  <c r="P82" i="7"/>
  <c r="P81" i="7"/>
  <c r="P80" i="7"/>
  <c r="P78" i="7"/>
  <c r="N77" i="7"/>
  <c r="N70" i="7"/>
  <c r="P69" i="7"/>
  <c r="P68" i="7"/>
  <c r="P58" i="7"/>
  <c r="P55" i="7"/>
  <c r="P54" i="7"/>
  <c r="N53" i="7"/>
  <c r="P39" i="7"/>
  <c r="P38" i="7" s="1"/>
  <c r="N38" i="7"/>
  <c r="P37" i="7"/>
  <c r="P36" i="7"/>
  <c r="P35" i="7"/>
  <c r="P34" i="7"/>
  <c r="P33" i="7"/>
  <c r="P32" i="7"/>
  <c r="P31" i="7"/>
  <c r="P30" i="7"/>
  <c r="P29" i="7"/>
  <c r="P28" i="7"/>
  <c r="P27" i="7"/>
  <c r="P26" i="7"/>
  <c r="P25" i="7"/>
  <c r="P24" i="7"/>
  <c r="P23" i="7"/>
  <c r="P22" i="7"/>
  <c r="P21" i="7"/>
  <c r="L8" i="7"/>
  <c r="G7" i="7"/>
  <c r="G6" i="7"/>
  <c r="G4" i="7"/>
  <c r="G3" i="7"/>
  <c r="G2" i="7"/>
  <c r="P85" i="8" l="1"/>
  <c r="P59" i="8"/>
  <c r="P14" i="8"/>
  <c r="P77" i="7"/>
  <c r="P53" i="7"/>
  <c r="P14" i="7"/>
  <c r="G7" i="6"/>
  <c r="G6" i="6"/>
  <c r="G4" i="6"/>
  <c r="G3" i="6"/>
  <c r="G7" i="5"/>
  <c r="G6" i="5"/>
  <c r="G4" i="5"/>
  <c r="G3" i="5"/>
  <c r="G7" i="4"/>
  <c r="G6" i="4"/>
  <c r="G4" i="4"/>
  <c r="G3" i="4"/>
  <c r="G7" i="3"/>
  <c r="G6" i="3"/>
  <c r="G4" i="3"/>
  <c r="G3" i="3"/>
  <c r="G2" i="3"/>
  <c r="P86" i="7" l="1"/>
  <c r="H20" i="1" s="1"/>
  <c r="P94" i="8"/>
  <c r="H21" i="1" s="1"/>
  <c r="G3" i="2"/>
  <c r="O14" i="2"/>
  <c r="N14" i="2"/>
  <c r="L14" i="2"/>
  <c r="K14" i="2"/>
  <c r="P13" i="2"/>
  <c r="O13" i="2"/>
  <c r="N13" i="2"/>
  <c r="L13" i="2"/>
  <c r="P12" i="2"/>
  <c r="O12" i="2"/>
  <c r="N12" i="2"/>
  <c r="L12" i="2"/>
  <c r="K12" i="2"/>
  <c r="G7" i="2"/>
  <c r="G6" i="2"/>
  <c r="G4" i="2"/>
  <c r="G2" i="2"/>
  <c r="V59" i="2" l="1"/>
  <c r="W59" i="2" s="1"/>
  <c r="E48" i="1" l="1"/>
  <c r="G48" i="1" s="1"/>
  <c r="H48" i="1"/>
  <c r="E47" i="1"/>
  <c r="G47" i="1" s="1"/>
  <c r="H47" i="1"/>
  <c r="E40" i="1"/>
  <c r="G40" i="1" s="1"/>
  <c r="H40" i="1"/>
  <c r="E39" i="1"/>
  <c r="G39" i="1" s="1"/>
  <c r="H39" i="1"/>
  <c r="H50" i="1" l="1"/>
  <c r="E50" i="1"/>
  <c r="G50" i="1" s="1"/>
  <c r="E15" i="1"/>
  <c r="G15" i="1" s="1"/>
  <c r="E24" i="1"/>
  <c r="G24" i="1" s="1"/>
  <c r="E31" i="1"/>
  <c r="G31" i="1" s="1"/>
  <c r="E36" i="1"/>
  <c r="G36" i="1" s="1"/>
  <c r="H36" i="1"/>
  <c r="E44" i="1"/>
  <c r="G44" i="1" s="1"/>
  <c r="H44" i="1"/>
  <c r="E18" i="1"/>
  <c r="G18" i="1" s="1"/>
  <c r="E26" i="1"/>
  <c r="G26" i="1" s="1"/>
  <c r="E19" i="1"/>
  <c r="G19" i="1" s="1"/>
  <c r="E20" i="1"/>
  <c r="G20" i="1" s="1"/>
  <c r="E27" i="1"/>
  <c r="G27" i="1" s="1"/>
  <c r="E28" i="1"/>
  <c r="G28" i="1" s="1"/>
  <c r="E16" i="1"/>
  <c r="G16" i="1" s="1"/>
  <c r="E23" i="1"/>
  <c r="G23" i="1" s="1"/>
  <c r="E32" i="1"/>
  <c r="G32" i="1" s="1"/>
  <c r="H38" i="1"/>
  <c r="E38" i="1"/>
  <c r="G38" i="1" s="1"/>
  <c r="H46" i="1"/>
  <c r="E46" i="1"/>
  <c r="G46" i="1" s="1"/>
  <c r="E22" i="1"/>
  <c r="G22" i="1" s="1"/>
  <c r="E30" i="1"/>
  <c r="G30" i="1" s="1"/>
  <c r="E34" i="1"/>
  <c r="G34" i="1" s="1"/>
  <c r="E42" i="1"/>
  <c r="G42" i="1" s="1"/>
  <c r="E21" i="1" l="1"/>
  <c r="G21" i="1" s="1"/>
  <c r="E49" i="1"/>
  <c r="G49" i="1" s="1"/>
  <c r="H49" i="1"/>
  <c r="E45" i="1"/>
  <c r="G45" i="1" s="1"/>
  <c r="E41" i="1"/>
  <c r="G41" i="1" s="1"/>
  <c r="H41" i="1"/>
  <c r="E29" i="1"/>
  <c r="G29" i="1" s="1"/>
  <c r="E17" i="1"/>
  <c r="G17" i="1" s="1"/>
  <c r="E37" i="1"/>
  <c r="G37" i="1" s="1"/>
  <c r="E25" i="1"/>
  <c r="G25" i="1" s="1"/>
  <c r="P15" i="6" l="1"/>
  <c r="P14" i="6" s="1"/>
  <c r="P90" i="6" s="1"/>
  <c r="H19" i="1" s="1"/>
  <c r="H51" i="1" s="1"/>
</calcChain>
</file>

<file path=xl/sharedStrings.xml><?xml version="1.0" encoding="utf-8"?>
<sst xmlns="http://schemas.openxmlformats.org/spreadsheetml/2006/main" count="11569" uniqueCount="1275">
  <si>
    <t>21</t>
  </si>
  <si>
    <t>15</t>
  </si>
  <si>
    <t>Náklady stavby celkem</t>
  </si>
  <si>
    <t>D</t>
  </si>
  <si>
    <t>0</t>
  </si>
  <si>
    <t>01</t>
  </si>
  <si>
    <t>SO 01 - Kanalizační stoky gravitační</t>
  </si>
  <si>
    <t>1</t>
  </si>
  <si>
    <t>2</t>
  </si>
  <si>
    <t xml:space="preserve">SO 01.A - Stoka A.0 </t>
  </si>
  <si>
    <t>02</t>
  </si>
  <si>
    <t>SO 01.B - Stoka A.0.1</t>
  </si>
  <si>
    <t>03</t>
  </si>
  <si>
    <t>SO 01.C - Stoka A</t>
  </si>
  <si>
    <t>04</t>
  </si>
  <si>
    <t>SO 01.D - Stoka A.1</t>
  </si>
  <si>
    <t>05</t>
  </si>
  <si>
    <t>SO 01.E - Stoka A.1.1</t>
  </si>
  <si>
    <t>06</t>
  </si>
  <si>
    <t>SO 01.F - Stoka A.1.2</t>
  </si>
  <si>
    <t>07</t>
  </si>
  <si>
    <t>SO 01.G - Stoka A.2</t>
  </si>
  <si>
    <t>08</t>
  </si>
  <si>
    <t>SO 01.H - Stoka A.2.1</t>
  </si>
  <si>
    <t>09</t>
  </si>
  <si>
    <t>SO 01.I - Stoka A.3</t>
  </si>
  <si>
    <t>10</t>
  </si>
  <si>
    <t>SO 01.J - Stoka A.4</t>
  </si>
  <si>
    <t>11</t>
  </si>
  <si>
    <t>SO 01.J - Stoka A.4.1</t>
  </si>
  <si>
    <t>12</t>
  </si>
  <si>
    <t>SO 01.K - Stoka A.5</t>
  </si>
  <si>
    <t>13</t>
  </si>
  <si>
    <t>SO 01.L - Stoka B</t>
  </si>
  <si>
    <t>14</t>
  </si>
  <si>
    <t>SO 01.M - Stoka B.1</t>
  </si>
  <si>
    <t>SO 01.N - Stoka B.2</t>
  </si>
  <si>
    <t>16</t>
  </si>
  <si>
    <t>SO 01.O - Stoka B.2.1</t>
  </si>
  <si>
    <t>17</t>
  </si>
  <si>
    <t>SO 01.P - Stoka B.3</t>
  </si>
  <si>
    <t>18</t>
  </si>
  <si>
    <t>SO 01.L - Stoka B.4</t>
  </si>
  <si>
    <t>SO 01.1 - Kanalizační stoky tlakové</t>
  </si>
  <si>
    <t>SAO 01.1.A - Tlaková větev b.1-t,  d63</t>
  </si>
  <si>
    <t>SO 02 - Čerpací stanice odpadních vod Úherce 1 (ČSOV 1)</t>
  </si>
  <si>
    <t>SO 02.A - ČSOV 1 - stavební část</t>
  </si>
  <si>
    <t>SO 02.B - Výtlačný řad 1 - d110</t>
  </si>
  <si>
    <t>PS 02.1 - Strojně technologická část</t>
  </si>
  <si>
    <t>PS 02.2 - Elektrotechnologická část</t>
  </si>
  <si>
    <t>PS 02.3 - Systém řízení technologického procesu</t>
  </si>
  <si>
    <t>SO 02.1 - Přípojka NN k ČSOV 1</t>
  </si>
  <si>
    <t>SO 02.2 - Výtlačný řad 3, Úherce - Dobrovice</t>
  </si>
  <si>
    <t>SO 03 - Čerpací stanice odpadních vod Úherce 2 (ČSOV 2)</t>
  </si>
  <si>
    <t>SO 03.A - ČSOV 2 - stavební část</t>
  </si>
  <si>
    <t>SO 03.B - Výtlačný řad 2 - d110</t>
  </si>
  <si>
    <t>PS 03.1 - Strojně technologická část</t>
  </si>
  <si>
    <t>PS 03.2 - Elektrotechnologická část</t>
  </si>
  <si>
    <t>PS 03.3 - Systém řízení technologického procesu</t>
  </si>
  <si>
    <t>SO 03.1 - Přípojka NN pro ČSOV 2</t>
  </si>
  <si>
    <t>VRN</t>
  </si>
  <si>
    <t>m</t>
  </si>
  <si>
    <t>m3</t>
  </si>
  <si>
    <t xml:space="preserve">01 - SO 01.A - Stoka A.0 </t>
  </si>
  <si>
    <t>MJ</t>
  </si>
  <si>
    <t>Množství</t>
  </si>
  <si>
    <t>HSV</t>
  </si>
  <si>
    <t xml:space="preserve"> Práce a dodávky HSV</t>
  </si>
  <si>
    <t>Zemní práce</t>
  </si>
  <si>
    <t>K</t>
  </si>
  <si>
    <t>113106271</t>
  </si>
  <si>
    <t>Rozebrání dlažeb a dílců vozovek a ploch s přemístěním hmot na skládku na vzdálenost do 3 m nebo s naložením na dopravní prostředek, s jakoukoliv výplní spár strojně plochy jednotlivě přes 50 m2 do 200 m2 ze zámkové dlažby s ložem z kameniva</t>
  </si>
  <si>
    <t>m2</t>
  </si>
  <si>
    <t>4</t>
  </si>
  <si>
    <t>113107163</t>
  </si>
  <si>
    <t>Odstranění podkladů nebo krytů strojně plochy jednotlivě přes 50 m2 do 200 m2 s přemístěním hmot na skládku na vzdálenost do 20 m nebo s naložením na dopravní prostředek z kameniva hrubého drceného, o tl. vrstvy přes 200 do 300 mm</t>
  </si>
  <si>
    <t>3</t>
  </si>
  <si>
    <t>113107151</t>
  </si>
  <si>
    <t>Odstranění podkladů nebo krytů strojně plochy jednotlivě přes 50 m2 do 200 m2 s přemístěním hmot na skládku na vzdálenost do 20 m nebo s naložením na dopravní prostředek z kameniva těženého, o tl. vrstvy do 100 mm</t>
  </si>
  <si>
    <t>113107162</t>
  </si>
  <si>
    <t>Odstranění podkladů nebo krytů strojně plochy jednotlivě přes 50 m2 do 200 m2 s přemístěním hmot na skládku na vzdálenost do 20 m nebo s naložením na dopravní prostředek z kameniva hrubého drceného, o tl. vrstvy přes 100 do 200 mm</t>
  </si>
  <si>
    <t>5</t>
  </si>
  <si>
    <t>113107241</t>
  </si>
  <si>
    <t>Odstranění podkladů nebo krytů strojně plochy jednotlivě přes 200 m2 s přemístěním hmot na skládku na vzdálenost do 20 m nebo s naložením na dopravní prostředek živičných, o tl. vrstvy do 50 mm</t>
  </si>
  <si>
    <t>6</t>
  </si>
  <si>
    <t>113154333</t>
  </si>
  <si>
    <t>Frézování živičného podkladu nebo krytu s naložením na dopravní prostředek plochy přes 1 000 do 10 000 m2 bez překážek v trase pruhu šířky přes 1 m do 2 m, tloušťky vrstvy 50 mm</t>
  </si>
  <si>
    <t>7</t>
  </si>
  <si>
    <t>119001401</t>
  </si>
  <si>
    <t>Dočasné zajištění podzemního potrubí nebo vedení ve výkopišti ve stavu i poloze , ve kterých byla na začátku zemních prací a to s podepřením, vzepřením nebo vyvěšením, příp. s ochranným bedněním, se zřízením a odstraněním za jišťovací konstrukce, s opotřebením hmot potrubí ocelového nebo litinového, jmenovité světlosti DN do 200</t>
  </si>
  <si>
    <t>8</t>
  </si>
  <si>
    <t>119001421</t>
  </si>
  <si>
    <t>Dočasné zajištění podzemního potrubí nebo vedení ve výkopišti ve stavu i poloze , ve kterých byla na začátku zemních prací a to s podepřením, vzepřením nebo vyvěšením, příp. s ochranným bedněním, se zřízením a odstraněním za jišťovací konstrukce, s opotřebením hmot kabelů a kabelových tratí z volně ložených kabelů a to do 3 kabelů</t>
  </si>
  <si>
    <t>9</t>
  </si>
  <si>
    <t>130001101</t>
  </si>
  <si>
    <t>Příplatek k cenám hloubených vykopávek za ztížení vykopávky v blízkosti podzemního vedení nebo výbušnin pro jakoukoliv třídu horniny</t>
  </si>
  <si>
    <t>132101204</t>
  </si>
  <si>
    <t>Hloubení zapažených i nezapažených rýh šířky přes 600 do 2 000 mm s urovnáním dna do předepsaného profilu a spádu v horninách tř. 1 a 2 přes 5 000 m3</t>
  </si>
  <si>
    <t>132201204</t>
  </si>
  <si>
    <t>Hloubení zapažených i nezapažených rýh šířky přes 600 do 2 000 mm s urovnáním dna do předepsaného profilu a spádu v hornině tř. 3 přes 5 000 m3</t>
  </si>
  <si>
    <t>132301204</t>
  </si>
  <si>
    <t>Hloubení zapažených i nezapažených rýh šířky přes 600 do 2 000 mm s urovnáním dna do předepsaného profilu a spádu v hornině tř. 4 přes 5 000 m3</t>
  </si>
  <si>
    <t>151101102</t>
  </si>
  <si>
    <t>Zřízení pažení a rozepření stěn rýh pro podzemní vedení pro všechny šířky rýhy příložné pro jakoukoliv mezerovitost, hloubky do 4 m</t>
  </si>
  <si>
    <t>151101112</t>
  </si>
  <si>
    <t>Odstranění pažení a rozepření stěn rýh pro podzemní vedení s uložením materiálu na vzdálenost do 3 m od kraje výkopu příložné, hloubky přes 2 do 4 m</t>
  </si>
  <si>
    <t>161101101</t>
  </si>
  <si>
    <t>Svislé přemístění výkopku bez naložení do dopravní nádoby avšak s vyprázdněním dopravní nádoby na hromadu nebo do dopravního prostředku z horniny tř. 1 až 4, při hloubce výkopu přes 1 do 2,5 m</t>
  </si>
  <si>
    <t>162701105R</t>
  </si>
  <si>
    <t>Vodorovné přemístění výkopku nebo sypaniny po suchu na obvyklém dopravním prostředku, bez naložení výkopku, avšak se složením bez rozhrnutí z horniny tř. 1 až 4 na mezideponii</t>
  </si>
  <si>
    <t>167101102</t>
  </si>
  <si>
    <t>Nakládání, skládání a překládání neulehlého výkopku nebo sypaniny nakládání, množství přes 100 m3, z hornin tř. 1 až 4</t>
  </si>
  <si>
    <t>162601102R</t>
  </si>
  <si>
    <t>Vodorovné přemístění výkopku nebo sypaniny po suchu na obvyklém dopravním prostředku, bez naložení výkopku, avšak se složením bez rozhrnutí z horniny tř. 1 až 4 z mezideponie na skládku</t>
  </si>
  <si>
    <t>19</t>
  </si>
  <si>
    <t>171201201</t>
  </si>
  <si>
    <t>Uložení sypaniny na skládky</t>
  </si>
  <si>
    <t>20</t>
  </si>
  <si>
    <t>171201211</t>
  </si>
  <si>
    <t>Poplatek za uložení stavebního odpadu na skládce (skládkovné) zeminy a kameniva zatříděného do Katalogu odpadů pod kódem 170 504</t>
  </si>
  <si>
    <t>t</t>
  </si>
  <si>
    <t>174101101</t>
  </si>
  <si>
    <t>Zásyp sypaninou z jakékoliv horniny s uložením výkopku ve vrstvách se zhutněním jam, šachet, rýh nebo kolem objektů v těchto vykopávkách</t>
  </si>
  <si>
    <t>22</t>
  </si>
  <si>
    <t>175111101</t>
  </si>
  <si>
    <t>Obsypání potrubí ručně sypaninou z vhodných hornin tř. 1 až 4 nebo materiálem připraveným podél výkopu ve vzdálenosti do 3 m od jeho kraje, pro jakoukoliv hloubku výkopu a míru zhutnění bez prohození sypaniny sítem</t>
  </si>
  <si>
    <t>23</t>
  </si>
  <si>
    <t>M</t>
  </si>
  <si>
    <t>583373020</t>
  </si>
  <si>
    <t>štěrkopísek frakce 0/16</t>
  </si>
  <si>
    <t>Svislé a kompletní konstrukce</t>
  </si>
  <si>
    <t>24</t>
  </si>
  <si>
    <t>359901111</t>
  </si>
  <si>
    <t>Vyčištění stok jakékoliv výšky</t>
  </si>
  <si>
    <t>Vodorovné konstrukce</t>
  </si>
  <si>
    <t>25</t>
  </si>
  <si>
    <t>452112111</t>
  </si>
  <si>
    <t>Osazení betonových dílců prstenců nebo rámů pod poklopy a mříže, výšky do 100 mm</t>
  </si>
  <si>
    <t>kus</t>
  </si>
  <si>
    <t>26</t>
  </si>
  <si>
    <t>592241750</t>
  </si>
  <si>
    <t>prstenec betonový vyrovnávací TBW-Q 625/60/120</t>
  </si>
  <si>
    <t>27</t>
  </si>
  <si>
    <t>592241760</t>
  </si>
  <si>
    <t>prstenec šachtový vyrovnávací betonový 625x120x80mm</t>
  </si>
  <si>
    <t>28</t>
  </si>
  <si>
    <t>592241770</t>
  </si>
  <si>
    <t>prstenec betonový vyrovnávací TBW-Q 625/100/120</t>
  </si>
  <si>
    <t>29</t>
  </si>
  <si>
    <t>452112121</t>
  </si>
  <si>
    <t>Osazení betonových dílců prstenců nebo rámů pod poklopy a mříže, výšky přes 100 do 200 mm</t>
  </si>
  <si>
    <t>30</t>
  </si>
  <si>
    <t>59224394R</t>
  </si>
  <si>
    <t>prstenec betonový vyrovnávací TBW-Q 625/120/120</t>
  </si>
  <si>
    <t>Komunikace</t>
  </si>
  <si>
    <t>31</t>
  </si>
  <si>
    <t>564681111</t>
  </si>
  <si>
    <t>Podklad z kameniva hrubého drceného vel. 63-125 mm, s rozprostřením a zhutněním, po zhutnění tl. 300 mm</t>
  </si>
  <si>
    <t>32</t>
  </si>
  <si>
    <t>564761111.1</t>
  </si>
  <si>
    <t>Kryt z kameniva hrubého drceného vel. 4 -32 mm s rozprostřením a zhutněním, po zhutnění tl. 200 mm</t>
  </si>
  <si>
    <t>33</t>
  </si>
  <si>
    <t>564851111</t>
  </si>
  <si>
    <t>Podklad ze štěrkodrti ŠD s rozprostřením a zhutněním, po zhutnění tl. 150 mm</t>
  </si>
  <si>
    <t>34</t>
  </si>
  <si>
    <t>564871116</t>
  </si>
  <si>
    <t>Podklad ze štěrkodrti ŠD s rozprostřením a zhutněním, po zhutnění tl. 300 mm</t>
  </si>
  <si>
    <t>35</t>
  </si>
  <si>
    <t>573111111</t>
  </si>
  <si>
    <t>Postřik infiltrační PI z asfaltu silničního s posypem kamenivem, v množství 0,60 kg/m2</t>
  </si>
  <si>
    <t>36</t>
  </si>
  <si>
    <t>577144211</t>
  </si>
  <si>
    <t>Asfaltový beton vrstva obrusná ACO 11 (ABS) s rozprostřením a se zhutněním z nemodifikovaného asfaltu v pruhu šířky do 3 m tř. II, po zhutnění tl. 50 mm</t>
  </si>
  <si>
    <t>37</t>
  </si>
  <si>
    <t>577145112</t>
  </si>
  <si>
    <t>Asfaltový beton vrstva ložní ACL 16 (ABH) s rozprostřením a zhutněním z nemodifikovaného asfaltu v pruhu šířky do 3 m, po zhutnění tl. 50 mm</t>
  </si>
  <si>
    <t>38</t>
  </si>
  <si>
    <t>596212221</t>
  </si>
  <si>
    <t>Kladení dlažby z betonových zámkových dlaždic pozemních komunikací s ložem z kameniva těženého nebo drceného tl. do 50 mm, s vyplněním spár, s dvojitým hutněním vibrováním a se smetením přebytečného materiálu na krajnici tl. 80 mm skupiny B, pro plochy přes 50 do 100 m2</t>
  </si>
  <si>
    <t>39</t>
  </si>
  <si>
    <t>592450900</t>
  </si>
  <si>
    <t>dlažba zámková profilová 23x14x8 cm přírodní</t>
  </si>
  <si>
    <t>Trubní vedení</t>
  </si>
  <si>
    <t>40</t>
  </si>
  <si>
    <t>831362121</t>
  </si>
  <si>
    <t>Montáž potrubí z trub kameninových hrdlových s integrovaným těsněním v otevřeném výkopu ve sklonu do 20 % DN 250</t>
  </si>
  <si>
    <t>41</t>
  </si>
  <si>
    <t>597107020</t>
  </si>
  <si>
    <t>trouba kameninová glazovaná  DN 250mm L2,50m spojovací systém C Třida 160</t>
  </si>
  <si>
    <t>42</t>
  </si>
  <si>
    <t>837352221</t>
  </si>
  <si>
    <t>Montáž kameninových tvarovek na potrubí z trub kameninových v otevřeném výkopu s integrovaným těsněním jednoosých DN 200</t>
  </si>
  <si>
    <t>43</t>
  </si>
  <si>
    <t>597110260</t>
  </si>
  <si>
    <t>koleno kameninové glazované DN 200 90° spojovací systém F tř. 240</t>
  </si>
  <si>
    <t>44</t>
  </si>
  <si>
    <t>597108730</t>
  </si>
  <si>
    <t>trouba kameninová glazovaná zkrácená bez hrdla DN 200mm L 60(75)cm třída 160 spojovací systém F,C</t>
  </si>
  <si>
    <t>45</t>
  </si>
  <si>
    <t>597108430</t>
  </si>
  <si>
    <t>trouba kameninová glazovaná zkrácená DN200mm L60(75)cm třída 160 spojovací systém F,C</t>
  </si>
  <si>
    <t>46</t>
  </si>
  <si>
    <t>837361221</t>
  </si>
  <si>
    <t>Montáž kameninových tvarovek na potrubí z trub kameninových v otevřeném výkopu s integrovaným těsněním odbočných DN 250</t>
  </si>
  <si>
    <t>47</t>
  </si>
  <si>
    <t>597117600</t>
  </si>
  <si>
    <t>odbočka kameninová glazovaná jednoduchá kolmá DN 250/150 L50cm spojovací systém C/F tř.160/-</t>
  </si>
  <si>
    <t>48</t>
  </si>
  <si>
    <t>597117620</t>
  </si>
  <si>
    <t>odbočka kameninová glazovaná jednoduchá kolmá DN 250/200 L60cm spojovací systém C/F tř.160/160</t>
  </si>
  <si>
    <t>49</t>
  </si>
  <si>
    <t>892362121</t>
  </si>
  <si>
    <t>Tlakové zkoušky vzduchem těsnícími vaky ucpávkovými DN 250</t>
  </si>
  <si>
    <t>úsek</t>
  </si>
  <si>
    <t>50</t>
  </si>
  <si>
    <t>894118001</t>
  </si>
  <si>
    <t>Šachty kanalizační zděné Příplatek k cenám za každých dalších 0,60 m výšky vstupu</t>
  </si>
  <si>
    <t>51</t>
  </si>
  <si>
    <t>592243375R</t>
  </si>
  <si>
    <t>dno betonové šachty kanalizační TBZ-Q PERF 250-735 XF4</t>
  </si>
  <si>
    <t>52</t>
  </si>
  <si>
    <t>592243390R</t>
  </si>
  <si>
    <t>dno betonové šachty kanalizační TZB-Q 250-700 tl.150</t>
  </si>
  <si>
    <t>53</t>
  </si>
  <si>
    <t>592243120</t>
  </si>
  <si>
    <t>kónus šachetní betonový kapsové plastové stupadlo 100x62,5x58 cm</t>
  </si>
  <si>
    <t>54</t>
  </si>
  <si>
    <t>592243830</t>
  </si>
  <si>
    <t>skruž betonová šachtová TBS-Q 1000/250/120 SP  100x25x12 cm</t>
  </si>
  <si>
    <t>55</t>
  </si>
  <si>
    <t>592243820</t>
  </si>
  <si>
    <t>skruž betonová šachtová TBS-Q 1000/500/120 SP  100x50x12 cm</t>
  </si>
  <si>
    <t>56</t>
  </si>
  <si>
    <t>592243810</t>
  </si>
  <si>
    <t>skruž betonová šachtová TBS-Q 1000/1000/120 SP 120 PE</t>
  </si>
  <si>
    <t>57</t>
  </si>
  <si>
    <t>592243480</t>
  </si>
  <si>
    <t>těsnění elastomerové pro spojení šachetních dílů DN 1000</t>
  </si>
  <si>
    <t>58</t>
  </si>
  <si>
    <t>894411121</t>
  </si>
  <si>
    <t>Zřízení šachet kanalizačních z betonových dílců výšky vstupu do 1,50 m s obložením dna betonem tř. C 25/30, na potrubí DN přes 200 do 300</t>
  </si>
  <si>
    <t>59</t>
  </si>
  <si>
    <t>899104112</t>
  </si>
  <si>
    <t>Osazení poklopů litinových a ocelových včetně rámů pro třídu zatížení D400, E600</t>
  </si>
  <si>
    <t>60</t>
  </si>
  <si>
    <t>552410300</t>
  </si>
  <si>
    <t>poklop šachtový litinový kruhový DN 600 bez ventilace tř D 400 pro intenzivní provoz</t>
  </si>
  <si>
    <t>61</t>
  </si>
  <si>
    <t>552410141</t>
  </si>
  <si>
    <t>poklop šachtový třída D 400, uzamykatelný, vstup 600 mm, bez ventilace, FIX</t>
  </si>
  <si>
    <t>62</t>
  </si>
  <si>
    <t>552410150</t>
  </si>
  <si>
    <t>poklop šachtový třída D 400, kruhový rám 785, vstup 600 mm, s ventilací</t>
  </si>
  <si>
    <t>63</t>
  </si>
  <si>
    <t>899623141</t>
  </si>
  <si>
    <t>Obetonování potrubí nebo zdiva stok betonem prostým v otevřeném výkopu, beton tř. C 12/15</t>
  </si>
  <si>
    <t>64</t>
  </si>
  <si>
    <t>896211212</t>
  </si>
  <si>
    <t>Spadiště kanalizační z prostého betonu kruhové výšky vstupu do 0,90 m a základní výšky spadiště 0,60 m jednoduché se dnem obloženým čedičem s horním potrubím DN 250 nebo 300</t>
  </si>
  <si>
    <t>65</t>
  </si>
  <si>
    <t>899643111</t>
  </si>
  <si>
    <t>Bednění pro obetonování potrubí v otevřeném výkopu</t>
  </si>
  <si>
    <t>66</t>
  </si>
  <si>
    <t>899623151</t>
  </si>
  <si>
    <t>Obetonování potrubí nebo zdiva stok betonem prostým v otevřeném výkopu, beton tř. C 16/20</t>
  </si>
  <si>
    <t>67</t>
  </si>
  <si>
    <t>899722113</t>
  </si>
  <si>
    <t>Krytí potrubí z plastů výstražnou fólií z PVC šířky 34cm</t>
  </si>
  <si>
    <t>Ostatní konstrukce a práce-bourání</t>
  </si>
  <si>
    <t>68</t>
  </si>
  <si>
    <t>919122122</t>
  </si>
  <si>
    <t>Utěsnění dilatačních spár zálivkou za tepla v cementobetonovém nebo živičném krytu včetně adhezního nátěru s těsnicím profilem pod zálivkou, pro komůrky šířky 15 mm, hloubky 30 mm</t>
  </si>
  <si>
    <t>69</t>
  </si>
  <si>
    <t>919731121.1</t>
  </si>
  <si>
    <t>Zarovnání styčné plochy podkladu nebo krytu podél vybourané části komunikace nebo zpevněné plochy živičné tl. do 50 mm</t>
  </si>
  <si>
    <t>70</t>
  </si>
  <si>
    <t>919735111.1</t>
  </si>
  <si>
    <t>Řezání stávajícího živičného krytu nebo podkladu hloubky do 50 mm</t>
  </si>
  <si>
    <t>71</t>
  </si>
  <si>
    <t>919794441</t>
  </si>
  <si>
    <t>Úprava ploch kolem hydrantů, šoupat, kanalizačních poklopů a mříží, sloupů apod. v živičných krytech jakékoliv tloušťky, jednotlivě v půdorysné ploše do 2 m2</t>
  </si>
  <si>
    <t>997</t>
  </si>
  <si>
    <t>Přesun sutě</t>
  </si>
  <si>
    <t>72</t>
  </si>
  <si>
    <t>997221551R</t>
  </si>
  <si>
    <t>Vodorovná doprava suti bez naložení, ale se složením a s hrubým urovnáním ze sypkých materiálů</t>
  </si>
  <si>
    <t>73</t>
  </si>
  <si>
    <t>997221845</t>
  </si>
  <si>
    <t>Poplatek za uložení stavebního odpadu na skládce (skládkovné) asfaltového bez obsahu dehtu zatříděného do Katalogu odpadů pod kódem 170 302</t>
  </si>
  <si>
    <t>74</t>
  </si>
  <si>
    <t>997221855</t>
  </si>
  <si>
    <t>998</t>
  </si>
  <si>
    <t>Přesun hmot</t>
  </si>
  <si>
    <t>75</t>
  </si>
  <si>
    <t>998275101</t>
  </si>
  <si>
    <t>Přesun hmot pro trubní vedení hloubené z trub kameninových pro kanalizace v otevřeném výkopu dopravní vzdálenost do 15 m</t>
  </si>
  <si>
    <t>02 - SO 01.B - Stoka A.0.1</t>
  </si>
  <si>
    <t>121101102</t>
  </si>
  <si>
    <t>Sejmutí ornice nebo lesní půdy s vodorovným přemístěním na hromady v místě upotřebení nebo na dočasné či trvalé skládky se složením, na vzdálenost přes 50 do 100 m</t>
  </si>
  <si>
    <t>181301111</t>
  </si>
  <si>
    <t>Rozprostření a urovnání ornice v rovině nebo ve svahu sklonu do 1:5 při souvislé ploše přes 500 m2, tl. vrstvy do 100 mm</t>
  </si>
  <si>
    <t>183403111</t>
  </si>
  <si>
    <t>Obdělání půdy nakopáním hl. přes 50 do 100 mm v rovině nebo na svahu do 1:5</t>
  </si>
  <si>
    <t>183405211</t>
  </si>
  <si>
    <t>Výsev trávníku hydroosevem na ornici</t>
  </si>
  <si>
    <t>005724700</t>
  </si>
  <si>
    <t>osivo směs travní univerzál</t>
  </si>
  <si>
    <t>kg</t>
  </si>
  <si>
    <t>185803111</t>
  </si>
  <si>
    <t>Ošetření trávníku jednorázové v rovině nebo na svahu do 1:5</t>
  </si>
  <si>
    <t>skruž betonová šachtová TBS-Q 1000/1000/120 SP XF4</t>
  </si>
  <si>
    <t>552410310</t>
  </si>
  <si>
    <t>poklop šachtový třída D 400, kruhový s ventilací</t>
  </si>
  <si>
    <t>03 - SO 01.C - Stoka A</t>
  </si>
  <si>
    <t>113107232</t>
  </si>
  <si>
    <t>Odstranění podkladů nebo krytů strojně plochy jednotlivě přes 200 m2 s přemístěním hmot na skládku na vzdálenost do 20 m nebo s naložením na dopravní prostředek z betonu prostého, o tl. vrstvy přes 150 do 300 mm</t>
  </si>
  <si>
    <t>113107242</t>
  </si>
  <si>
    <t>Odstranění podkladů nebo krytů strojně plochy jednotlivě přes 200 m2 s přemístěním hmot na skládku na vzdálenost do 20 m nebo s naložením na dopravní prostředek živičných, o tl. vrstvy přes 50 do 100 mm</t>
  </si>
  <si>
    <t>119001402.1</t>
  </si>
  <si>
    <t xml:space="preserve">Dočasné zajištění podzemního potrubí nebo vedení ve výkopišti ve stavu i poloze , ve kterých byla na začátku zemních prací do DN 600 </t>
  </si>
  <si>
    <t>119001412R</t>
  </si>
  <si>
    <t xml:space="preserve">Dočasné zajištění oplocení </t>
  </si>
  <si>
    <t>kpl.</t>
  </si>
  <si>
    <t>592241760R</t>
  </si>
  <si>
    <t>prstenec betonový vyrovnávací TBW-Q 625/40/120</t>
  </si>
  <si>
    <t>565136111</t>
  </si>
  <si>
    <t>Asfaltový beton vrstva podkladní ACP 22 (obalované kamenivo hrubozrnné - OKH) s rozprostřením a zhutněním v pruhu šířky do 3 m, po zhutnění tl. 50 mm</t>
  </si>
  <si>
    <t>567122114</t>
  </si>
  <si>
    <t>Podklad ze směsi stmelené cementem SC bez dilatačních spár, s rozprostřením a zhutněním SC C 8/10 (KSC I), po zhutnění tl. 150 mm</t>
  </si>
  <si>
    <t>577144221</t>
  </si>
  <si>
    <t>Asfaltový beton vrstva obrusná ACO 11 (ABS) s rozprostřením a se zhutněním z nemodifikovaného asfaltu v pruhu šířky přes 3 m tř. II, po zhutnění tl. 50 mm</t>
  </si>
  <si>
    <t>577146111</t>
  </si>
  <si>
    <t>Asfaltový beton vrstva ložní ACL 22 (ABVH) s rozprostřením a zhutněním z nemodifikovaného asfaltu v pruhu šířky do 3 m, po zhutnění tl. 50 mm</t>
  </si>
  <si>
    <t>trouba kameninová glazovaná DN 250mm L2,50m spojovací systém C Třida 160</t>
  </si>
  <si>
    <t>851351131</t>
  </si>
  <si>
    <t>Montáž potrubí z trub litinových tlakových hrdlových v otevřeném výkopu s integrovaným těsněním DN 200</t>
  </si>
  <si>
    <t>552531290</t>
  </si>
  <si>
    <t>trouba kanalizační hrdlová litinová pozinkovaná s obalem z cementové malty 6 m DN 200</t>
  </si>
  <si>
    <t>592243391R</t>
  </si>
  <si>
    <t>dno betonové šachty kanalizační TZB-Q 250-1000 tl.150</t>
  </si>
  <si>
    <t>592243380R</t>
  </si>
  <si>
    <t>dno betonové šachty kanalizační TZB-Q 250-1500 tl.150</t>
  </si>
  <si>
    <t>76</t>
  </si>
  <si>
    <t>77</t>
  </si>
  <si>
    <t>78</t>
  </si>
  <si>
    <t>79</t>
  </si>
  <si>
    <t>80</t>
  </si>
  <si>
    <t>81</t>
  </si>
  <si>
    <t>82</t>
  </si>
  <si>
    <t>83</t>
  </si>
  <si>
    <t>919731122</t>
  </si>
  <si>
    <t>Zarovnání styčné plochy podkladu nebo krytu podél vybourané části komunikace nebo zpevněné plochy živičné tl. přes 50 do 100 mm</t>
  </si>
  <si>
    <t>84</t>
  </si>
  <si>
    <t>85</t>
  </si>
  <si>
    <t>919735112</t>
  </si>
  <si>
    <t>Řezání stávajícího živičného krytu nebo podkladu hloubky přes 50 do 100 mm</t>
  </si>
  <si>
    <t>86</t>
  </si>
  <si>
    <t>87</t>
  </si>
  <si>
    <t>88</t>
  </si>
  <si>
    <t>89</t>
  </si>
  <si>
    <t>90</t>
  </si>
  <si>
    <t>997221561R</t>
  </si>
  <si>
    <t xml:space="preserve">Vodorovná doprava suti bez naložení, ale se složením a s hrubým urovnáním z kusových materiálů, </t>
  </si>
  <si>
    <t>91</t>
  </si>
  <si>
    <t>997221815</t>
  </si>
  <si>
    <t>Poplatek za uložení stavebního odpadu na skládce (skládkovné) z prostého betonu zatříděného do Katalogu odpadů pod kódem 170 101</t>
  </si>
  <si>
    <t>92</t>
  </si>
  <si>
    <t>04 - SO 01.D - Stoka A.1</t>
  </si>
  <si>
    <t>113107152</t>
  </si>
  <si>
    <t>Odstranění podkladů nebo krytů strojně plochy jednotlivě přes 50 m2 do 200 m2 s přemístěním hmot na skládku na vzdálenost do 20 m nebo s naložením na dopravní prostředek z kameniva těženého, o tl. vrstvy přes 100 do 200 mm</t>
  </si>
  <si>
    <t>119001411R</t>
  </si>
  <si>
    <t>Dočasné zajištění podzemní kce sloupů nadzemního vedení</t>
  </si>
  <si>
    <t>05 - SO 01.E - Stoka A.1.1</t>
  </si>
  <si>
    <t>06 - SO 01.F - Stoka A.1.2</t>
  </si>
  <si>
    <t>07 - SO 01.G - Stoka A.2</t>
  </si>
  <si>
    <t>08 - SO 01.H - Stoka A.2.1</t>
  </si>
  <si>
    <t>09 - SO 01.I - Stoka A.3</t>
  </si>
  <si>
    <t>119001413R</t>
  </si>
  <si>
    <t>10 - SO 01.J - Stoka A.4</t>
  </si>
  <si>
    <t>11 - SO 01.J - Stoka A.4.1</t>
  </si>
  <si>
    <t>12 - SO 01.K - Stoka A.5</t>
  </si>
  <si>
    <t>13 - SO 01.L - Stoka B</t>
  </si>
  <si>
    <t>14 - SO 01.M - Stoka B.1</t>
  </si>
  <si>
    <t>15 - SO 01.N - Stoka B.2</t>
  </si>
  <si>
    <t>837312221</t>
  </si>
  <si>
    <t>Montáž kameninových tvarovek na potrubí z trub kameninových v otevřeném výkopu s integrovaným těsněním jednoosých DN 150</t>
  </si>
  <si>
    <t>597110240</t>
  </si>
  <si>
    <t>koleno kameninové glazované DN 150 90° spojovací systém F</t>
  </si>
  <si>
    <t>597108720</t>
  </si>
  <si>
    <t>trouba kameninová glazovaná zkrácená bez hrdla DN 150mm L 60(75)cm spojovací systém F</t>
  </si>
  <si>
    <t>597108420</t>
  </si>
  <si>
    <t>trouba kameninová glazovaná zkrácená DN150mm L60(75)cm spojovací systém F</t>
  </si>
  <si>
    <t>597117400</t>
  </si>
  <si>
    <t>odbočka kameninová glazovaná jednoduchá kolmá DN 150/150 L40cm spojovací systém F/F</t>
  </si>
  <si>
    <t>16 - SO 01.O - Stoka B.2.1</t>
  </si>
  <si>
    <t>17 - SO 01.P - Stoka B.3</t>
  </si>
  <si>
    <t>18 - SO 01.L - Stoka B.4</t>
  </si>
  <si>
    <t>01 - SAO 01.1.A - Tlaková větev b.1-t,  d63</t>
  </si>
  <si>
    <t>451572111</t>
  </si>
  <si>
    <t>Lože pod potrubí, stoky a drobné objekty v otevřeném výkopu z kameniva drobného těženého 0 až 4 mm</t>
  </si>
  <si>
    <t>857242122</t>
  </si>
  <si>
    <t>Montáž litinových tvarovek na potrubí litinovém tlakovém jednoosých na potrubí z trub přírubových v otevřeném výkopu, kanálu nebo v šachtě DN 80</t>
  </si>
  <si>
    <t>505005020016</t>
  </si>
  <si>
    <t>KOLENO PATNÍ PŘÍRUBOVÉ DLOUHÉ DN 50</t>
  </si>
  <si>
    <t>871225201</t>
  </si>
  <si>
    <t>Montáž kanalizačního potrubí z plastů z polyetylenu PE 100 svařovaných elektrotvarovkou v otevřeném výkopu ve sklonu do 20 % SDR 11/PN16 D 63 x 5,8 mm</t>
  </si>
  <si>
    <t>286137210</t>
  </si>
  <si>
    <t>potrubí kanalizační z PE 100+ opláštěné vrstvou z pěnového PE, SDR 17, 63 x 3,8 mm</t>
  </si>
  <si>
    <t>877171101</t>
  </si>
  <si>
    <t>Montáž tvarovek na vodovodním plastovém potrubí z polyetylenu PE 100 elektrotvarovek SDR 11/PN16 spojek, oblouků nebo redukcí d 40</t>
  </si>
  <si>
    <t>286159700</t>
  </si>
  <si>
    <t>elektrospojka SDR 11 PE 100 PN 16 d 40</t>
  </si>
  <si>
    <t>877181101</t>
  </si>
  <si>
    <t>Montáž tvarovek na vodovodním plastovém potrubí z polyetylenu PE 100 elektrotvarovek SDR 11/PN16 spojek, oblouků nebo redukcí d 50</t>
  </si>
  <si>
    <t>286123410</t>
  </si>
  <si>
    <t>nákružek lemový  PE100 SDR 11, d 50</t>
  </si>
  <si>
    <t>286543651</t>
  </si>
  <si>
    <t xml:space="preserve">poplastovaná točivá příruba DN 50 PN 16 </t>
  </si>
  <si>
    <t>286149730</t>
  </si>
  <si>
    <t>elektroredukce PE 100 PN 16 d 50-40</t>
  </si>
  <si>
    <t>877211101</t>
  </si>
  <si>
    <t>Montáž tvarovek na vodovodním plastovém potrubí z polyetylenu PE 100 elektrotvarovek SDR 11/PN16 spojek, oblouků nebo redukcí d 63</t>
  </si>
  <si>
    <t>286159720</t>
  </si>
  <si>
    <t>elektrospojka SDR 11 PE 100 PN 16 d 63</t>
  </si>
  <si>
    <t>877211110</t>
  </si>
  <si>
    <t>Montáž tvarovek na vodovodním plastovém potrubí z polyetylenu PE 100 elektrotvarovek SDR 11/PN16 kolen 22° nebo 45° d 63</t>
  </si>
  <si>
    <t>286149460</t>
  </si>
  <si>
    <t>elektrokoleno 45° PE 100 PN 16 d 63</t>
  </si>
  <si>
    <t>877211123</t>
  </si>
  <si>
    <t>Montáž tvarovek na vodovodním plastovém potrubí z polyetylenu PE 100 elektrotvarovek SDR 11/PN16 T-kusů navrtávacích s 360° otočnou odbočkou d 63/40</t>
  </si>
  <si>
    <t>286140230</t>
  </si>
  <si>
    <t>tvarovka T-kus navrtávací bez vrtáku, d 63-63</t>
  </si>
  <si>
    <t>891173111</t>
  </si>
  <si>
    <t>Montáž vodovodních armatur na potrubí ventilů hlavních pro přípojky DN 32</t>
  </si>
  <si>
    <t>260000206316</t>
  </si>
  <si>
    <t xml:space="preserve">ŠOUPÁTKO ISO DOMOVNÍ PŘÍPOJKY DN32  PN16 - Vevařovací pro PE40 </t>
  </si>
  <si>
    <t>KS</t>
  </si>
  <si>
    <t>891211112</t>
  </si>
  <si>
    <t>Montáž vodovodních armatur na potrubí šoupátek nebo klapek uzavíracích v otevřeném výkopu nebo v šachtách s osazením zemní soupravy (bez poklopů) DN 50</t>
  </si>
  <si>
    <t>D48006300010</t>
  </si>
  <si>
    <t>ŠOUPÁTKO ISO PRO PITNOU A ODPADNÍ VODU DN 50 / DN63 VEVAŘOVACÍ</t>
  </si>
  <si>
    <t>891247111</t>
  </si>
  <si>
    <t>Montáž vodovodních armatur na potrubí hydrantů podzemních (bez osazení poklopů) DN 80</t>
  </si>
  <si>
    <t>D81005015016.1</t>
  </si>
  <si>
    <t>SOUPRAVA PROPLACHOVACÍ NA ODPADNÍ VODU DN 50/1,25 m</t>
  </si>
  <si>
    <t>892241111</t>
  </si>
  <si>
    <t>Tlakové zkoušky vodou na potrubí DN do 80</t>
  </si>
  <si>
    <t>892372111</t>
  </si>
  <si>
    <t>Tlakové zkoušky vodou zabezpečení konců potrubí při tlakových zkouškách DN do 300</t>
  </si>
  <si>
    <t>899401112</t>
  </si>
  <si>
    <t>Osazení poklopů litinových šoupátkových</t>
  </si>
  <si>
    <t>165000000004</t>
  </si>
  <si>
    <t xml:space="preserve"> POKLOP ULIČNÍ TĚŽKÝ domovních šoupátek</t>
  </si>
  <si>
    <t>348100000000</t>
  </si>
  <si>
    <t>PODKLADOVÁ DESKA UNIVERZÁLNÍ ŠOUPÁTKOVÁ</t>
  </si>
  <si>
    <t>960113018004</t>
  </si>
  <si>
    <t>VO+KA+PL Zemní soupravy SOUPRAVA ZEMNÍ TELESKOPICKÁ DOM. ŠOUPÁTKA-1,3-1,8 "3/4""-2"" (1,3-1,8m)"</t>
  </si>
  <si>
    <t>899401113</t>
  </si>
  <si>
    <t>Osazení poklopů litinových hydrantových</t>
  </si>
  <si>
    <t>195000000000</t>
  </si>
  <si>
    <t>POKLOP K PODZEMNÍ HYDRANTOVÝ PLAST , OVÁLNÝ</t>
  </si>
  <si>
    <t>348200000000</t>
  </si>
  <si>
    <t>VODA Příslušenství PODKLAD. DESKA  POD HYDRANT.POKLOP</t>
  </si>
  <si>
    <t>81231212R</t>
  </si>
  <si>
    <t>Montáž a dodávka pryžového segmentového těsnění DN 150/ d63</t>
  </si>
  <si>
    <t>751572061R</t>
  </si>
  <si>
    <t>Závěs kruhového potrubí pomocí nerezové objímky d63, vč. dodávky</t>
  </si>
  <si>
    <t>899713112</t>
  </si>
  <si>
    <t xml:space="preserve">Identifikační tabulky na vodovodních a kanalizačních řadech </t>
  </si>
  <si>
    <t>899721111</t>
  </si>
  <si>
    <t>Signalizační vodič na potrubí DN do 150 mm</t>
  </si>
  <si>
    <t>899722112</t>
  </si>
  <si>
    <t>Krytí potrubí z plastů výstražnou fólií z PVC šířky 25 cm</t>
  </si>
  <si>
    <t>998276101</t>
  </si>
  <si>
    <t>Přesun hmot pro trubní vedení hloubené z trub z plastických hmot nebo sklolaminátových pro vodovody nebo kanalizace v otevřeném výkopu dopravní vzdálenost do 15 m</t>
  </si>
  <si>
    <t>01 - SO 02.A - ČSOV 1 - stavební část</t>
  </si>
  <si>
    <t>Práce a dodávky HSV</t>
  </si>
  <si>
    <t>115101201</t>
  </si>
  <si>
    <t>Čerpání vody na dopravní výšku do 10 m s uvažovaným průměrným přítokem do 500 l/min</t>
  </si>
  <si>
    <t>hod</t>
  </si>
  <si>
    <t>115101301</t>
  </si>
  <si>
    <t>Pohotovost záložní čerpací soupravy pro dopravní výšku do 10 m s uvažovaným průměrným přítokem do 500 l/min</t>
  </si>
  <si>
    <t>den</t>
  </si>
  <si>
    <t>133101101</t>
  </si>
  <si>
    <t>Hloubení zapažených i nezapažených šachet s případným nutným přemístěním výkopku ve výkopišti v horninách tř. 1 a 2 do 100 m3</t>
  </si>
  <si>
    <t>133201101</t>
  </si>
  <si>
    <t>Hloubení zapažených i nezapažených šachet s případným nutným přemístěním výkopku ve výkopišti v hornině tř. 3 do 100 m3</t>
  </si>
  <si>
    <t>133301101</t>
  </si>
  <si>
    <t>Hloubení zapažených i nezapažených šachet s případným nutným přemístěním výkopku ve výkopišti v hornině tř. 4 do 100 m3</t>
  </si>
  <si>
    <t>153111114</t>
  </si>
  <si>
    <t>Úprava ocelových štětovnic pro štětové stěny řezání z terénu, štětovnic zaberaněných příčné</t>
  </si>
  <si>
    <t>153111119</t>
  </si>
  <si>
    <t>Úprava ocelových štětovnic pro štětové stěny řezání z terénu, štětovnic zaberaněných otvorů</t>
  </si>
  <si>
    <t>153112111</t>
  </si>
  <si>
    <t>Zřízení beraněných stěn z ocelových štětovnic z terénu nastražení štětovnic ve standardních podmínkách, délky do 10 m</t>
  </si>
  <si>
    <t>153112122</t>
  </si>
  <si>
    <t>Zřízení beraněných stěn z ocelových štětovnic z terénu zaberanění štětovnic ve standardních podmínkách, délky do 8 m</t>
  </si>
  <si>
    <t>159202200</t>
  </si>
  <si>
    <t>štětovnice larsen</t>
  </si>
  <si>
    <t>130108260</t>
  </si>
  <si>
    <t>ocel profilová UPN 200 jakost 11 375</t>
  </si>
  <si>
    <t>161101102</t>
  </si>
  <si>
    <t>Svislé přemístění výkopku bez naložení do dopravní nádoby avšak s vyprázdněním dopravní nádoby na hromadu nebo do dopravního prostředku z horniny tř. 1 až 4, při hloubce výkopu přes 2,5 do 4 m</t>
  </si>
  <si>
    <t>Zakládání</t>
  </si>
  <si>
    <t>274313711</t>
  </si>
  <si>
    <t>Základy z betonu prostého pasy betonu kamenem neprokládaného tř. C 20/25</t>
  </si>
  <si>
    <t>274351111</t>
  </si>
  <si>
    <t>Bednění základových konstrukcí pasů tradiční oboustranné</t>
  </si>
  <si>
    <t>274321411</t>
  </si>
  <si>
    <t>Základy z betonu železového (bez výztuže) pasy z betonu bez zvláštních nároků na prostředí tř. C 20/25</t>
  </si>
  <si>
    <t>274351215</t>
  </si>
  <si>
    <t>Bednění základových stěn pasů svislé nebo šikmé (odkloněné), půdorysně přímé nebo zalomené ve volných nebo zapažených jámách, rýhách, šachtách, včetně případných vzpěr zřízení</t>
  </si>
  <si>
    <t>274351216</t>
  </si>
  <si>
    <t>Bednění základových stěn pasů svislé nebo šikmé (odkloněné), půdorysně přímé nebo zalomené ve volných nebo zapažených jámách, rýhách, šachtách, včetně případných vzpěr odstranění</t>
  </si>
  <si>
    <t>274361821</t>
  </si>
  <si>
    <t>Výztuž základů pasů z betonářské oceli 10 505 (R) nebo BSt 500</t>
  </si>
  <si>
    <t>275313611</t>
  </si>
  <si>
    <t>Základy z betonu prostého patky a bloky z betonu kamenem neprokládaného tř. C 16/20</t>
  </si>
  <si>
    <t>275351111</t>
  </si>
  <si>
    <t>Bednění základových konstrukcí bloků tradiční oboustranné</t>
  </si>
  <si>
    <t>331231156</t>
  </si>
  <si>
    <t>Pilíře volně stojící z cihel pálených čtyřhranné až osmihranné (průřezu čtverce, T nebo kříže) pravoúhlé pod omítku nebo režné, bez spárování z cihel plných dl. 290 mm, pro režné neomítané zdivo P 20 až P 25 M I, na maltu MC-5 nebo MC-10</t>
  </si>
  <si>
    <t>338121123</t>
  </si>
  <si>
    <t>Osazování sloupků a vzpěr plotových železobetonových se zabetonováním patky betonem tř. B 7,5, o objemu do 0,15 m3</t>
  </si>
  <si>
    <t>592313510</t>
  </si>
  <si>
    <t>sloupek plotový betonový  150 x150 x250 cm</t>
  </si>
  <si>
    <t>592313511</t>
  </si>
  <si>
    <t>Vzpěra - beton 150 x 120 x 2500 (KZS 15 - 250</t>
  </si>
  <si>
    <t>338171123</t>
  </si>
  <si>
    <t>Osazování sloupků a vzpěr plotových ocelových trubkových nebo profilovaných výšky do 2,60 m se zabetonováním (tř. C 25/30) do 0,08 m3 do připravených jamek</t>
  </si>
  <si>
    <t>553422640</t>
  </si>
  <si>
    <t>sloupek plotový koncový Pz a komaxitový 2750/48x1,5mm</t>
  </si>
  <si>
    <t>348172214</t>
  </si>
  <si>
    <t>Montáž vjezdových bran samonosných posuvných dvoukřídlových plochy přes 5 do 10 m2</t>
  </si>
  <si>
    <t>553423411</t>
  </si>
  <si>
    <t>brána kovová  dvoukřídlová 3500x1800 mm</t>
  </si>
  <si>
    <t>348278401.1</t>
  </si>
  <si>
    <t>Ukončovací prvky betonové na maltu cementovou stříška 2700x590 mm</t>
  </si>
  <si>
    <t>348401130</t>
  </si>
  <si>
    <t>Osazení oplocení ze strojového pletiva s napínacími dráty do 15° sklonu svahu, výšky přes 1,6 do 2,0 m</t>
  </si>
  <si>
    <t>313275030</t>
  </si>
  <si>
    <t>pletivo drátěné plastifikované se čtvercovými oky 50 mm/2,2 mm, 175 cm</t>
  </si>
  <si>
    <t>348401350</t>
  </si>
  <si>
    <t>Osazení oplocení ze strojového pletiva rozvinutí, uchycení a napnutí drátu do 15° sklonu svahu napínacího</t>
  </si>
  <si>
    <t>348401360</t>
  </si>
  <si>
    <t>Osazení oplocení ze strojového pletiva rozvinutí, uchycení a napnutí drátu do 15° sklonu svahu přiháčkování pletiva k napínacímu drátu</t>
  </si>
  <si>
    <t>156191000</t>
  </si>
  <si>
    <t>drát poplastovaný kruhový napínací 2,5/3,5mm</t>
  </si>
  <si>
    <t>451541111</t>
  </si>
  <si>
    <t>Lože pod potrubí, stoky a drobné objekty v otevřeném výkopu ze štěrkodrtě 0-63 mm</t>
  </si>
  <si>
    <t>452311141</t>
  </si>
  <si>
    <t>Podkladní a zajišťovací konstrukce z betonu prostého v otevřeném výkopu desky pod potrubí, stoky a drobné objekty z betonu tř. C 16/20</t>
  </si>
  <si>
    <t>452368211</t>
  </si>
  <si>
    <t>Výztuž podkladních desek, bloků nebo pražců v otevřeném výkopu ze svařovaných sítí typu Kari</t>
  </si>
  <si>
    <t>452311161</t>
  </si>
  <si>
    <t>Podkladní a zajišťovací konstrukce z betonu prostého v otevřeném výkopu desky pod potrubí, stoky a drobné objekty z betonu tř. C 25/30</t>
  </si>
  <si>
    <t>564710011</t>
  </si>
  <si>
    <t>Podklad nebo kryt z kameniva hrubého drceného vel. 8-16 mm s rozprostřením a zhutněním, po zhutnění tl. 50 mm</t>
  </si>
  <si>
    <t>564761111</t>
  </si>
  <si>
    <t>Podklad nebo kryt z kameniva hrubého drceného vel. 32-63 mm s rozprostřením a zhutněním, po zhutnění tl. 200 mm</t>
  </si>
  <si>
    <t>596211210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</si>
  <si>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80 mm skupiny A, pro plochy do 50 m2</t>
  </si>
  <si>
    <t>592450070</t>
  </si>
  <si>
    <t>dlažba zámková profilová 20x16,5x8 cm přírodní</t>
  </si>
  <si>
    <t>Úpravy povrchů, podlahy a osazování výplní</t>
  </si>
  <si>
    <t>623631001</t>
  </si>
  <si>
    <t>Spárování vnějších ploch pohledového zdiva z cihel, spárovací maltou pilířů nebo sloupů</t>
  </si>
  <si>
    <t>857352122</t>
  </si>
  <si>
    <t>Montáž litinových tvarovek na potrubí litinovém tlakovém jednoosých na potrubí z trub přírubových v otevřeném výkopu, kanálu nebo v šachtě DN 200</t>
  </si>
  <si>
    <t>552424240R</t>
  </si>
  <si>
    <t>Přírubový E-kus LT-DN200, jištěný proti posunu</t>
  </si>
  <si>
    <t>871263121R</t>
  </si>
  <si>
    <t>Montáž kanalizačního potrubí z plastů z tvrdého PVC těsněných gumovým kroužkem v otevřeném výkopu ve sklonu do 20 % DN 110</t>
  </si>
  <si>
    <t>286113020</t>
  </si>
  <si>
    <t>trubka kanalizační plastová KG - DN 110x1000 mm SN4</t>
  </si>
  <si>
    <t>871313121R</t>
  </si>
  <si>
    <t>Montáž kanalizačního potrubí z plastů z tvrdého PVC těsněných gumovým kroužkem v otevřeném výkopu ve sklonu do 20 % DN 160</t>
  </si>
  <si>
    <t>286113120</t>
  </si>
  <si>
    <t>trubka kanalizační plastová KG - DN 160x1000 mm SN4</t>
  </si>
  <si>
    <t>916231112</t>
  </si>
  <si>
    <t>Osazení chodníkového obrubníku betonového se zřízením lože, s vyplněním a zatřením spár cementovou maltou ležatého bez boční opěry, do lože z betonu prostého</t>
  </si>
  <si>
    <t>592174600</t>
  </si>
  <si>
    <t>obrubník betonový chodníkový silniční vibrolisovaný 100x15x25 cm</t>
  </si>
  <si>
    <t>953731113</t>
  </si>
  <si>
    <t>Odvětrání svislé plastovými troubami ve stropních prostupech s obetonováním vnitřního průměru přes 80 do 110mm</t>
  </si>
  <si>
    <t>998144471</t>
  </si>
  <si>
    <t>Přesun hmot pro nádrže, jímky, zásobníky a jámy pozemní mimo zemědělství se svislou nosnou konstrukcí montovanou z dílců betonových tyčových nebo plošných vodorovná dopravní vzdálenost do 50 m, pro nádrže výšky do 25 m</t>
  </si>
  <si>
    <t>PSV</t>
  </si>
  <si>
    <t>Práce a dodávky PSV</t>
  </si>
  <si>
    <t>711</t>
  </si>
  <si>
    <t>Izolace proti vodě, vlhkosti a plynům</t>
  </si>
  <si>
    <t>711141559</t>
  </si>
  <si>
    <t>Provedení izolace proti zemní vlhkosti pásy přitavením NAIP na ploše vodorovné V</t>
  </si>
  <si>
    <t>711142559</t>
  </si>
  <si>
    <t>Provedení izolace proti zemní vlhkosti pásy přitavením NAIP na ploše svislé S</t>
  </si>
  <si>
    <t>628520150</t>
  </si>
  <si>
    <t>pásy s modifikovaným asfaltem vložka skelná tkanina</t>
  </si>
  <si>
    <t>998711201</t>
  </si>
  <si>
    <t>Přesun hmot pro izolace proti vodě, vlhkosti a plynům stanovený procentní sazbou (%) z ceny vodorovná dopravní vzdálenost do 50 m v objektech výšky do 6 m</t>
  </si>
  <si>
    <t>%</t>
  </si>
  <si>
    <t>713</t>
  </si>
  <si>
    <t>Izolace tepelné</t>
  </si>
  <si>
    <t>713361121</t>
  </si>
  <si>
    <t>Montáž izolace tepelné těles tvarovkami nebo deskami bez povrchové úpravy deskami z lehčených hmot připevněnými na asfaltový tmel za tepla s vyspárováním a provedením nátěrů těles asfaltovým lakem ALP (izolační materiál ve specifikaci) ploch tvarových jednovrstvá</t>
  </si>
  <si>
    <t>283764410</t>
  </si>
  <si>
    <t>deska z polystyrénu XPS, hrana rovná a strukturovaný povrch tl 60mm</t>
  </si>
  <si>
    <t>767</t>
  </si>
  <si>
    <t>Konstrukce zámečnické</t>
  </si>
  <si>
    <t>767646422</t>
  </si>
  <si>
    <t>Montáž dveří ocelových revizních dvířek s rámem, dvoukřídlových, výšky přes 1000 do 1500 mm</t>
  </si>
  <si>
    <t>553435530R</t>
  </si>
  <si>
    <t>dvířka revizní nerezová bez otvorů dvoukřídlá dle D.2.8</t>
  </si>
  <si>
    <t>02 - SO 02.B - Výtlačný řad 1 - d110</t>
  </si>
  <si>
    <t>181301103</t>
  </si>
  <si>
    <t>Rozprostření a urovnání ornice v rovině nebo ve svahu sklonu do 1:5 při souvislé ploše do 500 m2, tl. vrstvy přes 150 do 200 mm</t>
  </si>
  <si>
    <t>871265201</t>
  </si>
  <si>
    <t>Montáž kanalizačního potrubí z plastů z polyetylenu PE 100 svařovaných elektrotvarovkou v otevřeném výkopu ve sklonu do 20 % SDR 11/PN16 D 110 x 10,0 mm</t>
  </si>
  <si>
    <t>286137360</t>
  </si>
  <si>
    <t>potrubí kanalizační z PE 100+ opláštěné vrstvou z pěnového PE, SDR 11, 110 x 10 mm</t>
  </si>
  <si>
    <t>877261101</t>
  </si>
  <si>
    <t>Montáž tvarovek na vodovodním plastovém potrubí z polyetylenu PE 100 elektrotvarovek SDR 11/PN16 spojek, oblouků nebo redukcí d 110</t>
  </si>
  <si>
    <t>286159750</t>
  </si>
  <si>
    <t>elektrospojka SDR 11 PE 100 PN 16 d 110</t>
  </si>
  <si>
    <t>286123610</t>
  </si>
  <si>
    <t>nákružek lemový  PE100 SDR 17, d 110</t>
  </si>
  <si>
    <t>286544100</t>
  </si>
  <si>
    <t>příruba volná k lemovému nákružku z polypropylénu 110</t>
  </si>
  <si>
    <t>286149790</t>
  </si>
  <si>
    <t>elektroredukce PE 100 PN 16 d 125-90</t>
  </si>
  <si>
    <t>286149490</t>
  </si>
  <si>
    <t>elektrokoleno 45° PE 100 PN 16 d 110</t>
  </si>
  <si>
    <t>286149620R</t>
  </si>
  <si>
    <t>elektro tvarovka T-kus rovnoramenný, PE 100, PN 16, d 125, dlouhé provedení, 45°</t>
  </si>
  <si>
    <t>877271101</t>
  </si>
  <si>
    <t>Montáž tvarovek na vodovodním plastovém potrubí z polyetylenu PE 100 elektrotvarovek SDR 11/PN16 spojek, oblouků nebo redukcí d 125</t>
  </si>
  <si>
    <t>286159760</t>
  </si>
  <si>
    <t>elektrospojka SDR 11 PE 100 PN 16 d 125</t>
  </si>
  <si>
    <t>891261112</t>
  </si>
  <si>
    <t>Montáž vodovodních armatur na potrubí šoupátek nebo klapek uzavíracích v otevřeném výkopu nebo v šachtách s osazením zemní soupravy (bez poklopů) DN 100</t>
  </si>
  <si>
    <t>422211500</t>
  </si>
  <si>
    <t>šoupátko s PE vevařovacími konci, voda PN 10 DN 100/110 PE 100</t>
  </si>
  <si>
    <t>422910800</t>
  </si>
  <si>
    <t>souprava zemní pro šoupátka DN 100-150 mm, Rd 2,0 m</t>
  </si>
  <si>
    <t>422913520</t>
  </si>
  <si>
    <t>poklop litinový šoupátkový pro zemní soupravy osazení do terénu a do vozovky</t>
  </si>
  <si>
    <t>03 - PS 02.1 - Strojně technologická část</t>
  </si>
  <si>
    <t>34212311R</t>
  </si>
  <si>
    <t>Čerpací šachta ze sklolaminátu (GFK) tl. 37mm, DN 2400mm, hloubka 3650mm, samonosná, odolná HPV (dodávka + montáž)</t>
  </si>
  <si>
    <t>724</t>
  </si>
  <si>
    <t>Strojní vybavení</t>
  </si>
  <si>
    <t>724411102R</t>
  </si>
  <si>
    <t>Kompresor pro ČSOV 1 - dodávka a montáž</t>
  </si>
  <si>
    <t>soubor</t>
  </si>
  <si>
    <t>Práce a dodávky M</t>
  </si>
  <si>
    <t>35-M</t>
  </si>
  <si>
    <t>Montáž čerpadel, kompr.a vodoh.zař.</t>
  </si>
  <si>
    <t>35039000R</t>
  </si>
  <si>
    <t>Montáž a dodávka technologie ČSOV 1</t>
  </si>
  <si>
    <t>04 - PS 02.2 - Elektrotechnologická část</t>
  </si>
  <si>
    <t>Dodavatel nebude tento PS naceňovat - Dodávka objednatele</t>
  </si>
  <si>
    <t>C21M - Elektromontáže - Elektroinstalace</t>
  </si>
  <si>
    <t>210010022</t>
  </si>
  <si>
    <t>trubka tuhá el.inst.z PVC D=25mm (PU)</t>
  </si>
  <si>
    <t>210010351</t>
  </si>
  <si>
    <t>rozvodka krabicova IP54</t>
  </si>
  <si>
    <t>ks</t>
  </si>
  <si>
    <t>210100001</t>
  </si>
  <si>
    <t>ukonč.vod.v rozv.vč.zap.a konc.do 2.5mm2</t>
  </si>
  <si>
    <t>210100003</t>
  </si>
  <si>
    <t>ukonč.vod.v rozv.vč.zap.a konc.do 16mm2</t>
  </si>
  <si>
    <t>210110001</t>
  </si>
  <si>
    <t>spínač nástěnný prostředí vlhké - řazení 1</t>
  </si>
  <si>
    <t>210111062</t>
  </si>
  <si>
    <t>zásuvka nástěnná kombinovaná vč.zap.16A 400V/5p + 230V</t>
  </si>
  <si>
    <t>210190121</t>
  </si>
  <si>
    <t>montáž rozvaděče 01RM1</t>
  </si>
  <si>
    <t>210201073</t>
  </si>
  <si>
    <t>svítidlo zářivkové průmyslové stropní přisazené 2 zdroje+kryt</t>
  </si>
  <si>
    <t>210220021</t>
  </si>
  <si>
    <t>uzemnění ČSOV 1</t>
  </si>
  <si>
    <t>210220022</t>
  </si>
  <si>
    <t>Montáž uzemňovacího vedení s upevněním, propojením a připojením pomocí svorek v zemi s izolací spojů vodičů FeZn drátem nebo lanem průměru do 10 mm v městské zástavbě</t>
  </si>
  <si>
    <t>210220451</t>
  </si>
  <si>
    <t>pospojování ČSOV 1</t>
  </si>
  <si>
    <t>210810005</t>
  </si>
  <si>
    <t>Montáž izolovaných kabelů měděných do 1 kV bez ukončení plných a kulatých (CYKY, CHKE-R,...) uložených volně nebo v liště počtu a průřezu žil 3x1,5 až 6 mm2</t>
  </si>
  <si>
    <t>210810014</t>
  </si>
  <si>
    <t>Montáž izolovaných kabelů měděných do 1 kV bez ukončení plných a kulatých (CYKY, CHKE-R,...) uložených volně nebo v liště počtu a průřezu žil 4x16 mm2</t>
  </si>
  <si>
    <t>210810015</t>
  </si>
  <si>
    <t>Montáž izolovaných kabelů měděných do 1 kV bez ukončení plných a kulatých (CYKY, CHKE-R,...) uložených volně nebo v liště počtu a průřezu žil 5x1,5 až 2,5 mm2</t>
  </si>
  <si>
    <t>210810016</t>
  </si>
  <si>
    <t>210810032</t>
  </si>
  <si>
    <t>Kabel v dodávce motoru, ponorného spínače (VU)</t>
  </si>
  <si>
    <t>210860201</t>
  </si>
  <si>
    <t>JYTY 2x1mm s Al laminovanou folií (VU)</t>
  </si>
  <si>
    <t>210860202</t>
  </si>
  <si>
    <t>JYTY 4x1mm s Al laminovanou folií (VU)</t>
  </si>
  <si>
    <t>210950201</t>
  </si>
  <si>
    <t>Ostatní práce při montáži vodičů, šňůr a kabelů Příplatek k cenám za zatahování kabelů do tvárnicových tras s komorami nebo do kolektorů hmotnosti kabelů do 0,75 kg</t>
  </si>
  <si>
    <t>210999001</t>
  </si>
  <si>
    <t>montáž - zapojení motoru, vč.měření proudu a nastavení v rozvaděči</t>
  </si>
  <si>
    <t>210999002</t>
  </si>
  <si>
    <t>montáž - zapojení ventilátoru - dodávka technologie</t>
  </si>
  <si>
    <t>210999003</t>
  </si>
  <si>
    <t>montáž - zapojení koncového spínače</t>
  </si>
  <si>
    <t>210999010</t>
  </si>
  <si>
    <t>montáž - zapojení tlakového ponorného snímače</t>
  </si>
  <si>
    <t>210999020</t>
  </si>
  <si>
    <t>montáž - zapojení indukčního průtokoměru</t>
  </si>
  <si>
    <t>210999021</t>
  </si>
  <si>
    <t>kalibrace a ověření úředního měřidla včetně protokolu</t>
  </si>
  <si>
    <t>210999050</t>
  </si>
  <si>
    <t>montáž - zapojení a zprovoznění MaR</t>
  </si>
  <si>
    <t>Materiály</t>
  </si>
  <si>
    <t>218</t>
  </si>
  <si>
    <t>trubka tuhá instal. z PVC D=25mm</t>
  </si>
  <si>
    <t>351</t>
  </si>
  <si>
    <t>plastová krabice se svorkovnicí, IP54 (5x2,5)</t>
  </si>
  <si>
    <t>710</t>
  </si>
  <si>
    <t>spínač PH ř.1 do vlhka</t>
  </si>
  <si>
    <t>780</t>
  </si>
  <si>
    <t>zásuvka kombinovaná 400V/16A/5p + 230V/16A, do vlhka</t>
  </si>
  <si>
    <t>1400</t>
  </si>
  <si>
    <t>materiál pro uzemnění ČSOV 1</t>
  </si>
  <si>
    <t>1404</t>
  </si>
  <si>
    <t>FeZn R=10mm</t>
  </si>
  <si>
    <t>1500</t>
  </si>
  <si>
    <t>materiál pro pospojování ČSOV 1</t>
  </si>
  <si>
    <t>2781</t>
  </si>
  <si>
    <t>JYTY 2x1mm2</t>
  </si>
  <si>
    <t>2784</t>
  </si>
  <si>
    <t>JYTY 4x1mm2</t>
  </si>
  <si>
    <t>2914</t>
  </si>
  <si>
    <t>CYKY-J 3x1.5mm2</t>
  </si>
  <si>
    <t>2914.1</t>
  </si>
  <si>
    <t>CYKY-O 3x1.5mm2</t>
  </si>
  <si>
    <t>2945</t>
  </si>
  <si>
    <t>CYKY-J 4x16mm2</t>
  </si>
  <si>
    <t>2960</t>
  </si>
  <si>
    <t>CYKY-J 5x1.5mm2</t>
  </si>
  <si>
    <t>2961</t>
  </si>
  <si>
    <t>CYKY-J 5x2.5mm2</t>
  </si>
  <si>
    <t>34801</t>
  </si>
  <si>
    <t>A - svítidlo zářivkové 2x24W s krytem, IP66, EP, vč.zdrojů</t>
  </si>
  <si>
    <t>35701</t>
  </si>
  <si>
    <t>rozvaděč 01RM1 - viz výkres č. D.2.1.3</t>
  </si>
  <si>
    <t>90002</t>
  </si>
  <si>
    <t>dveřní magnetický koncový spínač pro MaR (spíná při otevření)</t>
  </si>
  <si>
    <t>90003</t>
  </si>
  <si>
    <t>dveřní magnetický koncový spínač 230V/2A pro ventilátor (spíná při otevření)</t>
  </si>
  <si>
    <t>90010</t>
  </si>
  <si>
    <t>tlakový ponorný snímač výšky hladiny (0-4m), přesnost 0,25%, IP68, 4-20mA</t>
  </si>
  <si>
    <t>90011</t>
  </si>
  <si>
    <t>PUR kabel</t>
  </si>
  <si>
    <t>90012</t>
  </si>
  <si>
    <t>držák ponorného snímače hladiny</t>
  </si>
  <si>
    <t>90020</t>
  </si>
  <si>
    <t>indukční průtokoměr : snímač+vyhodnocovací jednotka (převodník), kabel 10m, oddělené provedení</t>
  </si>
  <si>
    <t>Pol1</t>
  </si>
  <si>
    <t>Podružný materiál</t>
  </si>
  <si>
    <t>Pol2</t>
  </si>
  <si>
    <t>Prořez (m, kg)</t>
  </si>
  <si>
    <t>Revize a další nezařazené práce</t>
  </si>
  <si>
    <t>00001</t>
  </si>
  <si>
    <t>Výchozí revize elektro</t>
  </si>
  <si>
    <t>00002</t>
  </si>
  <si>
    <t>Koordinace prací s investorem a generálním dodavatelem stavby</t>
  </si>
  <si>
    <t>00003</t>
  </si>
  <si>
    <t>Zhotovení prostupů pro kabely, zednické práce pro elektro</t>
  </si>
  <si>
    <t>00004</t>
  </si>
  <si>
    <t>Projektová dokumentace pro realizaci stavby</t>
  </si>
  <si>
    <t>00005</t>
  </si>
  <si>
    <t>Zajištění podkladů a zákres změn pro dokumentaci skutečného provedení</t>
  </si>
  <si>
    <t>00006</t>
  </si>
  <si>
    <t>Dokumentace skutečného provedení stavby</t>
  </si>
  <si>
    <t>00007</t>
  </si>
  <si>
    <t>Režijní náklady</t>
  </si>
  <si>
    <t>00008</t>
  </si>
  <si>
    <t>Náklady na dopravu</t>
  </si>
  <si>
    <t>05 - PS 02.3 - Systém řízení technologického procesu</t>
  </si>
  <si>
    <t>montáž - panelmetru do rozvaděče 01RM1</t>
  </si>
  <si>
    <t>montáž - zapojení telemetrické stanice</t>
  </si>
  <si>
    <t>montáž - programování telemetrické stanice</t>
  </si>
  <si>
    <t>210999030</t>
  </si>
  <si>
    <t>montáž - zapojení a zprovoznění SŘTP a přenosu dat</t>
  </si>
  <si>
    <t>210999040</t>
  </si>
  <si>
    <t>montáž - zakomponování nového klienta do dispečinku provozovatele (cca 20 hodin)</t>
  </si>
  <si>
    <t>panelmetr (Minimální požadavky : 2-AV 4-20mA, 4 relé, barevný displej) - montáž do dveří rozvaděče 01RM1</t>
  </si>
  <si>
    <t>telemetrická stanice (Minimální požadavky : 8-DI, 2-AI, 8-DO, GSM/GPRS, SIM, pevná IP adresa) montáž ro rozvaděče 01RM1</t>
  </si>
  <si>
    <t>90021</t>
  </si>
  <si>
    <t>zálohovaný napájecí zdroj 12VDC+24VDC - montáž do rozvaděče 01RM1</t>
  </si>
  <si>
    <t>90022</t>
  </si>
  <si>
    <t>software pro MaR</t>
  </si>
  <si>
    <t>04 - SO 02.1 - Přípojka NN k ČSOV 1</t>
  </si>
  <si>
    <t>741</t>
  </si>
  <si>
    <t>Elektroinstalace - silnoproud</t>
  </si>
  <si>
    <t>741110013</t>
  </si>
  <si>
    <t>Montáž trubek elektroinstalačních s nasunutím nebo našroubováním do krabic plastových tuhých, uložených volně, vnější Ø přes 35 mm</t>
  </si>
  <si>
    <t>345713510</t>
  </si>
  <si>
    <t>trubka elektroinstalační ohebná dvouplášťová korugovaná D 41/50 mm, HDPE+LDPE</t>
  </si>
  <si>
    <t>286551000</t>
  </si>
  <si>
    <t>manžeta chráničky vč. upínací pásky 32x63mm DN 25x50</t>
  </si>
  <si>
    <t>404452610</t>
  </si>
  <si>
    <t>spona upínací 12,7mm</t>
  </si>
  <si>
    <t>100 kus</t>
  </si>
  <si>
    <t>404452600</t>
  </si>
  <si>
    <t>páska upínací 12,7x0,75mm</t>
  </si>
  <si>
    <t>741123312</t>
  </si>
  <si>
    <t>Montáž kabelů hliníkových bez ukončení uložených pevně plných nebo laněných kulatých (AYKY) počtu a průřezu žil 4x25 mm2</t>
  </si>
  <si>
    <t>341131200</t>
  </si>
  <si>
    <t>kabel silový s Al jádrem 1 kV  4x25mm2</t>
  </si>
  <si>
    <t>741210101</t>
  </si>
  <si>
    <t>Montáž rozváděčů litinových, hliníkových nebo plastových bez zapojení vodičů sestavy hmotnosti do 50 kg</t>
  </si>
  <si>
    <t>357116510</t>
  </si>
  <si>
    <t>rozvaděč elektroměrový plastový ER112/PVP7P  1x jednosazbový</t>
  </si>
  <si>
    <t>46-M</t>
  </si>
  <si>
    <t>Zemní práce při extr.mont.pracích</t>
  </si>
  <si>
    <t>460202094</t>
  </si>
  <si>
    <t>Hloubení nezapažených kabelových rýh strojně zarovnání kabelových rýh po výkopu strojně, šířka rýhy bez zarovnání rýh šířky 40 cm, hloubky 120 cm, v hornině třídy 4</t>
  </si>
  <si>
    <t>460561821</t>
  </si>
  <si>
    <t>Zásyp kabelových rýh strojně s uložením výkopku ve vrstvách včetně zhutnění a urovnání povrchu v zástavbě</t>
  </si>
  <si>
    <t>05 - SO 02.2 - Výtlačný řad 3, Úherce - Dobrovice</t>
  </si>
  <si>
    <t>Odstranění podkladů nebo krytů s přemístěním hmot na skládku na vzdálenost do 20 m nebo s naložením na dopravní prostředek v ploše jednotlivě přes 50 m2 do 200 m2 z kameniva hrubého drceného, o tl. vrstvy přes 100 do 200 mm</t>
  </si>
  <si>
    <t>Odstranění podkladů nebo krytů s přemístěním hmot na skládku na vzdálenost do 20 m nebo s naložením na dopravní prostředek v ploše jednotlivě přes 50 m2 do 200 m2 z kameniva hrubého drceného, o tl. vrstvy přes 200 do 300 mm</t>
  </si>
  <si>
    <t>Odstranění podkladů nebo krytů s přemístěním hmot na skládku na vzdálenost do 20 m nebo s naložením na dopravní prostředek v ploše jednotlivě přes 200 m2 živičných, o tl. vrstvy do 50 mm</t>
  </si>
  <si>
    <t>Dočasné zajištění potrubí ocelového nebo litinového DN do 200</t>
  </si>
  <si>
    <t>Dočasné zajištění podzemního vedení ve výkopišti ve stavu i poloze, ve kterých byla na začátku zemních prací, podepřením, vzepřením nebo vyvěšením, příp. s ochranným bedněním, se zřízením a odstraněním zajišťovací konstrukce do 3 kabelů</t>
  </si>
  <si>
    <t>Sejmutí ornice s přemístěním na vzdálenost do 100 m</t>
  </si>
  <si>
    <t>Příplatek za ztížení vykopávky v blízkosti pozemního vedení</t>
  </si>
  <si>
    <t>141721116</t>
  </si>
  <si>
    <t>Řízený zemní protlak v hornině tř. 1 až 4, včetně protlačení trub v hloubce do 6 m vnějšího průměru vrtu přes 160 do 225 mm</t>
  </si>
  <si>
    <t>Rozprostření ornice tl vrstvy do 100 mm pl přes 500 m2 v rovině nebo ve svahu do 1:5</t>
  </si>
  <si>
    <t>Obdělání půdy nakopáním na hloubku do 0,1 m v rovině a svahu do 1:5</t>
  </si>
  <si>
    <t>osivo směs travní krajinná - technická</t>
  </si>
  <si>
    <t>Ošetření trávníku shrabáním v rovině a svahu do 1:5</t>
  </si>
  <si>
    <t>Zřízení příložného pažení a rozepření stěn rýh hl do 4 m</t>
  </si>
  <si>
    <t>Odstranění příložného pažení a rozepření stěn rýh hl do 4 m</t>
  </si>
  <si>
    <t>Poplatek za uložení odpadu ze sypaniny na skládce (skládkovné)</t>
  </si>
  <si>
    <t>Zásyp jam, šachet rýh nebo kolem objektů sypaninou se zhutněním</t>
  </si>
  <si>
    <t>Obsypání potrubí ručně sypaninou z vhodných hornin tř. 1 až 4 nebo materiálem připraveným podél výkopu ve vzdálenosti do 3 m od jeho kraje, pro jakoukoliv hloubku výkopu a míru zhutnění bez prohození sypaniny</t>
  </si>
  <si>
    <t>štěrkopísek frakce 0-16</t>
  </si>
  <si>
    <t>Lože pod potrubí otevřený výkop z kameniva drobného těženého</t>
  </si>
  <si>
    <t>Osazení betonových prstenců nebo rámů v do 100 mm</t>
  </si>
  <si>
    <t>Podklad z kameniva hrubého drceného vel. 0-63 mm, s rozprostřením a zhutněním, po zhutnění tl. 300 mm</t>
  </si>
  <si>
    <t>564861111</t>
  </si>
  <si>
    <t>Podklad ze štěrkodrti ŠD s rozprostřením a zhutněním, po zhutnění tl. 200 mm</t>
  </si>
  <si>
    <t>Postřik živičný infiltrační z asfaltu silničního s posypem kamenivem, v množství 0,60 kg/m2</t>
  </si>
  <si>
    <t>Asfaltový beton vrstva obrusná ACO 11 (ABS) tř. II tl 50 mm š do 3 m z nemodifikovaného asfaltu</t>
  </si>
  <si>
    <t>Asfaltový beton vrstva ložní ACL 16 (ABH) tl 50 mm š do 3 m z nemodifikovaného asfaltu</t>
  </si>
  <si>
    <t>857264122</t>
  </si>
  <si>
    <t>Montáž litinových tvarovek na potrubí litinovém tlakovém odbočných na potrubí z trub přírubových v otevřeném výkopu, kanálu nebo v šachtě DN 100</t>
  </si>
  <si>
    <t>552535160</t>
  </si>
  <si>
    <t>tvarovka přírubová litinová s přírubovou čistící odbočkou odbočkou,práškový epoxid, tl.250µm T-kus DN 100/100 mm</t>
  </si>
  <si>
    <t>857262122</t>
  </si>
  <si>
    <t>Montáž litinových tvarovek na potrubí litinovém tlakovém jednoosých na potrubí z trub přírubových v otevřeném výkopu, kanálu nebo v šachtě DN 100</t>
  </si>
  <si>
    <t>552424160.1</t>
  </si>
  <si>
    <t xml:space="preserve">PŘÍRUBA REDUKOVANÁ XR-A   DN 100 x 80, </t>
  </si>
  <si>
    <t>552424130.1</t>
  </si>
  <si>
    <t xml:space="preserve">PŘÍRUBA REDUKOVANÁ XR-A   DN 80 x 50, </t>
  </si>
  <si>
    <t>552424180R</t>
  </si>
  <si>
    <t>Závitová příruba s vnitřním závitem DN 100 / 4''</t>
  </si>
  <si>
    <t>552424180.1</t>
  </si>
  <si>
    <t>PŘÍRUBA S2000 DN100/ DN125 PN16</t>
  </si>
  <si>
    <t>27261310R</t>
  </si>
  <si>
    <t>rychlospojka bajonetová, Typ A, R4</t>
  </si>
  <si>
    <t>871275201</t>
  </si>
  <si>
    <t>Montáž kanalizačního potrubí z plastů z polyetylenu PE 100 svařovaných elektrotvarovkou v otevřeném výkopu ve sklonu do 20 % SDR 11/PN16 D 125 x 11,4 mm</t>
  </si>
  <si>
    <t>286137370</t>
  </si>
  <si>
    <t>potrubí kanalizační z PE 100+ opláštěné vrstvou z pěnového PE, SDR 11, 125 x 11,4 mm</t>
  </si>
  <si>
    <t>877275201</t>
  </si>
  <si>
    <t>Montáž tvarovek na kanalizačním plastovém potrubí z polyetylenu PE 100 elektrotvarovek SDR 11/PN16 spojek d 125</t>
  </si>
  <si>
    <t>elektrospojka SDR 11, PE 100, PN 16 d 125</t>
  </si>
  <si>
    <t>877275210</t>
  </si>
  <si>
    <t>Montáž tvarovek na kanalizačním plastovém potrubí z polyetylenu PE 100 elektrotvarovek SDR 11/PN16 kolen, redukcí d 125</t>
  </si>
  <si>
    <t>286148990</t>
  </si>
  <si>
    <t>oblouk 11°, SDR 11, PE 100 RC, PN 16, d 125</t>
  </si>
  <si>
    <t>286148690</t>
  </si>
  <si>
    <t>oblouk 22°, SDR 11, PE 100 RC, PN 16, d 125</t>
  </si>
  <si>
    <t>891262122</t>
  </si>
  <si>
    <t>Montáž kanalizačních armatur na potrubí šoupátek v otevřeném výkopu nebo v šachtách s osazením zemní soupravy (bez poklopů) DN 100</t>
  </si>
  <si>
    <t>422214540.1</t>
  </si>
  <si>
    <t xml:space="preserve">šoupátko odpadní voda, litina GGG 50, F4, PN10/16 DN 100 </t>
  </si>
  <si>
    <t>422214510</t>
  </si>
  <si>
    <t>šoupátko odpadní voda, litina GGG 50, krátká stavební délka, PN10/16 DN 50 x 150 mm</t>
  </si>
  <si>
    <t>422215040.1</t>
  </si>
  <si>
    <t>šoupě nožové se stoupavým vřetenem DN 100</t>
  </si>
  <si>
    <t>892271111</t>
  </si>
  <si>
    <t>Tlakové zkoušky vodou na potrubí DN 100 nebo 125</t>
  </si>
  <si>
    <t>Příplatek ZKD 0,60 m výšky vstupu na potrubí</t>
  </si>
  <si>
    <t xml:space="preserve">konus šachetní betonový TBR-Q.600/1000x625/120 SPX kapsové plastové stupadlo </t>
  </si>
  <si>
    <t>poklop šachtový třída D 400, kruhový bez ventilace, VIATOP - NIVEAU, samonivelační, uzamykatelný, h=200, do živičných povrchů</t>
  </si>
  <si>
    <t>Signalizační vodič na potrubí PVC DN do 150 mm</t>
  </si>
  <si>
    <t>899911123</t>
  </si>
  <si>
    <t>Kluzné objímky (pojízdná sedla) pro zasunutí potrubí do chráničky výšky 41 mm vnějšího průměru potrubí do 256 mm</t>
  </si>
  <si>
    <t>899913152</t>
  </si>
  <si>
    <t>Koncové uzavírací manžety chrániček DN potrubí x DN chráničky DN 150 x 250</t>
  </si>
  <si>
    <t>Utěsnění dilatačních spár zálivkou za tepla v cementobetonovém nebo živičném krytu včetně adhezního nátěru s těsnicím profilem pod zálivkou, pro komůrky šířky 15 mm</t>
  </si>
  <si>
    <t>Poplatek za uložení stavebního odpadu na skládce (skládkovné) z asfaltových povrchů</t>
  </si>
  <si>
    <t>Poplatek za uložení stavebního odpadu na skládce (skládkovné) zeminy a kameniva</t>
  </si>
  <si>
    <t>Přesun hmot pro trubní vedení z trub z plastických hmot otevřený výkop</t>
  </si>
  <si>
    <t>23-M</t>
  </si>
  <si>
    <t>Montáže potrubí</t>
  </si>
  <si>
    <t>286137020.1</t>
  </si>
  <si>
    <t>Chránička -potrubí kanalizační tlakové PE100 SDR 17, 225 x 13,4 mm , tyč  12m</t>
  </si>
  <si>
    <t>230200123R</t>
  </si>
  <si>
    <t>Nasunutí potrubní sekce do chráničky jmenovitá světlost nasouvaného potrubí DN 150</t>
  </si>
  <si>
    <t>01 - SO 03.A - ČSOV 2 - stavební část</t>
  </si>
  <si>
    <t>331231126</t>
  </si>
  <si>
    <t>Pilíře volně stojící z cihel pálených čtyřhranné až osmihranné (průřezu čtverce, T nebo kříže) pravoúhlé pod omítku nebo režné, bez spárování z cihel plných dl. 290 mm P 20 až P 25 M I, na maltu MC-5 nebo MC-10</t>
  </si>
  <si>
    <t>sloupek plotový betonový 150 x 150 x250 cm</t>
  </si>
  <si>
    <t>Vzpěra - beton 150 x 120 x 2500 (KZS 15 - 250)</t>
  </si>
  <si>
    <t>02 - SO 03.B - Výtlačný řad 2 - d110</t>
  </si>
  <si>
    <t>286148980</t>
  </si>
  <si>
    <t>oblouk 45° SDR 11 PE 100 RC PN 16 D 110mm</t>
  </si>
  <si>
    <t>03 - PS 03.1 - Strojně technologická část</t>
  </si>
  <si>
    <t>Kompresor pro ČSOV 2 - dodávka a montáž</t>
  </si>
  <si>
    <t>Montáž a dodávka technologie ČSOV 2</t>
  </si>
  <si>
    <t>04 - PS 03.2 - Elektrotechnologická část</t>
  </si>
  <si>
    <t>montáž rozvaděče 02RM1</t>
  </si>
  <si>
    <t>uzemnění ČSOV 2</t>
  </si>
  <si>
    <t>pospojování ČSOV 2</t>
  </si>
  <si>
    <t>materiál pro uzemnění ČSOV 2</t>
  </si>
  <si>
    <t>materiál pro pospojování ČSOV 2</t>
  </si>
  <si>
    <t>rozvaděč 02RM1 - viz výkres č. D.3.1.3</t>
  </si>
  <si>
    <t>Pol3</t>
  </si>
  <si>
    <t>Pol4</t>
  </si>
  <si>
    <t>05 - PS 03.3 - Systém řízení technologického procesu</t>
  </si>
  <si>
    <t>C21M - Elektromontáže - SŘTP</t>
  </si>
  <si>
    <t>montáž - panelmetru do rozvaděče 02RM1</t>
  </si>
  <si>
    <t>panelmetr (Minimální požadavky : 2-AV 4-20mA, 4 relé, barevný displej) - montáž do dveří rozvaděče 02RM1</t>
  </si>
  <si>
    <t>telemetrická stanice (Minimální požadavky : 8-DI, 2-AI, 8-DO, GSM/GPRS, SIM, pevná IP adresa) montáž ro rozvaděče 02RM1</t>
  </si>
  <si>
    <t>zálohovaný napájecí zdroj 12VDC+24VDC - montáž do rozvaděče 02RM1</t>
  </si>
  <si>
    <t>07 - SO 03.1 - Přípojka NN pro ČSOV 2</t>
  </si>
  <si>
    <t>08 - VRN</t>
  </si>
  <si>
    <t>D1</t>
  </si>
  <si>
    <t>Vedlejší rozpočtové náklady / viz Technické podmínky VaK MB /</t>
  </si>
  <si>
    <t>VaK MB, a.s.-TP 1.1</t>
  </si>
  <si>
    <t>Zařízení staveniště, provozní vlivy</t>
  </si>
  <si>
    <t>VaK MB, a.s.-TP 1.10</t>
  </si>
  <si>
    <t>Další doplňující průzkumy</t>
  </si>
  <si>
    <t>VaK MB, a.s.-TP 1.11</t>
  </si>
  <si>
    <t>Pasportizace stávajících objektů – inventarizační prohlídky</t>
  </si>
  <si>
    <t>VaK MB, a.s.-TP 1.12</t>
  </si>
  <si>
    <t>Vytyčení podzemních zařízení, rizika a zvláštní opatření</t>
  </si>
  <si>
    <t>VaK MB, a.s.-TP 1.13</t>
  </si>
  <si>
    <t>Zaškolení pracovníků provozovatele/objednatele</t>
  </si>
  <si>
    <t>VaK MB, a.s.-TP 1.14</t>
  </si>
  <si>
    <t>Vytyčení stavby, ochrana geodetických bodů před poškozením</t>
  </si>
  <si>
    <t>VaK MB, a.s.-TP 1.15</t>
  </si>
  <si>
    <t>Zajištění a osvětlení výkopů a překopů</t>
  </si>
  <si>
    <t>VaK MB, a.s.-TP 1.16</t>
  </si>
  <si>
    <t>Havarijní plán</t>
  </si>
  <si>
    <t>VaK MB, a.s.-TP 1.17</t>
  </si>
  <si>
    <t>Zvláštní požadavky na zhotovení</t>
  </si>
  <si>
    <t>VaK MB, a.s.-TP 1.2</t>
  </si>
  <si>
    <t>Skládkovné</t>
  </si>
  <si>
    <t>VaK MB, a.s.-TP 1.3</t>
  </si>
  <si>
    <t>Fotodokumentace</t>
  </si>
  <si>
    <t>VaK MB, a.s.-TP 1.5</t>
  </si>
  <si>
    <t>Realizační dokumentace stavby včetně projednání a kontroly na stavbě</t>
  </si>
  <si>
    <t>VaK MB, a.s.-TP 1.6</t>
  </si>
  <si>
    <t>Plán bezpečnosti a ochrany zdraví při práci (BOZP)</t>
  </si>
  <si>
    <t>VaK MB, a.s.-TP 1.8</t>
  </si>
  <si>
    <t>Doklady požadované k předání a převzetí díla</t>
  </si>
  <si>
    <t>VaK MB, a.s.-TP 1.9</t>
  </si>
  <si>
    <t>Dokumentace skutečného provedení stavby a dokumentace geodetického zaměření stavby</t>
  </si>
  <si>
    <t>VaK MB, a.s.</t>
  </si>
  <si>
    <t>Náhrady ušlé produkce uživatelům pozemků dotčených stavbou</t>
  </si>
  <si>
    <t>VaK MB, a.s. TP 2.1</t>
  </si>
  <si>
    <t>Individuální a garanční zkoušky, revize, hutnící zkoušky</t>
  </si>
  <si>
    <t>Vak MB, a.s. D1</t>
  </si>
  <si>
    <t>DIO vypracování - projednání s úřady pro uzavírky místních a KSÚS komunikací, včetně projednání objízdné trasy pro úplnou uzavírku silnice III.tř.</t>
  </si>
  <si>
    <t>Vak MB, a.s. D2</t>
  </si>
  <si>
    <t>DIO - zajištění na místních komunikacích</t>
  </si>
  <si>
    <t>VaK MB, a.s. D3</t>
  </si>
  <si>
    <t>DIO - zajištění na komunikaci KSÚS, vč. označení odjízdných tras</t>
  </si>
  <si>
    <t>Kód položky</t>
  </si>
  <si>
    <t>Název</t>
  </si>
  <si>
    <t>Cena celkem</t>
  </si>
  <si>
    <t>NÁZEV AKCE :</t>
  </si>
  <si>
    <t xml:space="preserve">ETAPA STAVBY : </t>
  </si>
  <si>
    <t>ČÍSLO SMLOUVY OBJEDNATELE :</t>
  </si>
  <si>
    <t>VRI/SOD/2020/Ži</t>
  </si>
  <si>
    <t>ČÍSLO SMLOUVY ZHOTOVITELE :</t>
  </si>
  <si>
    <t>OBJEDNATEL :</t>
  </si>
  <si>
    <t>Vododvody a kanalizace Mladá Boleslav, a.s.</t>
  </si>
  <si>
    <t>ZHOTOVITEL :</t>
  </si>
  <si>
    <t>VCES a.s.</t>
  </si>
  <si>
    <t>Dne:</t>
  </si>
  <si>
    <t>SOD</t>
  </si>
  <si>
    <t>Provedeno od počátku</t>
  </si>
  <si>
    <t>Zbývá provést</t>
  </si>
  <si>
    <t>zkrácený popis</t>
  </si>
  <si>
    <t>cena bez DPH</t>
  </si>
  <si>
    <t>Zhotovitel: Jiří Prokop</t>
  </si>
  <si>
    <t>Objednatel: Ing. Tomáš Žitný</t>
  </si>
  <si>
    <t>OBJEKT :</t>
  </si>
  <si>
    <t>Č.pol.</t>
  </si>
  <si>
    <t>Cena/jedn (Kč)</t>
  </si>
  <si>
    <t>množství</t>
  </si>
  <si>
    <t>a</t>
  </si>
  <si>
    <t>VCES-6003</t>
  </si>
  <si>
    <t>Poznámy TDS 11/2020</t>
  </si>
  <si>
    <t>OK</t>
  </si>
  <si>
    <t>Poznámky TDS 1/2021</t>
  </si>
  <si>
    <t>Prosím o ponechání 5% z pokládky trub a zemních prací</t>
  </si>
  <si>
    <t>Prosím o ponechání 5% ze zemních prací</t>
  </si>
  <si>
    <t>I zde prosím o ponechání 5%</t>
  </si>
  <si>
    <t>opraveno</t>
  </si>
  <si>
    <t>Poznámky TDS 2/2021</t>
  </si>
  <si>
    <t>Pro jakou šachtu bylo toto provedeno?</t>
  </si>
  <si>
    <t>spadiště v SÚS</t>
  </si>
  <si>
    <t>Poznámky TDS 03/2021</t>
  </si>
  <si>
    <t>ZL 01</t>
  </si>
  <si>
    <t>ZL01</t>
  </si>
  <si>
    <t>Komunikace bude dořešena s Obj.</t>
  </si>
  <si>
    <t>Poznámky TDS 3/2021</t>
  </si>
  <si>
    <t>Kde bylo použito prosím</t>
  </si>
  <si>
    <t>Trvá i v dubnu</t>
  </si>
  <si>
    <t>Poznámky TDS 04/2021</t>
  </si>
  <si>
    <t>Od počátku položen úsek 4,63m a 1 šachta. Tento měsíc by se nemělo fakturovat nic</t>
  </si>
  <si>
    <t>Nebylo provedeno, nutno upravit dle skutečnosti</t>
  </si>
  <si>
    <t>Opravdu se jedná o kompletní rozsah prací za 04/2021</t>
  </si>
  <si>
    <t>Musí odpovídat dle skutečnosti, prosím doložit přesné výměry</t>
  </si>
  <si>
    <t>Dle pokynu Obj. má být využit recyklovaný mat.</t>
  </si>
  <si>
    <t>Prosím ponechat 5% ze všech dokončených položek</t>
  </si>
  <si>
    <t>Poznámky TDS 4/2021</t>
  </si>
  <si>
    <t>Nejsou dokončeny zkoušky šachet, proto prosím uplatnit jen 50%</t>
  </si>
  <si>
    <t>Provedeny jen podkladní vrstvy. Prosím dodat přesné výměry</t>
  </si>
  <si>
    <t>Nedokončeny ZK šachet, prosím ponechat 50 %</t>
  </si>
  <si>
    <t>Nedokončeno</t>
  </si>
  <si>
    <t>Kde bylo provedeno prosím?</t>
  </si>
  <si>
    <t>opraveno překlep</t>
  </si>
  <si>
    <t>dle zápisu z PP je to OK</t>
  </si>
  <si>
    <t>upraveno</t>
  </si>
  <si>
    <t>po dohodě ponecháno</t>
  </si>
  <si>
    <t>Prosím fakturovat délku trasy *1,1m rýhy</t>
  </si>
  <si>
    <t>2. Poznámky TDS 04/2021</t>
  </si>
  <si>
    <t>Vyjasněno. Nesouhlasím však s celkovým počtem 24 zkoušek. Původně bylo domluveno 18ks. Následně došlo k doplnění 1 ks zkoušky. Došlo k přesunu jedné zk. až po provedení opravy pokládky a 2ks zkoušek provedeny jako opravné.</t>
  </si>
  <si>
    <t>Po dohodě ponecháno.</t>
  </si>
  <si>
    <t>podle podélného profili 100,5m x 1,1=11,55 asi OK</t>
  </si>
  <si>
    <t xml:space="preserve">2x postřik, mělo by být více </t>
  </si>
  <si>
    <t xml:space="preserve">předpokládám 2 vrstvy za lepší cenu ? Za mě OK </t>
  </si>
  <si>
    <t xml:space="preserve">294 m  v KSÚS  - i s ponížením za souběh za mě OK </t>
  </si>
  <si>
    <t>tady je víc metrů asi víc metrů, ale je potřeba přihlednout k technologii výstavby a místním podmínkám. Kdybychom provedli celou polovinu pruhu, tak se o tom nebavíme. Jen pro info, jaká je představa investora</t>
  </si>
  <si>
    <t xml:space="preserve">2*postřik </t>
  </si>
  <si>
    <t>dvě vrstvy viz. Výše</t>
  </si>
  <si>
    <t>171,5 m v KSÚS, jako oprvadu ?, klidně navýším</t>
  </si>
  <si>
    <t>9,66 m v KSÚS *1,1= ???</t>
  </si>
  <si>
    <t xml:space="preserve">viz výše </t>
  </si>
  <si>
    <t xml:space="preserve">viz. Výše </t>
  </si>
  <si>
    <t>4 ks mažu a předpokládám, že bude zaplaceno</t>
  </si>
  <si>
    <t>128 m v KSÚS  x 1,1 = ???</t>
  </si>
  <si>
    <t>viz. výše</t>
  </si>
  <si>
    <t>458 m v KSÚS *1,1 = ???</t>
  </si>
  <si>
    <t>můžu dorovnat viz výše, ale …</t>
  </si>
  <si>
    <t>294 m v KSÚS *1,1 = ???? Ponížení je za mě na výtlaku V1</t>
  </si>
  <si>
    <t xml:space="preserve">pravděpodobně ty zámky které byly požadovány </t>
  </si>
  <si>
    <t>Odkanalizování obcí v povodí Jizery - část B</t>
  </si>
  <si>
    <t>Poznámky TDS 05/2021</t>
  </si>
  <si>
    <t>Prozatím nepoužito. S ohledem na pokládku v zeleném pruhu a následně křížení s míst. Komumikací v délce 5m (dle PD) je množství nadlimitní.</t>
  </si>
  <si>
    <t>Nesouhlasím, prosím upravit na skut. délku dle předaných výměr, čili 491,5 m (musí zahrnout i odbočky) - 487 m</t>
  </si>
  <si>
    <t>Nutno doložit vážní lístky</t>
  </si>
  <si>
    <t>Položky nutno upravit tak, aby % zbývalo množství na pokládku 1,6 m potrubí</t>
  </si>
  <si>
    <t>Souhlasím</t>
  </si>
  <si>
    <t>Poznámky TDS 5/2021</t>
  </si>
  <si>
    <t>Nutno upravit dle skutečné délkty trub (navýšit o 0,99 m)</t>
  </si>
  <si>
    <t>Nutno upravit dle skutečné délkty trub</t>
  </si>
  <si>
    <t>Nemůže být fakturováno</t>
  </si>
  <si>
    <t>Položky závislé na metrech položeného potrubí (beton, štěrky, atd.) nemohou být vůči pokládce přefakturovány. Prosím o úpravu položek dle skutečné délky potrubí - 125,2 m. Děkuji</t>
  </si>
  <si>
    <t>Kde bylo prosím použito? Nesouhlasím</t>
  </si>
  <si>
    <t>Kde bylo použito prosím? Nesouhlasím</t>
  </si>
  <si>
    <t>Prosím o úpravu položek k dofakturování dle skutečné délky pokládky - 125,2 m</t>
  </si>
  <si>
    <t xml:space="preserve">opraveno </t>
  </si>
  <si>
    <t>dle VV na prořez ponecháno</t>
  </si>
  <si>
    <t>to cca odpovídá 0,32%</t>
  </si>
  <si>
    <t>opraveno + prořez</t>
  </si>
  <si>
    <t>Nerad bych následně řešil přefakturování. Raději bych ponechával ve všech položkách, kde je možné, 0,5%</t>
  </si>
  <si>
    <t>Prosím o doložení vážních lístků</t>
  </si>
  <si>
    <t>Prosím o objemu fakturovaných položek k délce nepoloženého potrubí (4,48%) děkuji</t>
  </si>
  <si>
    <t>Prosím o úpravu položek tak, aby též zbývalo procentuelně stejně k nepoloženému úseku trub</t>
  </si>
  <si>
    <t>Poznámky TDS 05/21</t>
  </si>
  <si>
    <t>Prosím o doupravení dle skutečné délky položených trub 33,2m (odbočky nutno odečíst z délky trub</t>
  </si>
  <si>
    <t>Poznámky TDS 06/2021</t>
  </si>
  <si>
    <t>Nutno doložit vážní lístky a následně ponechat 5%</t>
  </si>
  <si>
    <t>Ponechat 0,33%</t>
  </si>
  <si>
    <t>Ponechat 5%</t>
  </si>
  <si>
    <t>Nutno doložit vážní lístky. Ponechat 5%</t>
  </si>
  <si>
    <t>Prosím ponechat 5% u všech dokončených položek</t>
  </si>
  <si>
    <t>Nelze přefakturovat</t>
  </si>
  <si>
    <t>Nutno doložit vážní lístky a následně ponechat 5%.</t>
  </si>
  <si>
    <t xml:space="preserve">Nutno doložit vážní lístky </t>
  </si>
  <si>
    <t>Z důvodu velmi malé délky stoky prosím ponechat u dokončených prací 10%, děkuji.</t>
  </si>
  <si>
    <t>Prosím ponechat 5% pro následné určování skutečné hloubky ČSOV</t>
  </si>
  <si>
    <t>Nutno doložit vážní lístky, následně ponechat 5%</t>
  </si>
  <si>
    <t>Není možné provádět montáž a další práce bez potrubí</t>
  </si>
  <si>
    <t>Nutno doložit vážní lístky. Množství prosím upravit s ohledem na menší hloubku ČSOV viz specifikace jímky.</t>
  </si>
  <si>
    <t>Množství prosím upravit s ohledem na menší hloubku ČSOV viz specifikace jímky.</t>
  </si>
  <si>
    <t>Množství neodpovídá pokládce</t>
  </si>
  <si>
    <t>öpraveno</t>
  </si>
  <si>
    <t>opravenpo</t>
  </si>
  <si>
    <t>Nelze dofakturovat před sdělením přesné délky stoky od geodeta stavby. Prosím ponechat 5%</t>
  </si>
  <si>
    <t>ok</t>
  </si>
  <si>
    <t>Poznámky TDS 07/21</t>
  </si>
  <si>
    <t>Prosím doložit vážní lístky</t>
  </si>
  <si>
    <t>neprovedeno</t>
  </si>
  <si>
    <t>Poznámky TDS 07/2021</t>
  </si>
  <si>
    <t>Kde bylo provedno?</t>
  </si>
  <si>
    <t>Neprovedeno</t>
  </si>
  <si>
    <t>Kde bylo provedeno navíc vůči PD?</t>
  </si>
  <si>
    <t>Poznámkky TDS 07/2021</t>
  </si>
  <si>
    <t>Prosím o úpravu soupisu prací dle skut. Délky trub - 232,9m</t>
  </si>
  <si>
    <t>Nelze dofakturovat, musí odpovídat neprovedeným zemním pracím</t>
  </si>
  <si>
    <t>Poznámkdy TDS 07/21</t>
  </si>
  <si>
    <t>Nesouhlasím</t>
  </si>
  <si>
    <t>Procentuelně musí odpovídat skutečné délce pokládky</t>
  </si>
  <si>
    <t>Musí odpovídat vyhloubenému množství, čili ponížit objemy</t>
  </si>
  <si>
    <t>opraveno, ale vzhledem k tomu, že skládka byla doložena, by se mělo vyfakturovat jinde</t>
  </si>
  <si>
    <t xml:space="preserve">Asi zítra, já fakti nevím </t>
  </si>
  <si>
    <t>Mělo by být 0,5 % je víc, takže asi zítra ráno</t>
  </si>
  <si>
    <t xml:space="preserve">Asi zítra ráno, já nevím </t>
  </si>
  <si>
    <t>asi ústřel</t>
  </si>
  <si>
    <t>ústřel v souvislosti s tím spadištěm</t>
  </si>
  <si>
    <t>jak budeme fakturovat</t>
  </si>
  <si>
    <t>zítra</t>
  </si>
  <si>
    <t>Poznámky TDS 08/2021</t>
  </si>
  <si>
    <t>Nutno upravit dle aktuální prostavěnosti</t>
  </si>
  <si>
    <t>Poznámky TDS 08/21</t>
  </si>
  <si>
    <t>Prosím ponechat 5% z fakturace</t>
  </si>
  <si>
    <t>V daném období nefakturováno, prosím odstranit z rekapitulace</t>
  </si>
  <si>
    <t>opraveno, blbě byl jen měsíc</t>
  </si>
  <si>
    <t>OK souhlasím</t>
  </si>
  <si>
    <t>Poznámky TDS 9/21</t>
  </si>
  <si>
    <t>Kde bylo provedeno?</t>
  </si>
  <si>
    <t>Prosím ponechat u všech položek min. 5%</t>
  </si>
  <si>
    <t>Proím vážní lístky</t>
  </si>
  <si>
    <t>Vážní lístky</t>
  </si>
  <si>
    <t>vážní lístky</t>
  </si>
  <si>
    <t>prosím ponechat 5%</t>
  </si>
  <si>
    <t>již řešeno ve fakturaci za 7/21. Nelze dofakturovat do této výše</t>
  </si>
  <si>
    <t>nelze fakturovat v této výši, nutno odsouhlasit s Obj.</t>
  </si>
  <si>
    <t>vážní lístky, nutno navázat na zemní práce</t>
  </si>
  <si>
    <t>upravit dle skutečnosti, případně dořešit s Obj.</t>
  </si>
  <si>
    <t>Kde použito?</t>
  </si>
  <si>
    <t>doloženo</t>
  </si>
  <si>
    <t xml:space="preserve">5 % nechat </t>
  </si>
  <si>
    <t>5% a stejně</t>
  </si>
  <si>
    <t>po dohodě OK</t>
  </si>
  <si>
    <t>zatím ponecháno</t>
  </si>
  <si>
    <t xml:space="preserve">ponecháno </t>
  </si>
  <si>
    <t>TDS 11/21</t>
  </si>
  <si>
    <t>140,9-137,98=2,92-5m(šachty)= -2,08m
Nutno ponížit fakturaci</t>
  </si>
  <si>
    <t>neprovedeno, nefakturovat</t>
  </si>
  <si>
    <t>není dokončeno kompletně (úsek za ovecní knihovnou). Jelikož si neuvědomuji osazení těsnících vaků, bude nutné provést kompletní vyčištění znovu.</t>
  </si>
  <si>
    <t>Zaslat protokoly prosím</t>
  </si>
  <si>
    <t>dodat protokoly</t>
  </si>
  <si>
    <t>Prosím upřesnit odvoz materiálu</t>
  </si>
  <si>
    <t xml:space="preserve">Prosím o sdělení, jak bylo dopočtena přesná výměra. Od geodeta je podklad 417,31m. V takovém případě fakturujete po oečtení šachet větší množství prací. Také upozorňuji, že v případě úvahy nad ZL se zkrácenými kusy, vás žádám o ponížení délek trub o zkrácené kusy v položkách potrubáí tak, aby nedošlo k přefakturaci, děkuji. </t>
  </si>
  <si>
    <t>Mělo by % odpovídat pokládce</t>
  </si>
  <si>
    <t>Pokud nebylo realizováno 406% z délky trub, nemůže zbývat jen 0,4% zemních prací. Rozumím, že šachta má větší rozsah v provedení, ale stejně mi neodpovídá. Prosím o zaslání vašeho výpočtu.</t>
  </si>
  <si>
    <t>Prosím o důvod fakturace?</t>
  </si>
  <si>
    <t>Není známá přesná dlka. Prosím ponechat 5% u všech položek</t>
  </si>
  <si>
    <t>Nedokáži posoudit druh kabelů. Kontrolu bude muset provést elektrikář, případně prosím o zaslání TL</t>
  </si>
  <si>
    <t>Prosím o sdělení důvodu přefakturace?</t>
  </si>
  <si>
    <t>Tlakové zkoušky na 650m??</t>
  </si>
  <si>
    <t>Předpokládám, že Zhot. neprovádí fakturaci v žádné z položek, která by měla být předmětem ZL</t>
  </si>
  <si>
    <t>Kde provedeno v tomto rozsahu?</t>
  </si>
  <si>
    <t>nepoužito</t>
  </si>
  <si>
    <t>neprovedeno u všech kusů. Zařezáno jen ze S a Z strany</t>
  </si>
  <si>
    <t>Prosím upřesnit?</t>
  </si>
  <si>
    <t>Kde bylo provedeno prosím? Vím jen o provizorních úpravách prováděných v prosinci a zabaleném úseku na náklad města.</t>
  </si>
  <si>
    <t>O jaké zkoušky se jedná prosím?</t>
  </si>
  <si>
    <t>nesouhlasím</t>
  </si>
  <si>
    <t xml:space="preserve">doložíme </t>
  </si>
  <si>
    <t xml:space="preserve">pan Brabec </t>
  </si>
  <si>
    <t>To je právě ta otázka - já mám sice požito méně potrubí ale práce provedeny byly protože i pro šachty se muselo kopat - takže asi osobně, navíc mě vychází délka potrubí 415,99 včetně té litiny a rozdíl zemních prací je cca 0,5 %</t>
  </si>
  <si>
    <t xml:space="preserve">to samé co B - osobně </t>
  </si>
  <si>
    <t xml:space="preserve">rám </t>
  </si>
  <si>
    <t xml:space="preserve">asi výkop navíc a přijde mi to logické </t>
  </si>
  <si>
    <t xml:space="preserve">to je OK </t>
  </si>
  <si>
    <t>asi ano</t>
  </si>
  <si>
    <t xml:space="preserve">na poli pro jámy </t>
  </si>
  <si>
    <t xml:space="preserve">opraveno na polovinu </t>
  </si>
  <si>
    <t>rámy</t>
  </si>
  <si>
    <t xml:space="preserve">zhutnění pro asfalty </t>
  </si>
  <si>
    <t>Bude dořešeno ústně</t>
  </si>
  <si>
    <t>2. TDS 11/21</t>
  </si>
  <si>
    <t>prosím obratem</t>
  </si>
  <si>
    <t>prosím tedy o sdělení, jak budete přistupovat k opakovanému čištění?</t>
  </si>
  <si>
    <t>trvá</t>
  </si>
  <si>
    <t xml:space="preserve">vážní lístky </t>
  </si>
  <si>
    <t>ok dořešíme ústně</t>
  </si>
  <si>
    <t>Bude nutné dořešit v rámci ZL a přesnou výměru reflektovat dle GZ</t>
  </si>
  <si>
    <t>zde bude probíhat PowerCem, nemělo být použito</t>
  </si>
  <si>
    <t>protokol prosím</t>
  </si>
  <si>
    <t>musí odpovídat odpočtům viz návrh ZL</t>
  </si>
  <si>
    <t>prosím tedy smazat</t>
  </si>
  <si>
    <t>Aktuálně provedený rozsah je ale menší.</t>
  </si>
  <si>
    <t xml:space="preserve">odpovídá </t>
  </si>
  <si>
    <t>neměl by být dle Jandury</t>
  </si>
  <si>
    <t xml:space="preserve">po dohodě oK </t>
  </si>
  <si>
    <t xml:space="preserve">po dohodě OK </t>
  </si>
  <si>
    <t>nijak</t>
  </si>
  <si>
    <t>TDS 12/21</t>
  </si>
  <si>
    <t>ponechat 5% minimálně</t>
  </si>
  <si>
    <t>OK, nelze přefakturovat (červené řádky jako všude)</t>
  </si>
  <si>
    <t>jaké prosím?</t>
  </si>
  <si>
    <t>5% prosím ponechat, stále není vše dokončeno</t>
  </si>
  <si>
    <t>jaké prosím? Tato položka je na stavbách i z důvodu zhotovení pamětní desky</t>
  </si>
  <si>
    <t>prosím ponechat 10% z důvodu neprovedené obnovy místních komunikací a ČSOV</t>
  </si>
  <si>
    <t>dle TP, nyní mažu</t>
  </si>
  <si>
    <t>TDS 1/22</t>
  </si>
  <si>
    <t>Proč fakturováno</t>
  </si>
  <si>
    <t>Nejdříve protokoly prosím</t>
  </si>
  <si>
    <t>Kde provedeno bez hloubení?</t>
  </si>
  <si>
    <t>Není kontrola viz kamerové prohlídky</t>
  </si>
  <si>
    <t>Protokoly</t>
  </si>
  <si>
    <t>nesouhlas</t>
  </si>
  <si>
    <t>důvod přefakturace, o které nebylo hovořeno v předstihu?</t>
  </si>
  <si>
    <t>nemohlo být provedeno bez jiných prací</t>
  </si>
  <si>
    <t>Nesouhlasím, vážní lístky</t>
  </si>
  <si>
    <t>nesmyslná položka, smazat</t>
  </si>
  <si>
    <t>5% v položkách</t>
  </si>
  <si>
    <t>Smazat 0</t>
  </si>
  <si>
    <t>ponížit</t>
  </si>
  <si>
    <t>Jak proběhne napojení IPA pásů</t>
  </si>
  <si>
    <t>Jaké prosím? Nesouhlas</t>
  </si>
  <si>
    <t>předpokládám, že dofakturace do %</t>
  </si>
  <si>
    <t>a co má přesun hmot společného s hloubením? Jinak je to dofakturace do %</t>
  </si>
  <si>
    <t>,</t>
  </si>
  <si>
    <t xml:space="preserve">vážní lístky budou v rámci ZL, dofsakturace </t>
  </si>
  <si>
    <t xml:space="preserve">provedeno již v listopadu, protokoly dodáme </t>
  </si>
  <si>
    <t>bylo vyčištěno již v listopadu (předpoklad asfaltování) kamery nejdou za námi</t>
  </si>
  <si>
    <t xml:space="preserve">viz. Předchozí </t>
  </si>
  <si>
    <t>dodáme</t>
  </si>
  <si>
    <t>viz předchozí v rámci ZL</t>
  </si>
  <si>
    <t>viz. Výše</t>
  </si>
  <si>
    <t xml:space="preserve">důvod? </t>
  </si>
  <si>
    <t>viz. Předchozí</t>
  </si>
  <si>
    <t>ústřel</t>
  </si>
  <si>
    <t>to nemohlo, ale ty práce nejsou ve VV</t>
  </si>
  <si>
    <t>důvod</t>
  </si>
  <si>
    <t>proč</t>
  </si>
  <si>
    <t>viz.předchozí</t>
  </si>
  <si>
    <t>tento měsíc nic</t>
  </si>
  <si>
    <t>Prosím zaslat na TDS i Obj. obratem</t>
  </si>
  <si>
    <t>Musí být doloženy dříve, jinak není známo množství</t>
  </si>
  <si>
    <t>OK na této stoce paženo bylo viz fotodokumentace</t>
  </si>
  <si>
    <t>OK, v případě opakovaného zjištění znečištění stoky bude řešeno opakovaně.</t>
  </si>
  <si>
    <t>Prosím obratem</t>
  </si>
  <si>
    <t>a.2.1</t>
  </si>
  <si>
    <t>prosím předložit k těmto objemů lístky</t>
  </si>
  <si>
    <t>Prosím doložit lístky k těmto objemům</t>
  </si>
  <si>
    <t>Proč dofakturováno v tomto množství bez pokládky?</t>
  </si>
  <si>
    <t>nerozumím, můžeme dořešit osobně</t>
  </si>
  <si>
    <t>doložit obratem</t>
  </si>
  <si>
    <t>Z jakého důvodu fakturujete tuto položku bez jiných navazujících</t>
  </si>
  <si>
    <t>Neprobíhali žádné úpravy</t>
  </si>
  <si>
    <t>moje chyba, omlouvám se</t>
  </si>
  <si>
    <t>OBJEKT : 03 - SO 01.C -Stoka A</t>
  </si>
  <si>
    <t>J.C.</t>
  </si>
  <si>
    <t>OBJEKT : 04 - SO 01.D - Stoka A.1</t>
  </si>
  <si>
    <t>OBJEKT :05 - SO 01.E - Stoka A.1.1</t>
  </si>
  <si>
    <t>OBJEKT : 01-SO 01.A - Stoka A.0</t>
  </si>
  <si>
    <t xml:space="preserve">množství </t>
  </si>
  <si>
    <t>OBJEKT : 02 - SO 01.B - Stoka A.0.1</t>
  </si>
  <si>
    <t>Vícepráce - méněpráce</t>
  </si>
  <si>
    <t>Celková cena dle realizace</t>
  </si>
  <si>
    <t xml:space="preserve"> </t>
  </si>
  <si>
    <t>rozdíl délek</t>
  </si>
  <si>
    <t>Autorský dozor:</t>
  </si>
  <si>
    <t>Objednatel:</t>
  </si>
  <si>
    <t>Dne:                                        Dne:</t>
  </si>
  <si>
    <t>Zhotovitel:                             Správce stavby:</t>
  </si>
  <si>
    <t>ÚHERCE, výstavba kanalizace - UZNATELNÉ NÁKLADY - doměrky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</si>
</sst>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42" formatCode="_-* #,##0\ &quot;Kč&quot;_-;\-* #,##0\ &quot;Kč&quot;_-;_-* &quot;-&quot;\ &quot;Kč&quot;_-;_-@_-"/>
    <numFmt numFmtId="44" formatCode="_-* #,##0.00\ &quot;Kč&quot;_-;\-* #,##0.00\ &quot;Kč&quot;_-;_-* &quot;-&quot;??\ &quot;Kč&quot;_-;_-@_-"/>
    <numFmt numFmtId="164" formatCode="_-* #,##0.00\ _K_č_-;\-* #,##0.00\ _K_č_-;_-* &quot;-&quot;??\ _K_č_-;_-@_-"/>
    <numFmt numFmtId="165" formatCode="#,##0.000"/>
    <numFmt numFmtId="166" formatCode="#,##0\ &quot;Kč&quot;"/>
    <numFmt numFmtId="167" formatCode="#,##0.00\ [$€-1]"/>
    <numFmt numFmtId="168" formatCode="0_ ;\-0\ "/>
    <numFmt numFmtId="169" formatCode="d/m/yyyy;@"/>
    <numFmt numFmtId="170" formatCode="_-* #,##0.00\ [$€-1]_-;\-* #,##0.00\ [$€-1]_-;_-* &quot;-&quot;??\ [$€-1]_-;_-@_-"/>
    <numFmt numFmtId="171" formatCode="_-* #,##0\ _K_č_-;\-* #,##0\ _K_č_-;_-* &quot;-&quot;??\ _K_č_-;_-@_-"/>
    <numFmt numFmtId="172" formatCode="#,##0.00\ &quot;Kč&quot;"/>
    <numFmt numFmtId="173" formatCode="#,##0.00_ ;\-#,##0.00\ "/>
    <numFmt numFmtId="174" formatCode="_-* #,##0.00,_K_č_-;\-* #,##0.00,_K_č_-;_-* \-??\ _K_č_-;_-@_-"/>
  </numFmts>
  <fonts count="101" x14ac:knownFonts="1">
    <font>
      <sz val="8"/>
      <name val="Arial CE"/>
      <family val="2"/>
    </font>
    <font>
      <sz val="12"/>
      <color rgb="FF003366"/>
      <name val="Arial CE"/>
      <family val="2"/>
      <charset val="238"/>
    </font>
    <font>
      <sz val="10"/>
      <color rgb="FF003366"/>
      <name val="Arial CE"/>
      <family val="2"/>
      <charset val="238"/>
    </font>
    <font>
      <sz val="8"/>
      <color rgb="FF003366"/>
      <name val="Arial CE"/>
      <family val="2"/>
      <charset val="238"/>
    </font>
    <font>
      <sz val="9"/>
      <name val="Arial CE"/>
      <family val="2"/>
      <charset val="238"/>
    </font>
    <font>
      <b/>
      <sz val="12"/>
      <color rgb="FF960000"/>
      <name val="Arial CE"/>
      <family val="2"/>
      <charset val="238"/>
    </font>
    <font>
      <i/>
      <sz val="9"/>
      <color rgb="FF0000FF"/>
      <name val="Arial CE"/>
      <family val="2"/>
      <charset val="238"/>
    </font>
    <font>
      <sz val="8"/>
      <name val="Arial CE"/>
      <family val="2"/>
    </font>
    <font>
      <sz val="12"/>
      <name val="Arial"/>
      <family val="2"/>
      <charset val="238"/>
    </font>
    <font>
      <sz val="10"/>
      <name val="Arial CE"/>
      <family val="2"/>
      <charset val="238"/>
    </font>
    <font>
      <sz val="12"/>
      <name val="Arial CE"/>
      <family val="2"/>
      <charset val="238"/>
    </font>
    <font>
      <sz val="10"/>
      <name val="Times New Roman CE"/>
      <charset val="238"/>
    </font>
    <font>
      <sz val="10"/>
      <name val="Arial"/>
      <family val="2"/>
      <charset val="238"/>
    </font>
    <font>
      <b/>
      <sz val="10"/>
      <color indexed="12"/>
      <name val="Arial"/>
      <family val="2"/>
    </font>
    <font>
      <b/>
      <sz val="12"/>
      <color indexed="18"/>
      <name val="Arial"/>
      <family val="2"/>
      <charset val="238"/>
    </font>
    <font>
      <sz val="12"/>
      <color indexed="18"/>
      <name val="Arial"/>
      <family val="2"/>
      <charset val="238"/>
    </font>
    <font>
      <sz val="12"/>
      <color indexed="17"/>
      <name val="Arial"/>
      <family val="2"/>
      <charset val="238"/>
    </font>
    <font>
      <sz val="12"/>
      <color indexed="10"/>
      <name val="Arial"/>
      <family val="2"/>
      <charset val="238"/>
    </font>
    <font>
      <b/>
      <sz val="12"/>
      <color indexed="18"/>
      <name val="Arial CE"/>
      <family val="2"/>
      <charset val="238"/>
    </font>
    <font>
      <sz val="12"/>
      <color indexed="18"/>
      <name val="Arial CE"/>
      <family val="2"/>
      <charset val="238"/>
    </font>
    <font>
      <sz val="12"/>
      <color indexed="17"/>
      <name val="Arial CE"/>
      <family val="2"/>
      <charset val="238"/>
    </font>
    <font>
      <sz val="12"/>
      <color indexed="10"/>
      <name val="Arial CE"/>
      <family val="2"/>
      <charset val="238"/>
    </font>
    <font>
      <b/>
      <sz val="12"/>
      <name val="Arial"/>
      <family val="2"/>
    </font>
    <font>
      <sz val="8"/>
      <name val="Arial"/>
      <family val="2"/>
      <charset val="238"/>
    </font>
    <font>
      <b/>
      <sz val="8"/>
      <color indexed="12"/>
      <name val="Arial"/>
      <family val="2"/>
    </font>
    <font>
      <sz val="8"/>
      <color indexed="18"/>
      <name val="Arial"/>
      <family val="2"/>
      <charset val="238"/>
    </font>
    <font>
      <b/>
      <sz val="8"/>
      <name val="Arial"/>
      <family val="2"/>
    </font>
    <font>
      <sz val="8"/>
      <name val="Arial CE"/>
      <family val="2"/>
      <charset val="238"/>
    </font>
    <font>
      <sz val="8"/>
      <color indexed="17"/>
      <name val="Arial"/>
      <family val="2"/>
      <charset val="238"/>
    </font>
    <font>
      <sz val="8"/>
      <color indexed="10"/>
      <name val="Arial"/>
      <family val="2"/>
      <charset val="238"/>
    </font>
    <font>
      <b/>
      <sz val="9"/>
      <name val="Arial CE"/>
      <family val="2"/>
      <charset val="238"/>
    </font>
    <font>
      <b/>
      <sz val="9"/>
      <color indexed="17"/>
      <name val="Arial"/>
      <family val="2"/>
    </font>
    <font>
      <b/>
      <sz val="9"/>
      <color indexed="10"/>
      <name val="Arial"/>
      <family val="2"/>
    </font>
    <font>
      <b/>
      <sz val="9"/>
      <color indexed="17"/>
      <name val="Arial CE"/>
      <family val="2"/>
      <charset val="238"/>
    </font>
    <font>
      <b/>
      <sz val="9"/>
      <color indexed="10"/>
      <name val="Arial CE"/>
      <family val="2"/>
      <charset val="238"/>
    </font>
    <font>
      <sz val="9"/>
      <color indexed="60"/>
      <name val="Arial CE"/>
      <family val="2"/>
      <charset val="238"/>
    </font>
    <font>
      <sz val="9"/>
      <color indexed="17"/>
      <name val="Arial"/>
      <family val="2"/>
    </font>
    <font>
      <sz val="9"/>
      <color indexed="17"/>
      <name val="Arial CE"/>
      <family val="2"/>
      <charset val="238"/>
    </font>
    <font>
      <sz val="9"/>
      <color indexed="10"/>
      <name val="Arial"/>
      <family val="2"/>
    </font>
    <font>
      <sz val="9"/>
      <color indexed="10"/>
      <name val="Arial CE"/>
      <family val="2"/>
      <charset val="238"/>
    </font>
    <font>
      <b/>
      <sz val="12"/>
      <name val="Arial CE"/>
      <family val="2"/>
      <charset val="238"/>
    </font>
    <font>
      <b/>
      <sz val="12"/>
      <color theme="5" tint="-0.249977111117893"/>
      <name val="Arial CE"/>
      <family val="2"/>
      <charset val="238"/>
    </font>
    <font>
      <b/>
      <sz val="12"/>
      <color indexed="18"/>
      <name val="Arial"/>
      <family val="2"/>
    </font>
    <font>
      <b/>
      <sz val="12"/>
      <color indexed="17"/>
      <name val="Arial"/>
      <family val="2"/>
    </font>
    <font>
      <b/>
      <sz val="12"/>
      <color indexed="17"/>
      <name val="Arial CE"/>
      <family val="2"/>
      <charset val="238"/>
    </font>
    <font>
      <b/>
      <sz val="10"/>
      <name val="Arial CE"/>
      <family val="2"/>
      <charset val="238"/>
    </font>
    <font>
      <b/>
      <sz val="9"/>
      <name val="Arial CE"/>
      <family val="2"/>
      <charset val="238"/>
    </font>
    <font>
      <sz val="11"/>
      <name val="Arial CE"/>
      <family val="2"/>
      <charset val="238"/>
    </font>
    <font>
      <sz val="10"/>
      <color indexed="60"/>
      <name val="Arial CE"/>
      <family val="2"/>
      <charset val="238"/>
    </font>
    <font>
      <sz val="10"/>
      <color indexed="60"/>
      <name val="Arial"/>
      <family val="2"/>
      <charset val="238"/>
    </font>
    <font>
      <b/>
      <sz val="10"/>
      <name val="Arial"/>
      <family val="2"/>
      <charset val="238"/>
    </font>
    <font>
      <b/>
      <sz val="10"/>
      <name val="Arial"/>
      <family val="2"/>
    </font>
    <font>
      <b/>
      <sz val="10"/>
      <color indexed="60"/>
      <name val="Arial CE"/>
      <family val="2"/>
      <charset val="238"/>
    </font>
    <font>
      <b/>
      <sz val="10"/>
      <name val="Arial CE"/>
      <family val="2"/>
      <charset val="238"/>
    </font>
    <font>
      <b/>
      <sz val="9"/>
      <name val="Arial"/>
      <family val="2"/>
      <charset val="238"/>
    </font>
    <font>
      <b/>
      <sz val="9"/>
      <color indexed="17"/>
      <name val="Arial CE"/>
      <family val="2"/>
      <charset val="238"/>
    </font>
    <font>
      <b/>
      <sz val="9"/>
      <color indexed="10"/>
      <name val="Arial CE"/>
      <family val="2"/>
      <charset val="238"/>
    </font>
    <font>
      <b/>
      <sz val="9"/>
      <color indexed="18"/>
      <name val="Arial"/>
      <family val="2"/>
      <charset val="238"/>
    </font>
    <font>
      <sz val="9"/>
      <color rgb="FFFF0000"/>
      <name val="Arial"/>
      <family val="2"/>
    </font>
    <font>
      <b/>
      <sz val="10"/>
      <color indexed="8"/>
      <name val="Arial"/>
      <family val="2"/>
      <charset val="238"/>
    </font>
    <font>
      <b/>
      <sz val="11"/>
      <color indexed="10"/>
      <name val="Arial CE"/>
      <family val="2"/>
      <charset val="238"/>
    </font>
    <font>
      <b/>
      <sz val="11"/>
      <name val="Arial CE"/>
      <family val="2"/>
      <charset val="238"/>
    </font>
    <font>
      <sz val="8"/>
      <name val="Arial CE"/>
      <family val="2"/>
      <charset val="1"/>
    </font>
    <font>
      <sz val="10"/>
      <name val="Arial CE"/>
      <family val="2"/>
      <charset val="238"/>
    </font>
    <font>
      <b/>
      <sz val="8"/>
      <color rgb="FF003366"/>
      <name val="Arial CE"/>
      <family val="2"/>
      <charset val="238"/>
    </font>
    <font>
      <sz val="8"/>
      <color theme="0"/>
      <name val="Arial CE"/>
      <family val="2"/>
      <charset val="238"/>
    </font>
    <font>
      <sz val="8"/>
      <color theme="0"/>
      <name val="Arial CE"/>
      <family val="2"/>
    </font>
    <font>
      <sz val="8"/>
      <color theme="0"/>
      <name val="Arial CE"/>
      <family val="2"/>
      <charset val="238"/>
    </font>
    <font>
      <sz val="9"/>
      <color theme="0"/>
      <name val="Arial"/>
      <family val="2"/>
      <charset val="238"/>
    </font>
    <font>
      <sz val="11"/>
      <name val="Arial CE"/>
      <family val="2"/>
    </font>
    <font>
      <sz val="9"/>
      <color theme="6" tint="-0.249977111117893"/>
      <name val="Arial CE"/>
      <family val="2"/>
      <charset val="238"/>
    </font>
    <font>
      <sz val="9"/>
      <color theme="6" tint="-0.249977111117893"/>
      <name val="Arial"/>
      <family val="2"/>
      <charset val="238"/>
    </font>
    <font>
      <b/>
      <sz val="9"/>
      <color rgb="FFFF0000"/>
      <name val="Arial"/>
      <family val="2"/>
      <charset val="238"/>
    </font>
    <font>
      <sz val="9"/>
      <color rgb="FFFF0000"/>
      <name val="Arial CE"/>
      <family val="2"/>
      <charset val="238"/>
    </font>
    <font>
      <sz val="9"/>
      <color rgb="FFFF0000"/>
      <name val="Arial"/>
      <family val="2"/>
      <charset val="238"/>
    </font>
    <font>
      <sz val="8"/>
      <color theme="6" tint="-0.249977111117893"/>
      <name val="Arial CE"/>
      <family val="2"/>
      <charset val="238"/>
    </font>
    <font>
      <sz val="8"/>
      <color theme="6" tint="-0.249977111117893"/>
      <name val="Arial CE"/>
      <family val="2"/>
      <charset val="238"/>
    </font>
    <font>
      <b/>
      <sz val="9"/>
      <color theme="6" tint="-0.249977111117893"/>
      <name val="Arial"/>
      <family val="2"/>
      <charset val="238"/>
    </font>
    <font>
      <b/>
      <sz val="9"/>
      <color theme="9" tint="-0.249977111117893"/>
      <name val="Arial"/>
      <family val="2"/>
      <charset val="238"/>
    </font>
    <font>
      <b/>
      <sz val="9"/>
      <color theme="9" tint="-0.249977111117893"/>
      <name val="Arial CE"/>
      <family val="2"/>
      <charset val="238"/>
    </font>
    <font>
      <b/>
      <sz val="9"/>
      <color theme="5"/>
      <name val="Arial"/>
      <family val="2"/>
      <charset val="238"/>
    </font>
    <font>
      <b/>
      <sz val="9"/>
      <color theme="5"/>
      <name val="Arial CE"/>
      <family val="2"/>
      <charset val="238"/>
    </font>
    <font>
      <sz val="9"/>
      <color theme="3"/>
      <name val="Arial"/>
      <family val="2"/>
      <charset val="238"/>
    </font>
    <font>
      <sz val="9"/>
      <color theme="3"/>
      <name val="Arial CE"/>
      <family val="2"/>
      <charset val="238"/>
    </font>
    <font>
      <sz val="8"/>
      <color theme="3"/>
      <name val="Arial CE"/>
      <family val="2"/>
      <charset val="238"/>
    </font>
    <font>
      <sz val="10"/>
      <color theme="3"/>
      <name val="Arial CE"/>
      <family val="2"/>
      <charset val="238"/>
    </font>
    <font>
      <b/>
      <sz val="9"/>
      <color theme="3"/>
      <name val="Arial"/>
      <family val="2"/>
      <charset val="238"/>
    </font>
    <font>
      <sz val="8"/>
      <color theme="9" tint="-0.249977111117893"/>
      <name val="Arial CE"/>
      <family val="2"/>
      <charset val="238"/>
    </font>
    <font>
      <sz val="8"/>
      <color theme="9" tint="-0.249977111117893"/>
      <name val="Arial CE"/>
      <family val="2"/>
      <charset val="238"/>
    </font>
    <font>
      <sz val="9"/>
      <color theme="9" tint="-0.249977111117893"/>
      <name val="Arial"/>
      <family val="2"/>
      <charset val="238"/>
    </font>
    <font>
      <sz val="9"/>
      <color theme="9" tint="-0.249977111117893"/>
      <name val="Arial CE"/>
      <family val="2"/>
      <charset val="238"/>
    </font>
    <font>
      <b/>
      <sz val="9"/>
      <color theme="9" tint="-0.499984740745262"/>
      <name val="Arial"/>
      <family val="2"/>
      <charset val="238"/>
    </font>
    <font>
      <b/>
      <sz val="9"/>
      <color theme="9" tint="-0.499984740745262"/>
      <name val="Arial CE"/>
      <family val="2"/>
      <charset val="238"/>
    </font>
    <font>
      <sz val="8"/>
      <color theme="9" tint="-0.499984740745262"/>
      <name val="Arial CE"/>
      <family val="2"/>
      <charset val="238"/>
    </font>
    <font>
      <sz val="8"/>
      <color theme="9" tint="-0.499984740745262"/>
      <name val="Arial CE"/>
      <family val="2"/>
      <charset val="238"/>
    </font>
    <font>
      <sz val="9"/>
      <color theme="9" tint="-0.499984740745262"/>
      <name val="Arial"/>
      <family val="2"/>
      <charset val="238"/>
    </font>
    <font>
      <sz val="9"/>
      <color theme="9" tint="-0.499984740745262"/>
      <name val="Arial CE"/>
      <family val="2"/>
      <charset val="238"/>
    </font>
    <font>
      <sz val="9"/>
      <color theme="3"/>
      <name val="Arial"/>
      <family val="2"/>
    </font>
    <font>
      <sz val="12"/>
      <color theme="3"/>
      <name val="Arial CE"/>
      <family val="2"/>
      <charset val="238"/>
    </font>
    <font>
      <b/>
      <sz val="12"/>
      <name val="Arial"/>
      <family val="2"/>
      <charset val="238"/>
    </font>
    <font>
      <b/>
      <sz val="12"/>
      <color indexed="17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0">
    <xf numFmtId="0" fontId="0" fillId="0" borderId="0"/>
    <xf numFmtId="164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9" fillId="0" borderId="1"/>
    <xf numFmtId="0" fontId="11" fillId="0" borderId="1"/>
    <xf numFmtId="0" fontId="9" fillId="0" borderId="1"/>
    <xf numFmtId="0" fontId="62" fillId="0" borderId="1"/>
    <xf numFmtId="174" fontId="62" fillId="0" borderId="1" applyBorder="0" applyProtection="0"/>
    <xf numFmtId="9" fontId="62" fillId="0" borderId="1" applyBorder="0" applyProtection="0"/>
    <xf numFmtId="0" fontId="63" fillId="0" borderId="1"/>
  </cellStyleXfs>
  <cellXfs count="351">
    <xf numFmtId="0" fontId="0" fillId="0" borderId="0" xfId="0"/>
    <xf numFmtId="0" fontId="8" fillId="0" borderId="1" xfId="0" applyFont="1" applyBorder="1"/>
    <xf numFmtId="0" fontId="10" fillId="0" borderId="1" xfId="3" applyFont="1" applyBorder="1"/>
    <xf numFmtId="166" fontId="12" fillId="0" borderId="1" xfId="4" applyNumberFormat="1" applyFont="1" applyBorder="1" applyAlignment="1">
      <alignment horizontal="right"/>
    </xf>
    <xf numFmtId="42" fontId="13" fillId="0" borderId="1" xfId="3" applyNumberFormat="1" applyFont="1" applyBorder="1" applyAlignment="1">
      <alignment horizontal="left"/>
    </xf>
    <xf numFmtId="42" fontId="9" fillId="0" borderId="1" xfId="3" applyNumberFormat="1" applyFont="1" applyBorder="1" applyAlignment="1"/>
    <xf numFmtId="0" fontId="14" fillId="0" borderId="1" xfId="0" applyFont="1" applyBorder="1"/>
    <xf numFmtId="44" fontId="14" fillId="0" borderId="1" xfId="0" applyNumberFormat="1" applyFont="1" applyBorder="1"/>
    <xf numFmtId="44" fontId="15" fillId="0" borderId="1" xfId="0" applyNumberFormat="1" applyFont="1" applyBorder="1"/>
    <xf numFmtId="0" fontId="16" fillId="0" borderId="1" xfId="0" applyFont="1" applyBorder="1"/>
    <xf numFmtId="167" fontId="16" fillId="0" borderId="1" xfId="0" applyNumberFormat="1" applyFont="1" applyBorder="1"/>
    <xf numFmtId="0" fontId="17" fillId="0" borderId="1" xfId="0" applyFont="1" applyBorder="1"/>
    <xf numFmtId="0" fontId="0" fillId="0" borderId="1" xfId="3" applyFont="1" applyBorder="1" applyAlignment="1">
      <alignment horizontal="right"/>
    </xf>
    <xf numFmtId="42" fontId="12" fillId="0" borderId="1" xfId="0" applyNumberFormat="1" applyFont="1" applyBorder="1" applyAlignment="1"/>
    <xf numFmtId="0" fontId="18" fillId="0" borderId="1" xfId="3" applyFont="1" applyBorder="1"/>
    <xf numFmtId="44" fontId="18" fillId="0" borderId="1" xfId="3" applyNumberFormat="1" applyFont="1" applyBorder="1"/>
    <xf numFmtId="44" fontId="19" fillId="0" borderId="1" xfId="3" applyNumberFormat="1" applyFont="1" applyBorder="1"/>
    <xf numFmtId="0" fontId="20" fillId="0" borderId="1" xfId="3" applyFont="1" applyBorder="1"/>
    <xf numFmtId="167" fontId="20" fillId="0" borderId="1" xfId="3" applyNumberFormat="1" applyFont="1" applyBorder="1"/>
    <xf numFmtId="0" fontId="21" fillId="0" borderId="1" xfId="3" applyFont="1" applyBorder="1"/>
    <xf numFmtId="42" fontId="12" fillId="0" borderId="1" xfId="0" applyNumberFormat="1" applyFont="1" applyBorder="1" applyAlignment="1">
      <alignment horizontal="left"/>
    </xf>
    <xf numFmtId="166" fontId="8" fillId="0" borderId="1" xfId="4" applyNumberFormat="1" applyFont="1" applyBorder="1" applyAlignment="1">
      <alignment horizontal="right"/>
    </xf>
    <xf numFmtId="49" fontId="22" fillId="0" borderId="1" xfId="0" applyNumberFormat="1" applyFont="1" applyBorder="1" applyAlignment="1">
      <alignment horizontal="right"/>
    </xf>
    <xf numFmtId="0" fontId="23" fillId="0" borderId="1" xfId="0" applyFont="1" applyBorder="1"/>
    <xf numFmtId="0" fontId="24" fillId="0" borderId="1" xfId="3" applyFont="1" applyBorder="1"/>
    <xf numFmtId="49" fontId="22" fillId="0" borderId="1" xfId="0" applyNumberFormat="1" applyFont="1" applyFill="1" applyBorder="1" applyAlignment="1">
      <alignment horizontal="right"/>
    </xf>
    <xf numFmtId="169" fontId="22" fillId="0" borderId="1" xfId="0" applyNumberFormat="1" applyFont="1" applyFill="1" applyBorder="1" applyAlignment="1"/>
    <xf numFmtId="0" fontId="26" fillId="0" borderId="1" xfId="3" applyFont="1" applyBorder="1"/>
    <xf numFmtId="0" fontId="27" fillId="0" borderId="1" xfId="3" applyFont="1" applyBorder="1"/>
    <xf numFmtId="44" fontId="25" fillId="0" borderId="1" xfId="0" applyNumberFormat="1" applyFont="1" applyBorder="1"/>
    <xf numFmtId="0" fontId="28" fillId="0" borderId="1" xfId="0" applyFont="1" applyBorder="1"/>
    <xf numFmtId="167" fontId="28" fillId="0" borderId="1" xfId="0" applyNumberFormat="1" applyFont="1" applyBorder="1"/>
    <xf numFmtId="0" fontId="29" fillId="0" borderId="1" xfId="0" applyFont="1" applyBorder="1"/>
    <xf numFmtId="0" fontId="9" fillId="0" borderId="1" xfId="3" applyFont="1" applyBorder="1" applyAlignment="1">
      <alignment vertical="center"/>
    </xf>
    <xf numFmtId="0" fontId="9" fillId="0" borderId="2" xfId="3" applyFont="1" applyBorder="1" applyAlignment="1">
      <alignment vertical="center"/>
    </xf>
    <xf numFmtId="0" fontId="9" fillId="0" borderId="3" xfId="3" applyFont="1" applyBorder="1" applyAlignment="1">
      <alignment vertical="center"/>
    </xf>
    <xf numFmtId="42" fontId="30" fillId="0" borderId="3" xfId="3" applyNumberFormat="1" applyFont="1" applyBorder="1" applyAlignment="1">
      <alignment horizontal="center" vertical="center"/>
    </xf>
    <xf numFmtId="0" fontId="30" fillId="0" borderId="1" xfId="3" applyFont="1" applyBorder="1" applyAlignment="1">
      <alignment vertical="center"/>
    </xf>
    <xf numFmtId="0" fontId="30" fillId="0" borderId="6" xfId="3" applyFont="1" applyBorder="1" applyAlignment="1">
      <alignment vertical="center"/>
    </xf>
    <xf numFmtId="0" fontId="30" fillId="0" borderId="5" xfId="3" applyFont="1" applyBorder="1" applyAlignment="1">
      <alignment vertical="center"/>
    </xf>
    <xf numFmtId="42" fontId="30" fillId="0" borderId="5" xfId="3" applyNumberFormat="1" applyFont="1" applyBorder="1" applyAlignment="1">
      <alignment horizontal="center" vertical="center" wrapText="1"/>
    </xf>
    <xf numFmtId="0" fontId="0" fillId="0" borderId="0" xfId="0" applyAlignment="1"/>
    <xf numFmtId="10" fontId="36" fillId="0" borderId="8" xfId="2" applyNumberFormat="1" applyFont="1" applyBorder="1" applyAlignment="1">
      <alignment horizontal="right" vertical="center"/>
    </xf>
    <xf numFmtId="44" fontId="37" fillId="0" borderId="8" xfId="3" applyNumberFormat="1" applyFont="1" applyFill="1" applyBorder="1" applyAlignment="1">
      <alignment vertical="center"/>
    </xf>
    <xf numFmtId="10" fontId="38" fillId="0" borderId="8" xfId="2" applyNumberFormat="1" applyFont="1" applyBorder="1" applyAlignment="1">
      <alignment horizontal="right" vertical="center"/>
    </xf>
    <xf numFmtId="44" fontId="39" fillId="0" borderId="8" xfId="3" applyNumberFormat="1" applyFont="1" applyBorder="1" applyAlignment="1">
      <alignment vertical="center"/>
    </xf>
    <xf numFmtId="0" fontId="40" fillId="0" borderId="1" xfId="0" applyFont="1" applyFill="1" applyBorder="1" applyAlignment="1">
      <alignment vertical="center"/>
    </xf>
    <xf numFmtId="0" fontId="41" fillId="0" borderId="1" xfId="0" applyFont="1" applyFill="1" applyBorder="1" applyAlignment="1">
      <alignment vertical="center"/>
    </xf>
    <xf numFmtId="4" fontId="41" fillId="0" borderId="1" xfId="0" applyNumberFormat="1" applyFont="1" applyFill="1" applyBorder="1" applyAlignment="1">
      <alignment horizontal="right" vertical="center"/>
    </xf>
    <xf numFmtId="44" fontId="42" fillId="0" borderId="1" xfId="3" applyNumberFormat="1" applyFont="1" applyBorder="1" applyAlignment="1">
      <alignment horizontal="left" vertical="center"/>
    </xf>
    <xf numFmtId="10" fontId="43" fillId="0" borderId="1" xfId="2" applyNumberFormat="1" applyFont="1" applyBorder="1" applyAlignment="1">
      <alignment horizontal="right" vertical="center"/>
    </xf>
    <xf numFmtId="42" fontId="44" fillId="0" borderId="1" xfId="3" applyNumberFormat="1" applyFont="1" applyBorder="1" applyAlignment="1">
      <alignment vertical="center"/>
    </xf>
    <xf numFmtId="4" fontId="40" fillId="0" borderId="1" xfId="0" applyNumberFormat="1" applyFont="1" applyFill="1" applyBorder="1" applyAlignment="1">
      <alignment vertical="center"/>
    </xf>
    <xf numFmtId="0" fontId="45" fillId="0" borderId="1" xfId="0" applyFont="1" applyFill="1" applyBorder="1" applyAlignment="1">
      <alignment vertical="center"/>
    </xf>
    <xf numFmtId="0" fontId="45" fillId="0" borderId="8" xfId="0" applyFont="1" applyFill="1" applyBorder="1" applyAlignment="1">
      <alignment horizontal="center" vertical="center"/>
    </xf>
    <xf numFmtId="0" fontId="46" fillId="0" borderId="8" xfId="0" applyFont="1" applyFill="1" applyBorder="1" applyAlignment="1">
      <alignment vertical="center"/>
    </xf>
    <xf numFmtId="4" fontId="30" fillId="0" borderId="8" xfId="1" applyNumberFormat="1" applyFont="1" applyFill="1" applyBorder="1" applyAlignment="1">
      <alignment horizontal="right" vertical="center"/>
    </xf>
    <xf numFmtId="4" fontId="45" fillId="0" borderId="1" xfId="0" applyNumberFormat="1" applyFont="1" applyFill="1" applyBorder="1" applyAlignment="1">
      <alignment vertical="center"/>
    </xf>
    <xf numFmtId="0" fontId="47" fillId="0" borderId="1" xfId="0" applyFont="1" applyFill="1" applyBorder="1" applyAlignment="1">
      <alignment vertical="center"/>
    </xf>
    <xf numFmtId="171" fontId="47" fillId="0" borderId="1" xfId="0" applyNumberFormat="1" applyFont="1" applyFill="1" applyBorder="1" applyAlignment="1">
      <alignment vertical="center"/>
    </xf>
    <xf numFmtId="0" fontId="0" fillId="0" borderId="1" xfId="0" applyBorder="1"/>
    <xf numFmtId="0" fontId="12" fillId="0" borderId="1" xfId="0" applyFont="1" applyBorder="1"/>
    <xf numFmtId="0" fontId="48" fillId="0" borderId="1" xfId="0" applyFont="1" applyBorder="1"/>
    <xf numFmtId="44" fontId="49" fillId="0" borderId="1" xfId="0" applyNumberFormat="1" applyFont="1" applyBorder="1"/>
    <xf numFmtId="167" fontId="17" fillId="0" borderId="1" xfId="0" applyNumberFormat="1" applyFont="1" applyBorder="1"/>
    <xf numFmtId="44" fontId="49" fillId="0" borderId="1" xfId="3" applyNumberFormat="1" applyFont="1" applyBorder="1"/>
    <xf numFmtId="167" fontId="21" fillId="0" borderId="1" xfId="3" applyNumberFormat="1" applyFont="1" applyBorder="1"/>
    <xf numFmtId="168" fontId="12" fillId="0" borderId="1" xfId="0" applyNumberFormat="1" applyFont="1" applyBorder="1" applyAlignment="1">
      <alignment horizontal="center"/>
    </xf>
    <xf numFmtId="0" fontId="50" fillId="0" borderId="1" xfId="0" applyFont="1" applyBorder="1"/>
    <xf numFmtId="0" fontId="51" fillId="0" borderId="1" xfId="3" applyFont="1" applyBorder="1"/>
    <xf numFmtId="0" fontId="52" fillId="0" borderId="1" xfId="3" applyFont="1" applyBorder="1" applyAlignment="1">
      <alignment horizontal="right"/>
    </xf>
    <xf numFmtId="49" fontId="51" fillId="0" borderId="1" xfId="0" applyNumberFormat="1" applyFont="1" applyBorder="1" applyAlignment="1">
      <alignment horizontal="right"/>
    </xf>
    <xf numFmtId="0" fontId="53" fillId="0" borderId="1" xfId="3" applyFont="1" applyBorder="1" applyAlignment="1">
      <alignment horizontal="right"/>
    </xf>
    <xf numFmtId="0" fontId="53" fillId="0" borderId="1" xfId="0" applyFont="1" applyFill="1" applyBorder="1"/>
    <xf numFmtId="172" fontId="50" fillId="0" borderId="1" xfId="0" applyNumberFormat="1" applyFont="1" applyBorder="1"/>
    <xf numFmtId="0" fontId="30" fillId="0" borderId="1" xfId="5" applyFont="1" applyFill="1" applyBorder="1"/>
    <xf numFmtId="0" fontId="30" fillId="0" borderId="2" xfId="5" applyFont="1" applyFill="1" applyBorder="1"/>
    <xf numFmtId="0" fontId="30" fillId="0" borderId="3" xfId="5" applyFont="1" applyFill="1" applyBorder="1" applyAlignment="1" applyProtection="1">
      <alignment vertical="center"/>
    </xf>
    <xf numFmtId="0" fontId="30" fillId="0" borderId="3" xfId="5" applyFont="1" applyFill="1" applyBorder="1" applyAlignment="1" applyProtection="1">
      <alignment horizontal="centerContinuous" vertical="center"/>
    </xf>
    <xf numFmtId="44" fontId="50" fillId="0" borderId="3" xfId="5" applyNumberFormat="1" applyFont="1" applyFill="1" applyBorder="1" applyAlignment="1" applyProtection="1">
      <alignment vertical="center"/>
    </xf>
    <xf numFmtId="0" fontId="30" fillId="0" borderId="6" xfId="5" applyFont="1" applyFill="1" applyBorder="1"/>
    <xf numFmtId="49" fontId="54" fillId="0" borderId="5" xfId="5" applyNumberFormat="1" applyFont="1" applyFill="1" applyBorder="1" applyAlignment="1" applyProtection="1">
      <alignment horizontal="center" vertical="center"/>
    </xf>
    <xf numFmtId="165" fontId="54" fillId="0" borderId="5" xfId="5" applyNumberFormat="1" applyFont="1" applyFill="1" applyBorder="1" applyAlignment="1" applyProtection="1">
      <alignment horizontal="center" vertical="center"/>
    </xf>
    <xf numFmtId="9" fontId="54" fillId="0" borderId="5" xfId="5" applyNumberFormat="1" applyFont="1" applyFill="1" applyBorder="1" applyAlignment="1" applyProtection="1">
      <alignment horizontal="center" vertical="center"/>
    </xf>
    <xf numFmtId="44" fontId="50" fillId="0" borderId="5" xfId="5" applyNumberFormat="1" applyFont="1" applyFill="1" applyBorder="1" applyAlignment="1" applyProtection="1">
      <alignment horizontal="center" vertical="center"/>
    </xf>
    <xf numFmtId="173" fontId="37" fillId="0" borderId="8" xfId="3" applyNumberFormat="1" applyFont="1" applyBorder="1" applyAlignment="1">
      <alignment horizontal="right" vertical="center"/>
    </xf>
    <xf numFmtId="172" fontId="37" fillId="0" borderId="8" xfId="3" applyNumberFormat="1" applyFont="1" applyBorder="1" applyAlignment="1">
      <alignment vertical="center"/>
    </xf>
    <xf numFmtId="4" fontId="38" fillId="0" borderId="8" xfId="2" applyNumberFormat="1" applyFont="1" applyBorder="1" applyAlignment="1">
      <alignment horizontal="right" vertical="center"/>
    </xf>
    <xf numFmtId="172" fontId="39" fillId="0" borderId="8" xfId="3" applyNumberFormat="1" applyFont="1" applyBorder="1" applyAlignment="1">
      <alignment vertical="center"/>
    </xf>
    <xf numFmtId="0" fontId="0" fillId="3" borderId="1" xfId="0" applyFill="1" applyBorder="1"/>
    <xf numFmtId="0" fontId="53" fillId="3" borderId="1" xfId="0" applyFont="1" applyFill="1" applyBorder="1"/>
    <xf numFmtId="2" fontId="53" fillId="3" borderId="1" xfId="0" applyNumberFormat="1" applyFont="1" applyFill="1" applyBorder="1"/>
    <xf numFmtId="44" fontId="50" fillId="3" borderId="1" xfId="0" applyNumberFormat="1" applyFont="1" applyFill="1" applyBorder="1"/>
    <xf numFmtId="0" fontId="48" fillId="3" borderId="1" xfId="0" applyFont="1" applyFill="1" applyBorder="1"/>
    <xf numFmtId="0" fontId="9" fillId="3" borderId="1" xfId="0" applyFont="1" applyFill="1" applyBorder="1"/>
    <xf numFmtId="0" fontId="0" fillId="0" borderId="1" xfId="0" applyBorder="1" applyProtection="1">
      <protection locked="0"/>
    </xf>
    <xf numFmtId="2" fontId="0" fillId="0" borderId="1" xfId="0" applyNumberFormat="1" applyBorder="1"/>
    <xf numFmtId="0" fontId="0" fillId="0" borderId="1" xfId="0" applyFont="1" applyBorder="1" applyAlignment="1">
      <alignment vertical="center"/>
    </xf>
    <xf numFmtId="0" fontId="5" fillId="0" borderId="1" xfId="0" applyFont="1" applyBorder="1" applyAlignment="1">
      <alignment horizontal="left" vertical="center"/>
    </xf>
    <xf numFmtId="4" fontId="5" fillId="0" borderId="1" xfId="0" applyNumberFormat="1" applyFont="1" applyBorder="1" applyAlignment="1"/>
    <xf numFmtId="173" fontId="35" fillId="0" borderId="1" xfId="3" applyNumberFormat="1" applyFont="1" applyBorder="1" applyAlignment="1">
      <alignment horizontal="right" vertical="center" wrapText="1"/>
    </xf>
    <xf numFmtId="172" fontId="35" fillId="0" borderId="1" xfId="3" applyNumberFormat="1" applyFont="1" applyBorder="1" applyAlignment="1">
      <alignment vertical="center" wrapText="1"/>
    </xf>
    <xf numFmtId="44" fontId="57" fillId="0" borderId="1" xfId="3" applyNumberFormat="1" applyFont="1" applyBorder="1" applyAlignment="1">
      <alignment horizontal="left" vertical="center"/>
    </xf>
    <xf numFmtId="173" fontId="37" fillId="0" borderId="1" xfId="3" applyNumberFormat="1" applyFont="1" applyBorder="1" applyAlignment="1">
      <alignment horizontal="right" vertical="center"/>
    </xf>
    <xf numFmtId="172" fontId="37" fillId="0" borderId="1" xfId="3" applyNumberFormat="1" applyFont="1" applyBorder="1" applyAlignment="1">
      <alignment vertical="center"/>
    </xf>
    <xf numFmtId="10" fontId="36" fillId="0" borderId="1" xfId="2" applyNumberFormat="1" applyFont="1" applyBorder="1" applyAlignment="1">
      <alignment horizontal="right" vertical="center"/>
    </xf>
    <xf numFmtId="4" fontId="38" fillId="0" borderId="1" xfId="2" applyNumberFormat="1" applyFont="1" applyBorder="1" applyAlignment="1">
      <alignment horizontal="right" vertical="center"/>
    </xf>
    <xf numFmtId="172" fontId="39" fillId="0" borderId="1" xfId="3" applyNumberFormat="1" applyFont="1" applyBorder="1" applyAlignment="1">
      <alignment vertical="center"/>
    </xf>
    <xf numFmtId="10" fontId="58" fillId="0" borderId="1" xfId="2" applyNumberFormat="1" applyFont="1" applyBorder="1" applyAlignment="1">
      <alignment horizontal="right" vertical="center"/>
    </xf>
    <xf numFmtId="0" fontId="0" fillId="0" borderId="1" xfId="0" applyBorder="1" applyAlignment="1">
      <alignment vertical="center"/>
    </xf>
    <xf numFmtId="0" fontId="3" fillId="0" borderId="1" xfId="0" applyFont="1" applyBorder="1" applyAlignment="1"/>
    <xf numFmtId="0" fontId="3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/>
    </xf>
    <xf numFmtId="4" fontId="1" fillId="0" borderId="1" xfId="0" applyNumberFormat="1" applyFont="1" applyBorder="1" applyAlignment="1"/>
    <xf numFmtId="0" fontId="2" fillId="0" borderId="1" xfId="0" applyFont="1" applyBorder="1" applyAlignment="1">
      <alignment horizontal="left"/>
    </xf>
    <xf numFmtId="4" fontId="2" fillId="0" borderId="1" xfId="0" applyNumberFormat="1" applyFont="1" applyBorder="1" applyAlignment="1"/>
    <xf numFmtId="0" fontId="0" fillId="0" borderId="1" xfId="0" applyFont="1" applyBorder="1" applyAlignment="1" applyProtection="1">
      <alignment vertical="center"/>
      <protection locked="0"/>
    </xf>
    <xf numFmtId="0" fontId="4" fillId="0" borderId="8" xfId="0" applyFont="1" applyBorder="1" applyAlignment="1" applyProtection="1">
      <alignment horizontal="center" vertical="center"/>
      <protection locked="0"/>
    </xf>
    <xf numFmtId="49" fontId="4" fillId="0" borderId="8" xfId="0" applyNumberFormat="1" applyFont="1" applyBorder="1" applyAlignment="1" applyProtection="1">
      <alignment horizontal="left" vertical="center" wrapText="1"/>
      <protection locked="0"/>
    </xf>
    <xf numFmtId="0" fontId="4" fillId="0" borderId="8" xfId="0" applyFont="1" applyBorder="1" applyAlignment="1" applyProtection="1">
      <alignment horizontal="left" vertical="center" wrapText="1"/>
      <protection locked="0"/>
    </xf>
    <xf numFmtId="0" fontId="4" fillId="0" borderId="8" xfId="0" applyFont="1" applyBorder="1" applyAlignment="1" applyProtection="1">
      <alignment horizontal="center" vertical="center" wrapText="1"/>
      <protection locked="0"/>
    </xf>
    <xf numFmtId="165" fontId="4" fillId="0" borderId="8" xfId="0" applyNumberFormat="1" applyFont="1" applyBorder="1" applyAlignment="1" applyProtection="1">
      <alignment vertical="center"/>
      <protection locked="0"/>
    </xf>
    <xf numFmtId="4" fontId="4" fillId="0" borderId="8" xfId="0" applyNumberFormat="1" applyFont="1" applyBorder="1" applyAlignment="1" applyProtection="1">
      <alignment vertical="center"/>
      <protection locked="0"/>
    </xf>
    <xf numFmtId="0" fontId="6" fillId="0" borderId="8" xfId="0" applyFont="1" applyBorder="1" applyAlignment="1" applyProtection="1">
      <alignment horizontal="center" vertical="center"/>
      <protection locked="0"/>
    </xf>
    <xf numFmtId="49" fontId="6" fillId="0" borderId="8" xfId="0" applyNumberFormat="1" applyFont="1" applyBorder="1" applyAlignment="1" applyProtection="1">
      <alignment horizontal="left" vertical="center" wrapText="1"/>
      <protection locked="0"/>
    </xf>
    <xf numFmtId="0" fontId="6" fillId="0" borderId="8" xfId="0" applyFont="1" applyBorder="1" applyAlignment="1" applyProtection="1">
      <alignment horizontal="left" vertical="center" wrapText="1"/>
      <protection locked="0"/>
    </xf>
    <xf numFmtId="0" fontId="6" fillId="0" borderId="8" xfId="0" applyFont="1" applyBorder="1" applyAlignment="1" applyProtection="1">
      <alignment horizontal="center" vertical="center" wrapText="1"/>
      <protection locked="0"/>
    </xf>
    <xf numFmtId="165" fontId="6" fillId="0" borderId="8" xfId="0" applyNumberFormat="1" applyFont="1" applyBorder="1" applyAlignment="1" applyProtection="1">
      <alignment vertical="center"/>
      <protection locked="0"/>
    </xf>
    <xf numFmtId="4" fontId="6" fillId="0" borderId="8" xfId="0" applyNumberFormat="1" applyFont="1" applyBorder="1" applyAlignment="1" applyProtection="1">
      <alignment vertical="center"/>
      <protection locked="0"/>
    </xf>
    <xf numFmtId="0" fontId="3" fillId="0" borderId="8" xfId="0" applyFont="1" applyBorder="1" applyAlignment="1"/>
    <xf numFmtId="0" fontId="3" fillId="0" borderId="8" xfId="0" applyFont="1" applyBorder="1" applyAlignment="1">
      <alignment horizontal="left"/>
    </xf>
    <xf numFmtId="0" fontId="2" fillId="0" borderId="8" xfId="0" applyFont="1" applyBorder="1" applyAlignment="1">
      <alignment horizontal="left"/>
    </xf>
    <xf numFmtId="4" fontId="2" fillId="0" borderId="8" xfId="0" applyNumberFormat="1" applyFont="1" applyBorder="1" applyAlignment="1"/>
    <xf numFmtId="49" fontId="54" fillId="0" borderId="1" xfId="5" applyNumberFormat="1" applyFont="1" applyFill="1" applyBorder="1" applyAlignment="1" applyProtection="1">
      <alignment horizontal="center" vertical="center"/>
    </xf>
    <xf numFmtId="165" fontId="54" fillId="0" borderId="1" xfId="5" applyNumberFormat="1" applyFont="1" applyFill="1" applyBorder="1" applyAlignment="1" applyProtection="1">
      <alignment horizontal="center" vertical="center"/>
    </xf>
    <xf numFmtId="9" fontId="54" fillId="0" borderId="1" xfId="5" applyNumberFormat="1" applyFont="1" applyFill="1" applyBorder="1" applyAlignment="1" applyProtection="1">
      <alignment horizontal="center" vertical="center"/>
    </xf>
    <xf numFmtId="44" fontId="50" fillId="0" borderId="1" xfId="5" applyNumberFormat="1" applyFont="1" applyFill="1" applyBorder="1" applyAlignment="1" applyProtection="1">
      <alignment horizontal="center" vertical="center"/>
    </xf>
    <xf numFmtId="170" fontId="55" fillId="0" borderId="1" xfId="3" applyNumberFormat="1" applyFont="1" applyBorder="1" applyAlignment="1">
      <alignment horizontal="center" vertical="center"/>
    </xf>
    <xf numFmtId="170" fontId="55" fillId="0" borderId="1" xfId="3" applyNumberFormat="1" applyFont="1" applyBorder="1" applyAlignment="1">
      <alignment horizontal="center" vertical="center" wrapText="1"/>
    </xf>
    <xf numFmtId="170" fontId="56" fillId="0" borderId="1" xfId="3" applyNumberFormat="1" applyFont="1" applyBorder="1" applyAlignment="1">
      <alignment horizontal="center" vertical="center"/>
    </xf>
    <xf numFmtId="170" fontId="56" fillId="0" borderId="1" xfId="3" applyNumberFormat="1" applyFont="1" applyBorder="1" applyAlignment="1">
      <alignment horizontal="center" vertical="center" wrapText="1"/>
    </xf>
    <xf numFmtId="0" fontId="59" fillId="3" borderId="1" xfId="0" applyNumberFormat="1" applyFont="1" applyFill="1" applyBorder="1" applyAlignment="1" applyProtection="1">
      <alignment horizontal="left" vertical="center"/>
    </xf>
    <xf numFmtId="0" fontId="1" fillId="0" borderId="8" xfId="0" applyFont="1" applyBorder="1" applyAlignment="1">
      <alignment horizontal="left"/>
    </xf>
    <xf numFmtId="4" fontId="1" fillId="0" borderId="8" xfId="0" applyNumberFormat="1" applyFont="1" applyBorder="1" applyAlignment="1"/>
    <xf numFmtId="0" fontId="60" fillId="0" borderId="1" xfId="0" applyFont="1" applyFill="1" applyBorder="1" applyAlignment="1">
      <alignment horizontal="center" vertical="center"/>
    </xf>
    <xf numFmtId="171" fontId="61" fillId="0" borderId="1" xfId="1" applyNumberFormat="1" applyFont="1" applyFill="1" applyBorder="1" applyAlignment="1">
      <alignment horizontal="left" vertical="center"/>
    </xf>
    <xf numFmtId="4" fontId="61" fillId="0" borderId="1" xfId="1" applyNumberFormat="1" applyFont="1" applyFill="1" applyBorder="1" applyAlignment="1">
      <alignment horizontal="right" vertical="center"/>
    </xf>
    <xf numFmtId="172" fontId="50" fillId="3" borderId="1" xfId="0" applyNumberFormat="1" applyFont="1" applyFill="1" applyBorder="1"/>
    <xf numFmtId="0" fontId="0" fillId="4" borderId="1" xfId="0" applyFill="1" applyBorder="1" applyAlignment="1">
      <alignment vertical="center"/>
    </xf>
    <xf numFmtId="0" fontId="0" fillId="0" borderId="1" xfId="0" applyBorder="1" applyAlignment="1">
      <alignment vertical="center" wrapText="1"/>
    </xf>
    <xf numFmtId="0" fontId="0" fillId="4" borderId="1" xfId="0" applyFill="1" applyBorder="1" applyAlignment="1">
      <alignment vertical="center" wrapText="1"/>
    </xf>
    <xf numFmtId="0" fontId="0" fillId="0" borderId="1" xfId="0" applyFill="1" applyBorder="1" applyAlignment="1">
      <alignment vertical="center"/>
    </xf>
    <xf numFmtId="0" fontId="0" fillId="0" borderId="1" xfId="0" applyFill="1" applyBorder="1" applyAlignment="1">
      <alignment vertical="center" wrapText="1"/>
    </xf>
    <xf numFmtId="0" fontId="3" fillId="0" borderId="1" xfId="0" applyFont="1" applyFill="1" applyBorder="1" applyAlignment="1"/>
    <xf numFmtId="0" fontId="30" fillId="4" borderId="1" xfId="5" applyFont="1" applyFill="1"/>
    <xf numFmtId="0" fontId="30" fillId="0" borderId="1" xfId="5" applyFont="1"/>
    <xf numFmtId="0" fontId="3" fillId="0" borderId="1" xfId="0" applyFont="1" applyBorder="1"/>
    <xf numFmtId="0" fontId="30" fillId="4" borderId="1" xfId="5" applyFont="1" applyFill="1" applyBorder="1"/>
    <xf numFmtId="0" fontId="0" fillId="0" borderId="0" xfId="0" applyAlignment="1">
      <alignment vertical="center" wrapText="1"/>
    </xf>
    <xf numFmtId="0" fontId="0" fillId="4" borderId="0" xfId="0" applyFill="1" applyAlignment="1">
      <alignment vertical="center"/>
    </xf>
    <xf numFmtId="165" fontId="0" fillId="0" borderId="1" xfId="0" applyNumberFormat="1" applyBorder="1" applyAlignment="1">
      <alignment vertical="center"/>
    </xf>
    <xf numFmtId="9" fontId="47" fillId="0" borderId="1" xfId="0" applyNumberFormat="1" applyFont="1" applyFill="1" applyBorder="1" applyAlignment="1">
      <alignment vertical="center"/>
    </xf>
    <xf numFmtId="0" fontId="30" fillId="0" borderId="1" xfId="5" applyFont="1" applyFill="1"/>
    <xf numFmtId="4" fontId="0" fillId="0" borderId="1" xfId="0" applyNumberFormat="1" applyFill="1" applyBorder="1" applyAlignment="1">
      <alignment vertical="center"/>
    </xf>
    <xf numFmtId="0" fontId="0" fillId="0" borderId="1" xfId="0" applyBorder="1" applyAlignment="1">
      <alignment wrapText="1"/>
    </xf>
    <xf numFmtId="0" fontId="8" fillId="0" borderId="1" xfId="0" applyFont="1" applyBorder="1" applyAlignment="1">
      <alignment wrapText="1"/>
    </xf>
    <xf numFmtId="0" fontId="10" fillId="0" borderId="1" xfId="3" applyFont="1" applyBorder="1" applyAlignment="1">
      <alignment wrapText="1"/>
    </xf>
    <xf numFmtId="0" fontId="50" fillId="0" borderId="1" xfId="0" applyFont="1" applyBorder="1" applyAlignment="1">
      <alignment wrapText="1"/>
    </xf>
    <xf numFmtId="0" fontId="30" fillId="0" borderId="1" xfId="5" applyFont="1" applyFill="1" applyBorder="1" applyAlignment="1">
      <alignment wrapText="1"/>
    </xf>
    <xf numFmtId="0" fontId="30" fillId="4" borderId="1" xfId="5" applyFont="1" applyFill="1" applyBorder="1" applyAlignment="1">
      <alignment wrapText="1"/>
    </xf>
    <xf numFmtId="0" fontId="3" fillId="0" borderId="1" xfId="0" applyFont="1" applyBorder="1" applyAlignment="1">
      <alignment wrapText="1"/>
    </xf>
    <xf numFmtId="0" fontId="0" fillId="0" borderId="1" xfId="0" applyFill="1" applyBorder="1"/>
    <xf numFmtId="0" fontId="3" fillId="4" borderId="1" xfId="0" applyFont="1" applyFill="1" applyBorder="1" applyAlignment="1"/>
    <xf numFmtId="0" fontId="3" fillId="0" borderId="1" xfId="0" applyFont="1" applyFill="1" applyBorder="1"/>
    <xf numFmtId="0" fontId="3" fillId="4" borderId="1" xfId="0" applyFont="1" applyFill="1" applyBorder="1"/>
    <xf numFmtId="0" fontId="3" fillId="5" borderId="1" xfId="0" applyFont="1" applyFill="1" applyBorder="1" applyAlignment="1">
      <alignment wrapText="1"/>
    </xf>
    <xf numFmtId="0" fontId="3" fillId="5" borderId="1" xfId="0" applyFont="1" applyFill="1" applyBorder="1" applyAlignment="1"/>
    <xf numFmtId="4" fontId="0" fillId="0" borderId="1" xfId="0" applyNumberFormat="1" applyBorder="1" applyAlignment="1">
      <alignment vertical="center"/>
    </xf>
    <xf numFmtId="0" fontId="0" fillId="5" borderId="1" xfId="0" applyFill="1" applyBorder="1" applyAlignment="1">
      <alignment vertical="center"/>
    </xf>
    <xf numFmtId="0" fontId="64" fillId="4" borderId="1" xfId="0" applyFont="1" applyFill="1" applyBorder="1" applyAlignment="1"/>
    <xf numFmtId="0" fontId="3" fillId="0" borderId="1" xfId="0" applyFont="1" applyFill="1" applyBorder="1" applyAlignment="1">
      <alignment wrapText="1"/>
    </xf>
    <xf numFmtId="0" fontId="0" fillId="4" borderId="1" xfId="0" applyFill="1" applyBorder="1" applyAlignment="1">
      <alignment horizontal="center" vertical="center" wrapText="1"/>
    </xf>
    <xf numFmtId="0" fontId="0" fillId="5" borderId="1" xfId="0" applyFill="1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65" fillId="0" borderId="1" xfId="0" applyFont="1" applyBorder="1" applyAlignment="1">
      <alignment vertical="center"/>
    </xf>
    <xf numFmtId="0" fontId="65" fillId="0" borderId="1" xfId="0" applyFont="1" applyBorder="1" applyAlignment="1"/>
    <xf numFmtId="0" fontId="66" fillId="0" borderId="1" xfId="0" applyFont="1" applyBorder="1"/>
    <xf numFmtId="0" fontId="66" fillId="0" borderId="1" xfId="0" applyFont="1" applyBorder="1" applyAlignment="1">
      <alignment vertical="center"/>
    </xf>
    <xf numFmtId="173" fontId="68" fillId="0" borderId="1" xfId="3" applyNumberFormat="1" applyFont="1" applyBorder="1" applyAlignment="1">
      <alignment horizontal="right" vertical="center"/>
    </xf>
    <xf numFmtId="0" fontId="67" fillId="0" borderId="1" xfId="0" applyFont="1" applyBorder="1"/>
    <xf numFmtId="0" fontId="3" fillId="4" borderId="1" xfId="0" applyFont="1" applyFill="1" applyBorder="1" applyAlignment="1">
      <alignment wrapText="1"/>
    </xf>
    <xf numFmtId="0" fontId="3" fillId="4" borderId="1" xfId="0" applyFont="1" applyFill="1" applyBorder="1" applyAlignment="1">
      <alignment horizontal="center" wrapText="1"/>
    </xf>
    <xf numFmtId="9" fontId="0" fillId="4" borderId="1" xfId="0" applyNumberFormat="1" applyFill="1" applyBorder="1" applyAlignment="1">
      <alignment vertical="center"/>
    </xf>
    <xf numFmtId="0" fontId="50" fillId="0" borderId="1" xfId="0" applyFont="1" applyFill="1" applyBorder="1"/>
    <xf numFmtId="0" fontId="0" fillId="0" borderId="0" xfId="0" applyFill="1" applyAlignment="1">
      <alignment vertical="center"/>
    </xf>
    <xf numFmtId="9" fontId="3" fillId="4" borderId="1" xfId="0" applyNumberFormat="1" applyFont="1" applyFill="1" applyBorder="1" applyAlignment="1"/>
    <xf numFmtId="0" fontId="69" fillId="0" borderId="1" xfId="0" applyFont="1" applyBorder="1"/>
    <xf numFmtId="0" fontId="0" fillId="4" borderId="1" xfId="0" applyFill="1" applyBorder="1" applyAlignment="1">
      <alignment horizontal="center" vertical="center"/>
    </xf>
    <xf numFmtId="4" fontId="0" fillId="4" borderId="1" xfId="0" applyNumberFormat="1" applyFill="1" applyBorder="1" applyAlignment="1">
      <alignment vertical="center" wrapText="1"/>
    </xf>
    <xf numFmtId="173" fontId="0" fillId="0" borderId="1" xfId="0" applyNumberFormat="1" applyBorder="1" applyAlignment="1">
      <alignment vertical="center"/>
    </xf>
    <xf numFmtId="172" fontId="0" fillId="0" borderId="1" xfId="0" applyNumberFormat="1" applyBorder="1" applyAlignment="1">
      <alignment vertical="center"/>
    </xf>
    <xf numFmtId="165" fontId="0" fillId="0" borderId="1" xfId="0" applyNumberFormat="1" applyFill="1" applyBorder="1" applyAlignment="1">
      <alignment vertical="center"/>
    </xf>
    <xf numFmtId="165" fontId="0" fillId="0" borderId="1" xfId="0" applyNumberFormat="1" applyFill="1" applyBorder="1" applyAlignment="1">
      <alignment vertical="center" wrapText="1"/>
    </xf>
    <xf numFmtId="172" fontId="0" fillId="4" borderId="1" xfId="0" applyNumberFormat="1" applyFill="1" applyBorder="1" applyAlignment="1">
      <alignment vertical="center"/>
    </xf>
    <xf numFmtId="172" fontId="0" fillId="4" borderId="1" xfId="0" applyNumberFormat="1" applyFill="1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173" fontId="70" fillId="0" borderId="8" xfId="3" applyNumberFormat="1" applyFont="1" applyBorder="1" applyAlignment="1">
      <alignment horizontal="right" vertical="center" wrapText="1"/>
    </xf>
    <xf numFmtId="173" fontId="71" fillId="0" borderId="8" xfId="3" applyNumberFormat="1" applyFont="1" applyBorder="1" applyAlignment="1">
      <alignment horizontal="right" vertical="center"/>
    </xf>
    <xf numFmtId="173" fontId="73" fillId="0" borderId="8" xfId="3" applyNumberFormat="1" applyFont="1" applyBorder="1" applyAlignment="1">
      <alignment horizontal="right" vertical="center"/>
    </xf>
    <xf numFmtId="172" fontId="73" fillId="0" borderId="8" xfId="3" applyNumberFormat="1" applyFont="1" applyBorder="1" applyAlignment="1">
      <alignment vertical="center"/>
    </xf>
    <xf numFmtId="2" fontId="70" fillId="0" borderId="8" xfId="3" applyNumberFormat="1" applyFont="1" applyBorder="1" applyAlignment="1">
      <alignment vertical="center" wrapText="1"/>
    </xf>
    <xf numFmtId="2" fontId="74" fillId="0" borderId="8" xfId="3" applyNumberFormat="1" applyFont="1" applyBorder="1" applyAlignment="1">
      <alignment horizontal="right" vertical="center"/>
    </xf>
    <xf numFmtId="0" fontId="75" fillId="0" borderId="1" xfId="0" applyFont="1" applyBorder="1" applyAlignment="1">
      <alignment vertical="center"/>
    </xf>
    <xf numFmtId="0" fontId="76" fillId="0" borderId="1" xfId="0" applyFont="1" applyBorder="1" applyAlignment="1"/>
    <xf numFmtId="0" fontId="76" fillId="0" borderId="1" xfId="0" applyFont="1" applyBorder="1" applyAlignment="1">
      <alignment vertical="center"/>
    </xf>
    <xf numFmtId="2" fontId="72" fillId="0" borderId="8" xfId="3" applyNumberFormat="1" applyFont="1" applyBorder="1" applyAlignment="1">
      <alignment horizontal="right" vertical="center"/>
    </xf>
    <xf numFmtId="14" fontId="50" fillId="0" borderId="1" xfId="0" applyNumberFormat="1" applyFont="1" applyFill="1" applyBorder="1" applyAlignment="1">
      <alignment horizontal="center"/>
    </xf>
    <xf numFmtId="14" fontId="50" fillId="2" borderId="1" xfId="0" applyNumberFormat="1" applyFont="1" applyFill="1" applyBorder="1" applyAlignment="1">
      <alignment horizontal="center"/>
    </xf>
    <xf numFmtId="170" fontId="79" fillId="0" borderId="5" xfId="3" applyNumberFormat="1" applyFont="1" applyBorder="1" applyAlignment="1">
      <alignment horizontal="center" vertical="center"/>
    </xf>
    <xf numFmtId="170" fontId="79" fillId="0" borderId="5" xfId="3" applyNumberFormat="1" applyFont="1" applyBorder="1" applyAlignment="1">
      <alignment horizontal="center" vertical="center" wrapText="1"/>
    </xf>
    <xf numFmtId="170" fontId="79" fillId="0" borderId="5" xfId="3" applyNumberFormat="1" applyFont="1" applyBorder="1" applyAlignment="1">
      <alignment vertical="center" wrapText="1"/>
    </xf>
    <xf numFmtId="170" fontId="81" fillId="0" borderId="5" xfId="3" applyNumberFormat="1" applyFont="1" applyBorder="1" applyAlignment="1">
      <alignment vertical="center" wrapText="1"/>
    </xf>
    <xf numFmtId="170" fontId="81" fillId="0" borderId="5" xfId="3" applyNumberFormat="1" applyFont="1" applyBorder="1" applyAlignment="1">
      <alignment horizontal="center" vertical="center"/>
    </xf>
    <xf numFmtId="170" fontId="81" fillId="0" borderId="7" xfId="3" applyNumberFormat="1" applyFont="1" applyBorder="1" applyAlignment="1">
      <alignment horizontal="center" vertical="center" wrapText="1"/>
    </xf>
    <xf numFmtId="0" fontId="3" fillId="6" borderId="8" xfId="0" applyFont="1" applyFill="1" applyBorder="1" applyAlignment="1"/>
    <xf numFmtId="0" fontId="3" fillId="6" borderId="8" xfId="0" applyFont="1" applyFill="1" applyBorder="1" applyAlignment="1">
      <alignment horizontal="left"/>
    </xf>
    <xf numFmtId="0" fontId="2" fillId="6" borderId="8" xfId="0" applyFont="1" applyFill="1" applyBorder="1" applyAlignment="1">
      <alignment horizontal="left"/>
    </xf>
    <xf numFmtId="4" fontId="2" fillId="6" borderId="8" xfId="0" applyNumberFormat="1" applyFont="1" applyFill="1" applyBorder="1" applyAlignment="1"/>
    <xf numFmtId="173" fontId="70" fillId="6" borderId="8" xfId="3" applyNumberFormat="1" applyFont="1" applyFill="1" applyBorder="1" applyAlignment="1">
      <alignment horizontal="right" vertical="center" wrapText="1"/>
    </xf>
    <xf numFmtId="2" fontId="70" fillId="6" borderId="8" xfId="3" applyNumberFormat="1" applyFont="1" applyFill="1" applyBorder="1" applyAlignment="1">
      <alignment vertical="center" wrapText="1"/>
    </xf>
    <xf numFmtId="2" fontId="74" fillId="6" borderId="8" xfId="3" applyNumberFormat="1" applyFont="1" applyFill="1" applyBorder="1" applyAlignment="1">
      <alignment horizontal="right" vertical="center"/>
    </xf>
    <xf numFmtId="173" fontId="73" fillId="6" borderId="8" xfId="3" applyNumberFormat="1" applyFont="1" applyFill="1" applyBorder="1" applyAlignment="1">
      <alignment horizontal="right" vertical="center"/>
    </xf>
    <xf numFmtId="0" fontId="3" fillId="6" borderId="1" xfId="0" applyFont="1" applyFill="1" applyBorder="1" applyAlignment="1"/>
    <xf numFmtId="0" fontId="3" fillId="6" borderId="1" xfId="0" applyFont="1" applyFill="1" applyBorder="1" applyAlignment="1">
      <alignment horizontal="left"/>
    </xf>
    <xf numFmtId="0" fontId="2" fillId="6" borderId="1" xfId="0" applyFont="1" applyFill="1" applyBorder="1" applyAlignment="1">
      <alignment horizontal="left"/>
    </xf>
    <xf numFmtId="4" fontId="2" fillId="6" borderId="1" xfId="0" applyNumberFormat="1" applyFont="1" applyFill="1" applyBorder="1" applyAlignment="1"/>
    <xf numFmtId="173" fontId="35" fillId="6" borderId="1" xfId="3" applyNumberFormat="1" applyFont="1" applyFill="1" applyBorder="1" applyAlignment="1">
      <alignment horizontal="right" vertical="center" wrapText="1"/>
    </xf>
    <xf numFmtId="172" fontId="35" fillId="6" borderId="1" xfId="3" applyNumberFormat="1" applyFont="1" applyFill="1" applyBorder="1" applyAlignment="1">
      <alignment vertical="center" wrapText="1"/>
    </xf>
    <xf numFmtId="44" fontId="57" fillId="6" borderId="1" xfId="3" applyNumberFormat="1" applyFont="1" applyFill="1" applyBorder="1" applyAlignment="1">
      <alignment horizontal="left" vertical="center"/>
    </xf>
    <xf numFmtId="173" fontId="37" fillId="6" borderId="1" xfId="3" applyNumberFormat="1" applyFont="1" applyFill="1" applyBorder="1" applyAlignment="1">
      <alignment horizontal="right" vertical="center"/>
    </xf>
    <xf numFmtId="173" fontId="82" fillId="6" borderId="1" xfId="3" applyNumberFormat="1" applyFont="1" applyFill="1" applyBorder="1" applyAlignment="1">
      <alignment horizontal="right" vertical="center"/>
    </xf>
    <xf numFmtId="173" fontId="82" fillId="6" borderId="8" xfId="3" applyNumberFormat="1" applyFont="1" applyFill="1" applyBorder="1" applyAlignment="1">
      <alignment horizontal="right" vertical="center"/>
    </xf>
    <xf numFmtId="2" fontId="82" fillId="6" borderId="8" xfId="3" applyNumberFormat="1" applyFont="1" applyFill="1" applyBorder="1" applyAlignment="1">
      <alignment horizontal="right" vertical="center"/>
    </xf>
    <xf numFmtId="173" fontId="83" fillId="6" borderId="8" xfId="3" applyNumberFormat="1" applyFont="1" applyFill="1" applyBorder="1" applyAlignment="1">
      <alignment horizontal="right" vertical="center"/>
    </xf>
    <xf numFmtId="172" fontId="83" fillId="6" borderId="8" xfId="3" applyNumberFormat="1" applyFont="1" applyFill="1" applyBorder="1" applyAlignment="1">
      <alignment vertical="center"/>
    </xf>
    <xf numFmtId="0" fontId="84" fillId="6" borderId="8" xfId="0" applyFont="1" applyFill="1" applyBorder="1" applyAlignment="1"/>
    <xf numFmtId="0" fontId="84" fillId="6" borderId="8" xfId="0" applyFont="1" applyFill="1" applyBorder="1" applyAlignment="1">
      <alignment horizontal="left"/>
    </xf>
    <xf numFmtId="0" fontId="85" fillId="6" borderId="8" xfId="0" applyFont="1" applyFill="1" applyBorder="1" applyAlignment="1">
      <alignment horizontal="left"/>
    </xf>
    <xf numFmtId="4" fontId="85" fillId="6" borderId="8" xfId="0" applyNumberFormat="1" applyFont="1" applyFill="1" applyBorder="1" applyAlignment="1"/>
    <xf numFmtId="173" fontId="83" fillId="6" borderId="8" xfId="3" applyNumberFormat="1" applyFont="1" applyFill="1" applyBorder="1" applyAlignment="1">
      <alignment horizontal="right" vertical="center" wrapText="1"/>
    </xf>
    <xf numFmtId="2" fontId="83" fillId="6" borderId="8" xfId="3" applyNumberFormat="1" applyFont="1" applyFill="1" applyBorder="1" applyAlignment="1">
      <alignment vertical="center" wrapText="1"/>
    </xf>
    <xf numFmtId="172" fontId="77" fillId="0" borderId="8" xfId="3" applyNumberFormat="1" applyFont="1" applyBorder="1" applyAlignment="1">
      <alignment horizontal="right" vertical="center"/>
    </xf>
    <xf numFmtId="0" fontId="84" fillId="6" borderId="1" xfId="0" applyFont="1" applyFill="1" applyBorder="1" applyAlignment="1"/>
    <xf numFmtId="0" fontId="84" fillId="6" borderId="1" xfId="0" applyFont="1" applyFill="1" applyBorder="1" applyAlignment="1">
      <alignment horizontal="left"/>
    </xf>
    <xf numFmtId="0" fontId="85" fillId="6" borderId="1" xfId="0" applyFont="1" applyFill="1" applyBorder="1" applyAlignment="1">
      <alignment horizontal="left"/>
    </xf>
    <xf numFmtId="4" fontId="85" fillId="6" borderId="1" xfId="0" applyNumberFormat="1" applyFont="1" applyFill="1" applyBorder="1" applyAlignment="1"/>
    <xf numFmtId="172" fontId="86" fillId="6" borderId="8" xfId="3" applyNumberFormat="1" applyFont="1" applyFill="1" applyBorder="1" applyAlignment="1">
      <alignment horizontal="right" vertical="center"/>
    </xf>
    <xf numFmtId="2" fontId="86" fillId="6" borderId="8" xfId="3" applyNumberFormat="1" applyFont="1" applyFill="1" applyBorder="1" applyAlignment="1">
      <alignment horizontal="right" vertical="center"/>
    </xf>
    <xf numFmtId="172" fontId="84" fillId="6" borderId="1" xfId="0" applyNumberFormat="1" applyFont="1" applyFill="1" applyBorder="1" applyAlignment="1"/>
    <xf numFmtId="173" fontId="84" fillId="6" borderId="1" xfId="0" applyNumberFormat="1" applyFont="1" applyFill="1" applyBorder="1" applyAlignment="1"/>
    <xf numFmtId="172" fontId="53" fillId="3" borderId="1" xfId="0" applyNumberFormat="1" applyFont="1" applyFill="1" applyBorder="1"/>
    <xf numFmtId="0" fontId="87" fillId="0" borderId="1" xfId="0" applyFont="1" applyBorder="1" applyAlignment="1">
      <alignment vertical="center"/>
    </xf>
    <xf numFmtId="0" fontId="88" fillId="0" borderId="1" xfId="0" applyFont="1" applyBorder="1" applyAlignment="1"/>
    <xf numFmtId="170" fontId="92" fillId="0" borderId="5" xfId="3" applyNumberFormat="1" applyFont="1" applyBorder="1" applyAlignment="1">
      <alignment vertical="center" wrapText="1"/>
    </xf>
    <xf numFmtId="170" fontId="92" fillId="0" borderId="5" xfId="3" applyNumberFormat="1" applyFont="1" applyBorder="1" applyAlignment="1">
      <alignment horizontal="center" vertical="center"/>
    </xf>
    <xf numFmtId="170" fontId="92" fillId="0" borderId="7" xfId="3" applyNumberFormat="1" applyFont="1" applyBorder="1" applyAlignment="1">
      <alignment horizontal="center" vertical="center" wrapText="1"/>
    </xf>
    <xf numFmtId="0" fontId="93" fillId="0" borderId="1" xfId="0" applyFont="1" applyBorder="1" applyAlignment="1">
      <alignment vertical="center"/>
    </xf>
    <xf numFmtId="0" fontId="94" fillId="0" borderId="1" xfId="0" applyFont="1" applyBorder="1" applyAlignment="1"/>
    <xf numFmtId="2" fontId="95" fillId="0" borderId="8" xfId="3" applyNumberFormat="1" applyFont="1" applyBorder="1" applyAlignment="1">
      <alignment horizontal="right" vertical="center"/>
    </xf>
    <xf numFmtId="173" fontId="96" fillId="0" borderId="8" xfId="3" applyNumberFormat="1" applyFont="1" applyBorder="1" applyAlignment="1">
      <alignment horizontal="right" vertical="center"/>
    </xf>
    <xf numFmtId="172" fontId="96" fillId="0" borderId="8" xfId="3" applyNumberFormat="1" applyFont="1" applyBorder="1" applyAlignment="1">
      <alignment vertical="center"/>
    </xf>
    <xf numFmtId="0" fontId="88" fillId="0" borderId="1" xfId="0" applyFont="1" applyBorder="1" applyAlignment="1">
      <alignment vertical="center"/>
    </xf>
    <xf numFmtId="173" fontId="90" fillId="0" borderId="8" xfId="3" applyNumberFormat="1" applyFont="1" applyBorder="1" applyAlignment="1">
      <alignment horizontal="right" vertical="center" wrapText="1"/>
    </xf>
    <xf numFmtId="172" fontId="90" fillId="0" borderId="8" xfId="3" applyNumberFormat="1" applyFont="1" applyBorder="1" applyAlignment="1">
      <alignment vertical="center" wrapText="1"/>
    </xf>
    <xf numFmtId="172" fontId="89" fillId="0" borderId="8" xfId="3" applyNumberFormat="1" applyFont="1" applyBorder="1" applyAlignment="1">
      <alignment horizontal="right" vertical="center"/>
    </xf>
    <xf numFmtId="172" fontId="83" fillId="6" borderId="8" xfId="3" applyNumberFormat="1" applyFont="1" applyFill="1" applyBorder="1" applyAlignment="1">
      <alignment vertical="center" wrapText="1"/>
    </xf>
    <xf numFmtId="172" fontId="82" fillId="6" borderId="8" xfId="3" applyNumberFormat="1" applyFont="1" applyFill="1" applyBorder="1" applyAlignment="1">
      <alignment horizontal="right" vertical="center"/>
    </xf>
    <xf numFmtId="172" fontId="36" fillId="0" borderId="8" xfId="2" applyNumberFormat="1" applyFont="1" applyBorder="1" applyAlignment="1">
      <alignment horizontal="right" vertical="center"/>
    </xf>
    <xf numFmtId="172" fontId="58" fillId="0" borderId="8" xfId="2" applyNumberFormat="1" applyFont="1" applyBorder="1" applyAlignment="1">
      <alignment horizontal="right" vertical="center"/>
    </xf>
    <xf numFmtId="172" fontId="82" fillId="6" borderId="8" xfId="2" applyNumberFormat="1" applyFont="1" applyFill="1" applyBorder="1" applyAlignment="1">
      <alignment horizontal="right" vertical="center"/>
    </xf>
    <xf numFmtId="4" fontId="82" fillId="6" borderId="8" xfId="2" applyNumberFormat="1" applyFont="1" applyFill="1" applyBorder="1" applyAlignment="1">
      <alignment horizontal="right" vertical="center"/>
    </xf>
    <xf numFmtId="173" fontId="37" fillId="6" borderId="8" xfId="3" applyNumberFormat="1" applyFont="1" applyFill="1" applyBorder="1" applyAlignment="1">
      <alignment horizontal="right" vertical="center"/>
    </xf>
    <xf numFmtId="172" fontId="37" fillId="6" borderId="8" xfId="3" applyNumberFormat="1" applyFont="1" applyFill="1" applyBorder="1" applyAlignment="1">
      <alignment vertical="center"/>
    </xf>
    <xf numFmtId="172" fontId="39" fillId="6" borderId="8" xfId="3" applyNumberFormat="1" applyFont="1" applyFill="1" applyBorder="1" applyAlignment="1">
      <alignment vertical="center"/>
    </xf>
    <xf numFmtId="173" fontId="83" fillId="6" borderId="1" xfId="3" applyNumberFormat="1" applyFont="1" applyFill="1" applyBorder="1" applyAlignment="1">
      <alignment horizontal="right" vertical="center"/>
    </xf>
    <xf numFmtId="172" fontId="83" fillId="6" borderId="1" xfId="3" applyNumberFormat="1" applyFont="1" applyFill="1" applyBorder="1" applyAlignment="1">
      <alignment vertical="center"/>
    </xf>
    <xf numFmtId="4" fontId="82" fillId="6" borderId="1" xfId="2" applyNumberFormat="1" applyFont="1" applyFill="1" applyBorder="1" applyAlignment="1">
      <alignment horizontal="right" vertical="center"/>
    </xf>
    <xf numFmtId="172" fontId="82" fillId="6" borderId="1" xfId="2" applyNumberFormat="1" applyFont="1" applyFill="1" applyBorder="1" applyAlignment="1">
      <alignment horizontal="right" vertical="center"/>
    </xf>
    <xf numFmtId="44" fontId="58" fillId="0" borderId="8" xfId="2" applyNumberFormat="1" applyFont="1" applyBorder="1" applyAlignment="1">
      <alignment horizontal="right" vertical="center"/>
    </xf>
    <xf numFmtId="44" fontId="82" fillId="6" borderId="8" xfId="2" applyNumberFormat="1" applyFont="1" applyFill="1" applyBorder="1" applyAlignment="1">
      <alignment horizontal="right" vertical="center"/>
    </xf>
    <xf numFmtId="4" fontId="38" fillId="6" borderId="8" xfId="2" applyNumberFormat="1" applyFont="1" applyFill="1" applyBorder="1" applyAlignment="1">
      <alignment horizontal="right" vertical="center"/>
    </xf>
    <xf numFmtId="172" fontId="97" fillId="6" borderId="8" xfId="2" applyNumberFormat="1" applyFont="1" applyFill="1" applyBorder="1" applyAlignment="1">
      <alignment horizontal="right" vertical="center"/>
    </xf>
    <xf numFmtId="172" fontId="3" fillId="6" borderId="1" xfId="0" applyNumberFormat="1" applyFont="1" applyFill="1" applyBorder="1" applyAlignment="1"/>
    <xf numFmtId="0" fontId="98" fillId="6" borderId="8" xfId="0" applyFont="1" applyFill="1" applyBorder="1" applyAlignment="1">
      <alignment horizontal="left"/>
    </xf>
    <xf numFmtId="4" fontId="98" fillId="6" borderId="8" xfId="0" applyNumberFormat="1" applyFont="1" applyFill="1" applyBorder="1" applyAlignment="1"/>
    <xf numFmtId="172" fontId="0" fillId="6" borderId="1" xfId="0" applyNumberFormat="1" applyFill="1" applyBorder="1"/>
    <xf numFmtId="172" fontId="36" fillId="0" borderId="1" xfId="2" applyNumberFormat="1" applyFont="1" applyBorder="1" applyAlignment="1">
      <alignment horizontal="right" vertical="center"/>
    </xf>
    <xf numFmtId="172" fontId="58" fillId="0" borderId="1" xfId="2" applyNumberFormat="1" applyFont="1" applyBorder="1" applyAlignment="1">
      <alignment horizontal="right" vertical="center"/>
    </xf>
    <xf numFmtId="172" fontId="82" fillId="0" borderId="8" xfId="2" applyNumberFormat="1" applyFont="1" applyBorder="1" applyAlignment="1">
      <alignment horizontal="right" vertical="center"/>
    </xf>
    <xf numFmtId="4" fontId="82" fillId="0" borderId="8" xfId="2" applyNumberFormat="1" applyFont="1" applyBorder="1" applyAlignment="1">
      <alignment horizontal="right" vertical="center"/>
    </xf>
    <xf numFmtId="172" fontId="83" fillId="0" borderId="8" xfId="3" applyNumberFormat="1" applyFont="1" applyBorder="1" applyAlignment="1">
      <alignment vertical="center"/>
    </xf>
    <xf numFmtId="172" fontId="82" fillId="0" borderId="1" xfId="2" applyNumberFormat="1" applyFont="1" applyBorder="1" applyAlignment="1">
      <alignment horizontal="right" vertical="center"/>
    </xf>
    <xf numFmtId="4" fontId="82" fillId="0" borderId="1" xfId="2" applyNumberFormat="1" applyFont="1" applyBorder="1" applyAlignment="1">
      <alignment horizontal="right" vertical="center"/>
    </xf>
    <xf numFmtId="172" fontId="83" fillId="0" borderId="1" xfId="3" applyNumberFormat="1" applyFont="1" applyBorder="1" applyAlignment="1">
      <alignment vertical="center"/>
    </xf>
    <xf numFmtId="0" fontId="3" fillId="7" borderId="8" xfId="0" applyFont="1" applyFill="1" applyBorder="1" applyAlignment="1"/>
    <xf numFmtId="0" fontId="3" fillId="7" borderId="8" xfId="0" applyFont="1" applyFill="1" applyBorder="1" applyAlignment="1">
      <alignment horizontal="left"/>
    </xf>
    <xf numFmtId="0" fontId="2" fillId="7" borderId="8" xfId="0" applyFont="1" applyFill="1" applyBorder="1" applyAlignment="1">
      <alignment horizontal="left"/>
    </xf>
    <xf numFmtId="4" fontId="2" fillId="7" borderId="8" xfId="0" applyNumberFormat="1" applyFont="1" applyFill="1" applyBorder="1" applyAlignment="1"/>
    <xf numFmtId="173" fontId="37" fillId="7" borderId="8" xfId="3" applyNumberFormat="1" applyFont="1" applyFill="1" applyBorder="1" applyAlignment="1">
      <alignment horizontal="right" vertical="center"/>
    </xf>
    <xf numFmtId="172" fontId="37" fillId="7" borderId="8" xfId="3" applyNumberFormat="1" applyFont="1" applyFill="1" applyBorder="1" applyAlignment="1">
      <alignment vertical="center"/>
    </xf>
    <xf numFmtId="172" fontId="36" fillId="7" borderId="8" xfId="2" applyNumberFormat="1" applyFont="1" applyFill="1" applyBorder="1" applyAlignment="1">
      <alignment horizontal="right" vertical="center"/>
    </xf>
    <xf numFmtId="4" fontId="38" fillId="7" borderId="8" xfId="2" applyNumberFormat="1" applyFont="1" applyFill="1" applyBorder="1" applyAlignment="1">
      <alignment horizontal="right" vertical="center"/>
    </xf>
    <xf numFmtId="172" fontId="39" fillId="7" borderId="8" xfId="3" applyNumberFormat="1" applyFont="1" applyFill="1" applyBorder="1" applyAlignment="1">
      <alignment vertical="center"/>
    </xf>
    <xf numFmtId="172" fontId="58" fillId="7" borderId="8" xfId="2" applyNumberFormat="1" applyFont="1" applyFill="1" applyBorder="1" applyAlignment="1">
      <alignment horizontal="right" vertical="center"/>
    </xf>
    <xf numFmtId="164" fontId="0" fillId="0" borderId="1" xfId="1" applyFont="1" applyBorder="1" applyAlignment="1">
      <alignment vertical="center"/>
    </xf>
    <xf numFmtId="0" fontId="99" fillId="0" borderId="1" xfId="6" applyFont="1" applyAlignment="1">
      <alignment horizontal="left" vertical="center"/>
    </xf>
    <xf numFmtId="0" fontId="40" fillId="0" borderId="1" xfId="6" applyFont="1" applyAlignment="1">
      <alignment horizontal="left" vertical="center"/>
    </xf>
    <xf numFmtId="0" fontId="100" fillId="0" borderId="1" xfId="6" applyFont="1" applyAlignment="1">
      <alignment vertical="center"/>
    </xf>
    <xf numFmtId="167" fontId="99" fillId="0" borderId="1" xfId="6" applyNumberFormat="1" applyFont="1" applyAlignment="1">
      <alignment horizontal="left" vertical="center"/>
    </xf>
    <xf numFmtId="0" fontId="99" fillId="0" borderId="1" xfId="0" applyNumberFormat="1" applyFont="1" applyFill="1" applyBorder="1"/>
    <xf numFmtId="165" fontId="32" fillId="0" borderId="3" xfId="0" applyNumberFormat="1" applyFont="1" applyBorder="1" applyAlignment="1">
      <alignment horizontal="center" vertical="center"/>
    </xf>
    <xf numFmtId="165" fontId="32" fillId="0" borderId="4" xfId="0" applyNumberFormat="1" applyFont="1" applyBorder="1" applyAlignment="1">
      <alignment horizontal="center" vertical="center"/>
    </xf>
    <xf numFmtId="170" fontId="33" fillId="0" borderId="5" xfId="3" applyNumberFormat="1" applyFont="1" applyBorder="1" applyAlignment="1">
      <alignment horizontal="center" vertical="center" wrapText="1"/>
    </xf>
    <xf numFmtId="170" fontId="34" fillId="0" borderId="5" xfId="3" applyNumberFormat="1" applyFont="1" applyBorder="1" applyAlignment="1">
      <alignment horizontal="center" vertical="center" wrapText="1"/>
    </xf>
    <xf numFmtId="170" fontId="34" fillId="0" borderId="7" xfId="3" applyNumberFormat="1" applyFont="1" applyBorder="1" applyAlignment="1">
      <alignment horizontal="center" vertical="center" wrapText="1"/>
    </xf>
    <xf numFmtId="165" fontId="31" fillId="0" borderId="3" xfId="0" applyNumberFormat="1" applyFont="1" applyBorder="1" applyAlignment="1">
      <alignment horizontal="center" vertical="center"/>
    </xf>
    <xf numFmtId="0" fontId="50" fillId="0" borderId="5" xfId="0" applyFont="1" applyBorder="1" applyAlignment="1">
      <alignment horizontal="center"/>
    </xf>
    <xf numFmtId="0" fontId="0" fillId="4" borderId="1" xfId="0" applyFill="1" applyBorder="1" applyAlignment="1">
      <alignment horizontal="center" vertical="center" wrapText="1"/>
    </xf>
    <xf numFmtId="0" fontId="0" fillId="4" borderId="1" xfId="0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wrapText="1"/>
    </xf>
    <xf numFmtId="14" fontId="50" fillId="0" borderId="1" xfId="0" applyNumberFormat="1" applyFont="1" applyFill="1" applyBorder="1" applyAlignment="1">
      <alignment horizontal="center"/>
    </xf>
    <xf numFmtId="0" fontId="0" fillId="4" borderId="9" xfId="0" applyFill="1" applyBorder="1" applyAlignment="1">
      <alignment horizontal="center" vertical="center" wrapText="1"/>
    </xf>
    <xf numFmtId="165" fontId="78" fillId="0" borderId="3" xfId="0" applyNumberFormat="1" applyFont="1" applyBorder="1" applyAlignment="1">
      <alignment horizontal="center" vertical="center" wrapText="1"/>
    </xf>
    <xf numFmtId="165" fontId="80" fillId="0" borderId="3" xfId="0" applyNumberFormat="1" applyFont="1" applyBorder="1" applyAlignment="1">
      <alignment horizontal="center" vertical="center"/>
    </xf>
    <xf numFmtId="165" fontId="80" fillId="0" borderId="4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Fill="1" applyBorder="1" applyAlignment="1">
      <alignment horizontal="center" vertical="center" wrapText="1"/>
    </xf>
    <xf numFmtId="14" fontId="50" fillId="0" borderId="5" xfId="0" applyNumberFormat="1" applyFont="1" applyFill="1" applyBorder="1" applyAlignment="1">
      <alignment horizontal="center"/>
    </xf>
    <xf numFmtId="0" fontId="0" fillId="0" borderId="1" xfId="0" applyFill="1" applyBorder="1" applyAlignment="1">
      <alignment horizontal="center" vertical="center"/>
    </xf>
    <xf numFmtId="165" fontId="91" fillId="0" borderId="3" xfId="0" applyNumberFormat="1" applyFont="1" applyBorder="1" applyAlignment="1">
      <alignment horizontal="center" vertical="center"/>
    </xf>
    <xf numFmtId="165" fontId="91" fillId="0" borderId="4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/>
    </xf>
    <xf numFmtId="0" fontId="30" fillId="4" borderId="1" xfId="5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/>
    </xf>
    <xf numFmtId="0" fontId="30" fillId="0" borderId="1" xfId="5" applyFont="1" applyFill="1" applyBorder="1" applyAlignment="1">
      <alignment horizontal="center" wrapText="1"/>
    </xf>
    <xf numFmtId="0" fontId="30" fillId="0" borderId="1" xfId="5" applyFont="1" applyFill="1" applyBorder="1" applyAlignment="1">
      <alignment horizontal="center" vertical="top" wrapText="1"/>
    </xf>
    <xf numFmtId="0" fontId="27" fillId="0" borderId="1" xfId="0" applyFont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0" fillId="5" borderId="1" xfId="0" applyFill="1" applyBorder="1" applyAlignment="1">
      <alignment horizontal="center" vertical="center" wrapText="1"/>
    </xf>
  </cellXfs>
  <cellStyles count="10">
    <cellStyle name="Čárka" xfId="1" builtinId="3"/>
    <cellStyle name="Čárka 2" xfId="7" xr:uid="{00000000-0005-0000-0000-000001000000}"/>
    <cellStyle name="Normální" xfId="0" builtinId="0" customBuiltin="1"/>
    <cellStyle name="Normální 2" xfId="6" xr:uid="{00000000-0005-0000-0000-000003000000}"/>
    <cellStyle name="normální_4948_Odbytovy_rozpocet-Rusek" xfId="5" xr:uid="{00000000-0005-0000-0000-000004000000}"/>
    <cellStyle name="normální_Agregované položky akce389" xfId="4" xr:uid="{00000000-0005-0000-0000-000005000000}"/>
    <cellStyle name="normální_Pekapitulace výkazu výměr" xfId="3" xr:uid="{00000000-0005-0000-0000-000006000000}"/>
    <cellStyle name="Procenta" xfId="2" builtinId="5"/>
    <cellStyle name="Procenta 2" xfId="8" xr:uid="{00000000-0005-0000-0000-000008000000}"/>
    <cellStyle name="Vysvětlující text 2" xfId="9" xr:uid="{00000000-0005-0000-0000-000009000000}"/>
  </cellStyles>
  <dxfs count="331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calcChain" Target="calcChain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externalLink" Target="externalLinks/externalLink1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jpeg"/></Relationships>
</file>

<file path=xl/drawings/_rels/drawing22.xml.rels><?xml version="1.0" encoding="UTF-8" standalone="yes"?>
<Relationships xmlns="http://schemas.openxmlformats.org/package/2006/relationships"><Relationship Id="rId1" Type="http://schemas.openxmlformats.org/officeDocument/2006/relationships/image" Target="../media/image7.jpeg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2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25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26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27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28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29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0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31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3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3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34.xml.rels><?xml version="1.0" encoding="UTF-8" standalone="yes"?>
<Relationships xmlns="http://schemas.openxmlformats.org/package/2006/relationships"><Relationship Id="rId1" Type="http://schemas.openxmlformats.org/officeDocument/2006/relationships/image" Target="../media/image8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66675</xdr:colOff>
      <xdr:row>0</xdr:row>
      <xdr:rowOff>161925</xdr:rowOff>
    </xdr:from>
    <xdr:to>
      <xdr:col>2</xdr:col>
      <xdr:colOff>485775</xdr:colOff>
      <xdr:row>3</xdr:row>
      <xdr:rowOff>133350</xdr:rowOff>
    </xdr:to>
    <xdr:pic>
      <xdr:nvPicPr>
        <xdr:cNvPr id="5" name="Picture 1" descr="VCES_logo_CMYK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925" y="161925"/>
          <a:ext cx="876300" cy="657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76200</xdr:colOff>
      <xdr:row>0</xdr:row>
      <xdr:rowOff>123825</xdr:rowOff>
    </xdr:from>
    <xdr:to>
      <xdr:col>4</xdr:col>
      <xdr:colOff>495300</xdr:colOff>
      <xdr:row>3</xdr:row>
      <xdr:rowOff>9525</xdr:rowOff>
    </xdr:to>
    <xdr:pic>
      <xdr:nvPicPr>
        <xdr:cNvPr id="3" name="Picture 1" descr="VCES_logo_CMYK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2450" y="123825"/>
          <a:ext cx="1000125" cy="581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76200</xdr:colOff>
      <xdr:row>0</xdr:row>
      <xdr:rowOff>126066</xdr:rowOff>
    </xdr:from>
    <xdr:to>
      <xdr:col>4</xdr:col>
      <xdr:colOff>495300</xdr:colOff>
      <xdr:row>3</xdr:row>
      <xdr:rowOff>11766</xdr:rowOff>
    </xdr:to>
    <xdr:pic>
      <xdr:nvPicPr>
        <xdr:cNvPr id="3" name="Picture 1" descr="VCES_logo_CMYK">
          <a:extLst>
            <a:ext uri="{FF2B5EF4-FFF2-40B4-BE49-F238E27FC236}">
              <a16:creationId xmlns:a16="http://schemas.microsoft.com/office/drawing/2014/main" id="{00000000-0008-0000-0A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8053" y="126066"/>
          <a:ext cx="1001806" cy="5692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76200</xdr:colOff>
      <xdr:row>0</xdr:row>
      <xdr:rowOff>133350</xdr:rowOff>
    </xdr:from>
    <xdr:to>
      <xdr:col>4</xdr:col>
      <xdr:colOff>361950</xdr:colOff>
      <xdr:row>3</xdr:row>
      <xdr:rowOff>19050</xdr:rowOff>
    </xdr:to>
    <xdr:pic>
      <xdr:nvPicPr>
        <xdr:cNvPr id="3" name="Picture 1" descr="VCES_logo_CMYK">
          <a:extLst>
            <a:ext uri="{FF2B5EF4-FFF2-40B4-BE49-F238E27FC236}">
              <a16:creationId xmlns:a16="http://schemas.microsoft.com/office/drawing/2014/main" id="{00000000-0008-0000-0B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2450" y="133350"/>
          <a:ext cx="866775" cy="581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76200</xdr:colOff>
      <xdr:row>0</xdr:row>
      <xdr:rowOff>180975</xdr:rowOff>
    </xdr:from>
    <xdr:to>
      <xdr:col>4</xdr:col>
      <xdr:colOff>361950</xdr:colOff>
      <xdr:row>3</xdr:row>
      <xdr:rowOff>66675</xdr:rowOff>
    </xdr:to>
    <xdr:pic>
      <xdr:nvPicPr>
        <xdr:cNvPr id="3" name="Picture 1" descr="VCES_logo_CMYK">
          <a:extLst>
            <a:ext uri="{FF2B5EF4-FFF2-40B4-BE49-F238E27FC236}">
              <a16:creationId xmlns:a16="http://schemas.microsoft.com/office/drawing/2014/main" id="{00000000-0008-0000-0C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2450" y="180975"/>
          <a:ext cx="866775" cy="581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76200</xdr:colOff>
      <xdr:row>0</xdr:row>
      <xdr:rowOff>99392</xdr:rowOff>
    </xdr:from>
    <xdr:to>
      <xdr:col>4</xdr:col>
      <xdr:colOff>361950</xdr:colOff>
      <xdr:row>2</xdr:row>
      <xdr:rowOff>214934</xdr:rowOff>
    </xdr:to>
    <xdr:pic>
      <xdr:nvPicPr>
        <xdr:cNvPr id="3" name="Picture 1" descr="VCES_logo_CMYK">
          <a:extLst>
            <a:ext uri="{FF2B5EF4-FFF2-40B4-BE49-F238E27FC236}">
              <a16:creationId xmlns:a16="http://schemas.microsoft.com/office/drawing/2014/main" id="{00000000-0008-0000-0D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6591" y="99392"/>
          <a:ext cx="873816" cy="58765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76200</xdr:colOff>
      <xdr:row>0</xdr:row>
      <xdr:rowOff>142875</xdr:rowOff>
    </xdr:from>
    <xdr:to>
      <xdr:col>4</xdr:col>
      <xdr:colOff>361950</xdr:colOff>
      <xdr:row>3</xdr:row>
      <xdr:rowOff>28575</xdr:rowOff>
    </xdr:to>
    <xdr:pic>
      <xdr:nvPicPr>
        <xdr:cNvPr id="4" name="Picture 1" descr="VCES_logo_CMYK">
          <a:extLst>
            <a:ext uri="{FF2B5EF4-FFF2-40B4-BE49-F238E27FC236}">
              <a16:creationId xmlns:a16="http://schemas.microsoft.com/office/drawing/2014/main" id="{00000000-0008-0000-0E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2450" y="142875"/>
          <a:ext cx="866775" cy="581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76200</xdr:colOff>
      <xdr:row>0</xdr:row>
      <xdr:rowOff>152400</xdr:rowOff>
    </xdr:from>
    <xdr:to>
      <xdr:col>4</xdr:col>
      <xdr:colOff>361950</xdr:colOff>
      <xdr:row>3</xdr:row>
      <xdr:rowOff>38100</xdr:rowOff>
    </xdr:to>
    <xdr:pic>
      <xdr:nvPicPr>
        <xdr:cNvPr id="3" name="Picture 1" descr="VCES_logo_CMYK">
          <a:extLst>
            <a:ext uri="{FF2B5EF4-FFF2-40B4-BE49-F238E27FC236}">
              <a16:creationId xmlns:a16="http://schemas.microsoft.com/office/drawing/2014/main" id="{00000000-0008-0000-0F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2450" y="152400"/>
          <a:ext cx="866775" cy="581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76200</xdr:colOff>
      <xdr:row>0</xdr:row>
      <xdr:rowOff>114300</xdr:rowOff>
    </xdr:from>
    <xdr:to>
      <xdr:col>4</xdr:col>
      <xdr:colOff>361950</xdr:colOff>
      <xdr:row>3</xdr:row>
      <xdr:rowOff>0</xdr:rowOff>
    </xdr:to>
    <xdr:pic>
      <xdr:nvPicPr>
        <xdr:cNvPr id="3" name="Picture 1" descr="VCES_logo_CMYK">
          <a:extLst>
            <a:ext uri="{FF2B5EF4-FFF2-40B4-BE49-F238E27FC236}">
              <a16:creationId xmlns:a16="http://schemas.microsoft.com/office/drawing/2014/main" id="{00000000-0008-0000-1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2450" y="114300"/>
          <a:ext cx="866775" cy="581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76200</xdr:colOff>
      <xdr:row>0</xdr:row>
      <xdr:rowOff>133350</xdr:rowOff>
    </xdr:from>
    <xdr:to>
      <xdr:col>4</xdr:col>
      <xdr:colOff>361950</xdr:colOff>
      <xdr:row>3</xdr:row>
      <xdr:rowOff>19050</xdr:rowOff>
    </xdr:to>
    <xdr:pic>
      <xdr:nvPicPr>
        <xdr:cNvPr id="4" name="Picture 1" descr="VCES_logo_CMYK">
          <a:extLst>
            <a:ext uri="{FF2B5EF4-FFF2-40B4-BE49-F238E27FC236}">
              <a16:creationId xmlns:a16="http://schemas.microsoft.com/office/drawing/2014/main" id="{00000000-0008-0000-11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2450" y="133350"/>
          <a:ext cx="866775" cy="581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76200</xdr:colOff>
      <xdr:row>0</xdr:row>
      <xdr:rowOff>95250</xdr:rowOff>
    </xdr:from>
    <xdr:to>
      <xdr:col>4</xdr:col>
      <xdr:colOff>361950</xdr:colOff>
      <xdr:row>2</xdr:row>
      <xdr:rowOff>209550</xdr:rowOff>
    </xdr:to>
    <xdr:pic>
      <xdr:nvPicPr>
        <xdr:cNvPr id="3" name="Picture 1" descr="VCES_logo_CMYK">
          <a:extLst>
            <a:ext uri="{FF2B5EF4-FFF2-40B4-BE49-F238E27FC236}">
              <a16:creationId xmlns:a16="http://schemas.microsoft.com/office/drawing/2014/main" id="{00000000-0008-0000-12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2450" y="95250"/>
          <a:ext cx="866775" cy="581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76200</xdr:colOff>
      <xdr:row>0</xdr:row>
      <xdr:rowOff>152400</xdr:rowOff>
    </xdr:from>
    <xdr:to>
      <xdr:col>4</xdr:col>
      <xdr:colOff>862102</xdr:colOff>
      <xdr:row>4</xdr:row>
      <xdr:rowOff>22412</xdr:rowOff>
    </xdr:to>
    <xdr:pic>
      <xdr:nvPicPr>
        <xdr:cNvPr id="3" name="Picture 1" descr="VCES_logo_CMYK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8053" y="152400"/>
          <a:ext cx="1368608" cy="77768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76200</xdr:colOff>
      <xdr:row>0</xdr:row>
      <xdr:rowOff>142875</xdr:rowOff>
    </xdr:from>
    <xdr:to>
      <xdr:col>4</xdr:col>
      <xdr:colOff>361950</xdr:colOff>
      <xdr:row>3</xdr:row>
      <xdr:rowOff>28575</xdr:rowOff>
    </xdr:to>
    <xdr:pic>
      <xdr:nvPicPr>
        <xdr:cNvPr id="3" name="Picture 1" descr="VCES_logo_CMYK">
          <a:extLst>
            <a:ext uri="{FF2B5EF4-FFF2-40B4-BE49-F238E27FC236}">
              <a16:creationId xmlns:a16="http://schemas.microsoft.com/office/drawing/2014/main" id="{00000000-0008-0000-13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2450" y="142875"/>
          <a:ext cx="866775" cy="581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76200</xdr:colOff>
      <xdr:row>0</xdr:row>
      <xdr:rowOff>112061</xdr:rowOff>
    </xdr:from>
    <xdr:to>
      <xdr:col>4</xdr:col>
      <xdr:colOff>361950</xdr:colOff>
      <xdr:row>3</xdr:row>
      <xdr:rowOff>562</xdr:rowOff>
    </xdr:to>
    <xdr:pic>
      <xdr:nvPicPr>
        <xdr:cNvPr id="3" name="Picture 1" descr="VCES_logo_CMYK">
          <a:extLst>
            <a:ext uri="{FF2B5EF4-FFF2-40B4-BE49-F238E27FC236}">
              <a16:creationId xmlns:a16="http://schemas.microsoft.com/office/drawing/2014/main" id="{00000000-0008-0000-14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8053" y="112061"/>
          <a:ext cx="868456" cy="572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121023</xdr:colOff>
      <xdr:row>0</xdr:row>
      <xdr:rowOff>190498</xdr:rowOff>
    </xdr:from>
    <xdr:to>
      <xdr:col>4</xdr:col>
      <xdr:colOff>507626</xdr:colOff>
      <xdr:row>3</xdr:row>
      <xdr:rowOff>78998</xdr:rowOff>
    </xdr:to>
    <xdr:pic>
      <xdr:nvPicPr>
        <xdr:cNvPr id="3" name="Picture 1" descr="VCES_logo_CMYK">
          <a:extLst>
            <a:ext uri="{FF2B5EF4-FFF2-40B4-BE49-F238E27FC236}">
              <a16:creationId xmlns:a16="http://schemas.microsoft.com/office/drawing/2014/main" id="{00000000-0008-0000-15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03729" y="190498"/>
          <a:ext cx="868456" cy="572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76200</xdr:colOff>
      <xdr:row>0</xdr:row>
      <xdr:rowOff>152400</xdr:rowOff>
    </xdr:from>
    <xdr:to>
      <xdr:col>4</xdr:col>
      <xdr:colOff>361950</xdr:colOff>
      <xdr:row>3</xdr:row>
      <xdr:rowOff>38100</xdr:rowOff>
    </xdr:to>
    <xdr:pic>
      <xdr:nvPicPr>
        <xdr:cNvPr id="3" name="Picture 1" descr="VCES_logo_CMYK">
          <a:extLst>
            <a:ext uri="{FF2B5EF4-FFF2-40B4-BE49-F238E27FC236}">
              <a16:creationId xmlns:a16="http://schemas.microsoft.com/office/drawing/2014/main" id="{00000000-0008-0000-16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2450" y="152400"/>
          <a:ext cx="866775" cy="581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76200</xdr:colOff>
      <xdr:row>0</xdr:row>
      <xdr:rowOff>95250</xdr:rowOff>
    </xdr:from>
    <xdr:to>
      <xdr:col>4</xdr:col>
      <xdr:colOff>361950</xdr:colOff>
      <xdr:row>2</xdr:row>
      <xdr:rowOff>209550</xdr:rowOff>
    </xdr:to>
    <xdr:pic>
      <xdr:nvPicPr>
        <xdr:cNvPr id="3" name="Picture 1" descr="VCES_logo_CMYK">
          <a:extLst>
            <a:ext uri="{FF2B5EF4-FFF2-40B4-BE49-F238E27FC236}">
              <a16:creationId xmlns:a16="http://schemas.microsoft.com/office/drawing/2014/main" id="{00000000-0008-0000-17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2450" y="95250"/>
          <a:ext cx="866775" cy="581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76200</xdr:colOff>
      <xdr:row>0</xdr:row>
      <xdr:rowOff>114300</xdr:rowOff>
    </xdr:from>
    <xdr:to>
      <xdr:col>4</xdr:col>
      <xdr:colOff>361950</xdr:colOff>
      <xdr:row>3</xdr:row>
      <xdr:rowOff>0</xdr:rowOff>
    </xdr:to>
    <xdr:pic>
      <xdr:nvPicPr>
        <xdr:cNvPr id="3" name="Picture 1" descr="VCES_logo_CMYK">
          <a:extLst>
            <a:ext uri="{FF2B5EF4-FFF2-40B4-BE49-F238E27FC236}">
              <a16:creationId xmlns:a16="http://schemas.microsoft.com/office/drawing/2014/main" id="{00000000-0008-0000-18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2450" y="114300"/>
          <a:ext cx="866775" cy="581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76200</xdr:colOff>
      <xdr:row>0</xdr:row>
      <xdr:rowOff>133350</xdr:rowOff>
    </xdr:from>
    <xdr:to>
      <xdr:col>4</xdr:col>
      <xdr:colOff>361950</xdr:colOff>
      <xdr:row>3</xdr:row>
      <xdr:rowOff>19050</xdr:rowOff>
    </xdr:to>
    <xdr:pic>
      <xdr:nvPicPr>
        <xdr:cNvPr id="3" name="Picture 1" descr="VCES_logo_CMYK">
          <a:extLst>
            <a:ext uri="{FF2B5EF4-FFF2-40B4-BE49-F238E27FC236}">
              <a16:creationId xmlns:a16="http://schemas.microsoft.com/office/drawing/2014/main" id="{00000000-0008-0000-19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2450" y="133350"/>
          <a:ext cx="866775" cy="581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76200</xdr:colOff>
      <xdr:row>0</xdr:row>
      <xdr:rowOff>123825</xdr:rowOff>
    </xdr:from>
    <xdr:to>
      <xdr:col>4</xdr:col>
      <xdr:colOff>361950</xdr:colOff>
      <xdr:row>3</xdr:row>
      <xdr:rowOff>9525</xdr:rowOff>
    </xdr:to>
    <xdr:pic>
      <xdr:nvPicPr>
        <xdr:cNvPr id="3" name="Picture 1" descr="VCES_logo_CMYK">
          <a:extLst>
            <a:ext uri="{FF2B5EF4-FFF2-40B4-BE49-F238E27FC236}">
              <a16:creationId xmlns:a16="http://schemas.microsoft.com/office/drawing/2014/main" id="{00000000-0008-0000-1A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2450" y="123825"/>
          <a:ext cx="866775" cy="581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76200</xdr:colOff>
      <xdr:row>0</xdr:row>
      <xdr:rowOff>133350</xdr:rowOff>
    </xdr:from>
    <xdr:to>
      <xdr:col>4</xdr:col>
      <xdr:colOff>361950</xdr:colOff>
      <xdr:row>3</xdr:row>
      <xdr:rowOff>19050</xdr:rowOff>
    </xdr:to>
    <xdr:pic>
      <xdr:nvPicPr>
        <xdr:cNvPr id="3" name="Picture 1" descr="VCES_logo_CMYK">
          <a:extLst>
            <a:ext uri="{FF2B5EF4-FFF2-40B4-BE49-F238E27FC236}">
              <a16:creationId xmlns:a16="http://schemas.microsoft.com/office/drawing/2014/main" id="{00000000-0008-0000-1B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2450" y="133350"/>
          <a:ext cx="866775" cy="581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76200</xdr:colOff>
      <xdr:row>0</xdr:row>
      <xdr:rowOff>152400</xdr:rowOff>
    </xdr:from>
    <xdr:to>
      <xdr:col>4</xdr:col>
      <xdr:colOff>361950</xdr:colOff>
      <xdr:row>3</xdr:row>
      <xdr:rowOff>38100</xdr:rowOff>
    </xdr:to>
    <xdr:pic>
      <xdr:nvPicPr>
        <xdr:cNvPr id="4" name="Picture 1" descr="VCES_logo_CMYK">
          <a:extLst>
            <a:ext uri="{FF2B5EF4-FFF2-40B4-BE49-F238E27FC236}">
              <a16:creationId xmlns:a16="http://schemas.microsoft.com/office/drawing/2014/main" id="{00000000-0008-0000-1C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2450" y="152400"/>
          <a:ext cx="866775" cy="581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76200</xdr:colOff>
      <xdr:row>0</xdr:row>
      <xdr:rowOff>180975</xdr:rowOff>
    </xdr:from>
    <xdr:to>
      <xdr:col>4</xdr:col>
      <xdr:colOff>495300</xdr:colOff>
      <xdr:row>3</xdr:row>
      <xdr:rowOff>66675</xdr:rowOff>
    </xdr:to>
    <xdr:pic>
      <xdr:nvPicPr>
        <xdr:cNvPr id="3" name="Picture 1" descr="VCES_logo_CMYK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2450" y="180975"/>
          <a:ext cx="1000125" cy="581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76200</xdr:colOff>
      <xdr:row>0</xdr:row>
      <xdr:rowOff>142875</xdr:rowOff>
    </xdr:from>
    <xdr:to>
      <xdr:col>4</xdr:col>
      <xdr:colOff>361950</xdr:colOff>
      <xdr:row>3</xdr:row>
      <xdr:rowOff>28575</xdr:rowOff>
    </xdr:to>
    <xdr:pic>
      <xdr:nvPicPr>
        <xdr:cNvPr id="3" name="Picture 1" descr="VCES_logo_CMYK">
          <a:extLst>
            <a:ext uri="{FF2B5EF4-FFF2-40B4-BE49-F238E27FC236}">
              <a16:creationId xmlns:a16="http://schemas.microsoft.com/office/drawing/2014/main" id="{00000000-0008-0000-1D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2450" y="142875"/>
          <a:ext cx="866775" cy="581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76200</xdr:colOff>
      <xdr:row>0</xdr:row>
      <xdr:rowOff>142875</xdr:rowOff>
    </xdr:from>
    <xdr:to>
      <xdr:col>4</xdr:col>
      <xdr:colOff>361950</xdr:colOff>
      <xdr:row>3</xdr:row>
      <xdr:rowOff>28575</xdr:rowOff>
    </xdr:to>
    <xdr:pic>
      <xdr:nvPicPr>
        <xdr:cNvPr id="3" name="Picture 1" descr="VCES_logo_CMYK">
          <a:extLst>
            <a:ext uri="{FF2B5EF4-FFF2-40B4-BE49-F238E27FC236}">
              <a16:creationId xmlns:a16="http://schemas.microsoft.com/office/drawing/2014/main" id="{00000000-0008-0000-1E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2450" y="142875"/>
          <a:ext cx="866775" cy="581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76200</xdr:colOff>
      <xdr:row>0</xdr:row>
      <xdr:rowOff>152400</xdr:rowOff>
    </xdr:from>
    <xdr:to>
      <xdr:col>4</xdr:col>
      <xdr:colOff>361950</xdr:colOff>
      <xdr:row>3</xdr:row>
      <xdr:rowOff>38100</xdr:rowOff>
    </xdr:to>
    <xdr:pic>
      <xdr:nvPicPr>
        <xdr:cNvPr id="3" name="Picture 1" descr="VCES_logo_CMYK">
          <a:extLst>
            <a:ext uri="{FF2B5EF4-FFF2-40B4-BE49-F238E27FC236}">
              <a16:creationId xmlns:a16="http://schemas.microsoft.com/office/drawing/2014/main" id="{00000000-0008-0000-1F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2450" y="152400"/>
          <a:ext cx="866775" cy="581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76200</xdr:colOff>
      <xdr:row>0</xdr:row>
      <xdr:rowOff>133350</xdr:rowOff>
    </xdr:from>
    <xdr:to>
      <xdr:col>4</xdr:col>
      <xdr:colOff>361950</xdr:colOff>
      <xdr:row>3</xdr:row>
      <xdr:rowOff>19050</xdr:rowOff>
    </xdr:to>
    <xdr:pic>
      <xdr:nvPicPr>
        <xdr:cNvPr id="3" name="Picture 1" descr="VCES_logo_CMYK">
          <a:extLst>
            <a:ext uri="{FF2B5EF4-FFF2-40B4-BE49-F238E27FC236}">
              <a16:creationId xmlns:a16="http://schemas.microsoft.com/office/drawing/2014/main" id="{00000000-0008-0000-2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2450" y="133350"/>
          <a:ext cx="866775" cy="581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76199</xdr:colOff>
      <xdr:row>0</xdr:row>
      <xdr:rowOff>134469</xdr:rowOff>
    </xdr:from>
    <xdr:to>
      <xdr:col>4</xdr:col>
      <xdr:colOff>462802</xdr:colOff>
      <xdr:row>3</xdr:row>
      <xdr:rowOff>22969</xdr:rowOff>
    </xdr:to>
    <xdr:pic>
      <xdr:nvPicPr>
        <xdr:cNvPr id="3" name="Picture 1" descr="VCES_logo_CMYK">
          <a:extLst>
            <a:ext uri="{FF2B5EF4-FFF2-40B4-BE49-F238E27FC236}">
              <a16:creationId xmlns:a16="http://schemas.microsoft.com/office/drawing/2014/main" id="{00000000-0008-0000-21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58905" y="134469"/>
          <a:ext cx="868456" cy="572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8964</xdr:colOff>
      <xdr:row>2</xdr:row>
      <xdr:rowOff>137274</xdr:rowOff>
    </xdr:from>
    <xdr:to>
      <xdr:col>5</xdr:col>
      <xdr:colOff>24653</xdr:colOff>
      <xdr:row>5</xdr:row>
      <xdr:rowOff>34179</xdr:rowOff>
    </xdr:to>
    <xdr:pic>
      <xdr:nvPicPr>
        <xdr:cNvPr id="3" name="Picture 1" descr="VCES_logo_CMYK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73523" y="596715"/>
          <a:ext cx="1001806" cy="56925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188259</xdr:colOff>
      <xdr:row>1</xdr:row>
      <xdr:rowOff>7284</xdr:rowOff>
    </xdr:from>
    <xdr:to>
      <xdr:col>5</xdr:col>
      <xdr:colOff>753036</xdr:colOff>
      <xdr:row>3</xdr:row>
      <xdr:rowOff>121584</xdr:rowOff>
    </xdr:to>
    <xdr:pic>
      <xdr:nvPicPr>
        <xdr:cNvPr id="3" name="Picture 1" descr="VCES_logo_CMYK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9141" y="197784"/>
          <a:ext cx="1909483" cy="51771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76200</xdr:colOff>
      <xdr:row>0</xdr:row>
      <xdr:rowOff>159686</xdr:rowOff>
    </xdr:from>
    <xdr:to>
      <xdr:col>4</xdr:col>
      <xdr:colOff>495300</xdr:colOff>
      <xdr:row>3</xdr:row>
      <xdr:rowOff>45385</xdr:rowOff>
    </xdr:to>
    <xdr:pic>
      <xdr:nvPicPr>
        <xdr:cNvPr id="3" name="Picture 1" descr="VCES_logo_CMYK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8053" y="159686"/>
          <a:ext cx="1001806" cy="56925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76200</xdr:colOff>
      <xdr:row>0</xdr:row>
      <xdr:rowOff>171450</xdr:rowOff>
    </xdr:from>
    <xdr:to>
      <xdr:col>4</xdr:col>
      <xdr:colOff>495300</xdr:colOff>
      <xdr:row>3</xdr:row>
      <xdr:rowOff>57150</xdr:rowOff>
    </xdr:to>
    <xdr:pic>
      <xdr:nvPicPr>
        <xdr:cNvPr id="3" name="Picture 1" descr="VCES_logo_CMYK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2450" y="171450"/>
          <a:ext cx="1000125" cy="581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76200</xdr:colOff>
      <xdr:row>0</xdr:row>
      <xdr:rowOff>114300</xdr:rowOff>
    </xdr:from>
    <xdr:to>
      <xdr:col>4</xdr:col>
      <xdr:colOff>495300</xdr:colOff>
      <xdr:row>3</xdr:row>
      <xdr:rowOff>0</xdr:rowOff>
    </xdr:to>
    <xdr:pic>
      <xdr:nvPicPr>
        <xdr:cNvPr id="3" name="Picture 1" descr="VCES_logo_CMYK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2450" y="114300"/>
          <a:ext cx="1000125" cy="581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76200</xdr:colOff>
      <xdr:row>0</xdr:row>
      <xdr:rowOff>171450</xdr:rowOff>
    </xdr:from>
    <xdr:to>
      <xdr:col>4</xdr:col>
      <xdr:colOff>495300</xdr:colOff>
      <xdr:row>3</xdr:row>
      <xdr:rowOff>57150</xdr:rowOff>
    </xdr:to>
    <xdr:pic>
      <xdr:nvPicPr>
        <xdr:cNvPr id="3" name="Picture 1" descr="VCES_logo_CMYK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2450" y="171450"/>
          <a:ext cx="1000125" cy="581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6003_V&#253;stavba%20kanalizace%20-%20Kolomuty/%23Fakturace%20investor/ZAVZORCOVAN&#201;%20PODKLADY/6003_2005_Fakturace_Hol&#233;%20Vrchy_KNL-%20UZNATELN&#201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ace stavby"/>
      <sheetName val="VRN 01"/>
      <sheetName val="SO 01 - A"/>
      <sheetName val="SO 01 - A1"/>
      <sheetName val="SO 01 - A2"/>
      <sheetName val="SO 01 - A3"/>
      <sheetName val="SO 01 - A3-1"/>
      <sheetName val="SO 01 - A4"/>
      <sheetName val="SO 01 - A5"/>
      <sheetName val="SO 01 - A5-1"/>
      <sheetName val="SO 01 - A6"/>
      <sheetName val="SO 01A"/>
      <sheetName val="SO 02"/>
    </sheetNames>
    <sheetDataSet>
      <sheetData sheetId="0"/>
      <sheetData sheetId="1">
        <row r="3">
          <cell r="G3" t="str">
            <v>Odkanalizování povodí Jizery - část B</v>
          </cell>
        </row>
        <row r="5">
          <cell r="G5" t="str">
            <v>VRI/SOD/2020/Ži</v>
          </cell>
        </row>
        <row r="7">
          <cell r="G7" t="str">
            <v>Vododvody a kanalizace Mladá Boleslav, a.s.</v>
          </cell>
        </row>
        <row r="8">
          <cell r="G8" t="str">
            <v>VCES a.s.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4.x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5.x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6.x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7.x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8.xml"/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9.xml"/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0.xml"/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1.xml"/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2.xml"/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3.xml"/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4.xml"/><Relationship Id="rId1" Type="http://schemas.openxmlformats.org/officeDocument/2006/relationships/printerSettings" Target="../printerSettings/printerSettings34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F0"/>
    <pageSetUpPr fitToPage="1"/>
  </sheetPr>
  <dimension ref="A1:L57"/>
  <sheetViews>
    <sheetView showGridLines="0" tabSelected="1" view="pageBreakPreview" topLeftCell="A33" zoomScaleNormal="100" zoomScaleSheetLayoutView="100" workbookViewId="0">
      <selection activeCell="C8" sqref="C8:E8"/>
    </sheetView>
  </sheetViews>
  <sheetFormatPr defaultColWidth="9.33203125" defaultRowHeight="11.25" x14ac:dyDescent="0.2"/>
  <cols>
    <col min="1" max="1" width="1.6640625" style="41" customWidth="1"/>
    <col min="2" max="2" width="8" style="41" customWidth="1"/>
    <col min="3" max="3" width="72" style="41" bestFit="1" customWidth="1"/>
    <col min="4" max="4" width="26" style="41" customWidth="1"/>
    <col min="5" max="7" width="16.1640625" style="41" customWidth="1"/>
    <col min="8" max="8" width="17.6640625" style="41" bestFit="1" customWidth="1"/>
    <col min="9" max="9" width="22.33203125" style="41" hidden="1" customWidth="1"/>
    <col min="10" max="11" width="0" style="41" hidden="1" customWidth="1"/>
    <col min="12" max="12" width="16.83203125" style="41" customWidth="1"/>
    <col min="13" max="16384" width="9.33203125" style="41"/>
  </cols>
  <sheetData>
    <row r="1" spans="1:12" s="1" customFormat="1" ht="18" customHeight="1" x14ac:dyDescent="0.2">
      <c r="B1" s="2"/>
      <c r="C1" s="3" t="s">
        <v>979</v>
      </c>
      <c r="D1" s="4" t="s">
        <v>1058</v>
      </c>
      <c r="E1" s="8"/>
      <c r="F1" s="9"/>
      <c r="G1" s="10"/>
      <c r="H1" s="11"/>
    </row>
    <row r="2" spans="1:12" s="1" customFormat="1" ht="18" customHeight="1" x14ac:dyDescent="0.2">
      <c r="B2" s="2"/>
      <c r="C2" s="3" t="s">
        <v>980</v>
      </c>
      <c r="D2" s="4" t="s">
        <v>1274</v>
      </c>
      <c r="E2" s="8"/>
      <c r="F2" s="9"/>
      <c r="G2" s="10"/>
      <c r="H2" s="11"/>
    </row>
    <row r="3" spans="1:12" s="1" customFormat="1" ht="18" customHeight="1" x14ac:dyDescent="0.2">
      <c r="B3" s="2"/>
      <c r="C3" s="12" t="s">
        <v>981</v>
      </c>
      <c r="D3" s="13" t="s">
        <v>982</v>
      </c>
      <c r="E3" s="8"/>
      <c r="F3" s="9"/>
      <c r="G3" s="10"/>
      <c r="H3" s="11"/>
    </row>
    <row r="4" spans="1:12" s="2" customFormat="1" ht="18" customHeight="1" x14ac:dyDescent="0.2">
      <c r="C4" s="12" t="s">
        <v>983</v>
      </c>
      <c r="D4" s="13" t="s">
        <v>1001</v>
      </c>
      <c r="E4" s="16"/>
      <c r="F4" s="17"/>
      <c r="G4" s="18"/>
      <c r="H4" s="19"/>
    </row>
    <row r="5" spans="1:12" s="2" customFormat="1" ht="18" customHeight="1" x14ac:dyDescent="0.2">
      <c r="C5" s="3" t="s">
        <v>984</v>
      </c>
      <c r="D5" s="13" t="s">
        <v>985</v>
      </c>
      <c r="E5" s="16"/>
      <c r="F5" s="17"/>
      <c r="G5" s="18"/>
      <c r="H5" s="19"/>
    </row>
    <row r="6" spans="1:12" s="2" customFormat="1" ht="18" customHeight="1" x14ac:dyDescent="0.2">
      <c r="C6" s="3" t="s">
        <v>986</v>
      </c>
      <c r="D6" s="20" t="s">
        <v>987</v>
      </c>
      <c r="E6" s="16"/>
      <c r="F6" s="17"/>
      <c r="G6" s="18"/>
      <c r="H6" s="19"/>
    </row>
    <row r="7" spans="1:12" s="2" customFormat="1" ht="15.75" x14ac:dyDescent="0.25">
      <c r="D7" s="21"/>
      <c r="E7" s="16"/>
      <c r="F7" s="17"/>
      <c r="G7" s="22"/>
      <c r="H7" s="19"/>
    </row>
    <row r="8" spans="1:12" s="23" customFormat="1" ht="18" customHeight="1" x14ac:dyDescent="0.25">
      <c r="B8" s="24"/>
      <c r="D8" s="22"/>
      <c r="E8" s="319"/>
      <c r="F8" s="25"/>
      <c r="G8" s="25" t="s">
        <v>988</v>
      </c>
      <c r="H8" s="26">
        <v>44926</v>
      </c>
    </row>
    <row r="9" spans="1:12" s="23" customFormat="1" x14ac:dyDescent="0.2">
      <c r="B9" s="27"/>
      <c r="C9" s="28"/>
      <c r="D9" s="28"/>
      <c r="E9" s="29"/>
      <c r="F9" s="30"/>
      <c r="G9" s="31"/>
      <c r="H9" s="32"/>
    </row>
    <row r="10" spans="1:12" s="33" customFormat="1" ht="20.100000000000001" customHeight="1" x14ac:dyDescent="0.2">
      <c r="B10" s="34"/>
      <c r="C10" s="35"/>
      <c r="D10" s="36" t="s">
        <v>989</v>
      </c>
      <c r="E10" s="325" t="s">
        <v>990</v>
      </c>
      <c r="F10" s="325"/>
      <c r="G10" s="320" t="s">
        <v>991</v>
      </c>
      <c r="H10" s="321"/>
    </row>
    <row r="11" spans="1:12" s="37" customFormat="1" ht="20.100000000000001" customHeight="1" x14ac:dyDescent="0.2">
      <c r="B11" s="38"/>
      <c r="C11" s="39" t="s">
        <v>992</v>
      </c>
      <c r="D11" s="40" t="s">
        <v>993</v>
      </c>
      <c r="E11" s="322" t="s">
        <v>993</v>
      </c>
      <c r="F11" s="322"/>
      <c r="G11" s="323" t="s">
        <v>993</v>
      </c>
      <c r="H11" s="324"/>
    </row>
    <row r="12" spans="1:12" s="109" customFormat="1" ht="11.1" customHeight="1" x14ac:dyDescent="0.2">
      <c r="A12" s="97"/>
      <c r="B12" s="97"/>
      <c r="C12" s="97"/>
      <c r="D12" s="97"/>
    </row>
    <row r="13" spans="1:12" s="46" customFormat="1" ht="20.100000000000001" customHeight="1" x14ac:dyDescent="0.2">
      <c r="B13" s="46" t="s">
        <v>2</v>
      </c>
      <c r="C13" s="47"/>
      <c r="D13" s="48">
        <f>+SUBTOTAL(9,D14:D50)</f>
        <v>53643455.670000002</v>
      </c>
      <c r="E13" s="49"/>
      <c r="F13" s="49"/>
      <c r="G13" s="50"/>
      <c r="H13" s="51"/>
      <c r="L13" s="52" t="s">
        <v>1269</v>
      </c>
    </row>
    <row r="14" spans="1:12" s="53" customFormat="1" ht="20.100000000000001" customHeight="1" x14ac:dyDescent="0.2">
      <c r="B14" s="54" t="s">
        <v>5</v>
      </c>
      <c r="C14" s="55" t="s">
        <v>6</v>
      </c>
      <c r="D14" s="56"/>
      <c r="E14" s="42"/>
      <c r="F14" s="43"/>
      <c r="G14" s="44"/>
      <c r="H14" s="45"/>
      <c r="L14" s="57"/>
    </row>
    <row r="15" spans="1:12" s="53" customFormat="1" ht="20.100000000000001" customHeight="1" x14ac:dyDescent="0.2">
      <c r="B15" s="54" t="s">
        <v>5</v>
      </c>
      <c r="C15" s="55" t="s">
        <v>9</v>
      </c>
      <c r="D15" s="56">
        <v>1307362.58</v>
      </c>
      <c r="E15" s="42">
        <f t="shared" ref="E15:E32" si="0">IF($D15=0,0,F15/$D15)</f>
        <v>3.6546632687008674E-3</v>
      </c>
      <c r="F15" s="43">
        <f>'01 - SO 01.A - Stoka A.0 '!M98</f>
        <v>4777.9699999999993</v>
      </c>
      <c r="G15" s="44">
        <f>1+E15</f>
        <v>1.0036546632687009</v>
      </c>
      <c r="H15" s="45">
        <f>'01 - SO 01.A - Stoka A.0 '!P98</f>
        <v>1312140.52</v>
      </c>
      <c r="L15" s="57">
        <v>0.76</v>
      </c>
    </row>
    <row r="16" spans="1:12" s="53" customFormat="1" ht="20.100000000000001" customHeight="1" x14ac:dyDescent="0.2">
      <c r="B16" s="54" t="s">
        <v>10</v>
      </c>
      <c r="C16" s="55" t="s">
        <v>11</v>
      </c>
      <c r="D16" s="56">
        <v>728120.68</v>
      </c>
      <c r="E16" s="42">
        <f t="shared" si="0"/>
        <v>9.3989690005783097E-2</v>
      </c>
      <c r="F16" s="43">
        <f>'02 - SO 01.B - Stoka A.0.1'!M90</f>
        <v>68435.837</v>
      </c>
      <c r="G16" s="44">
        <f t="shared" ref="G16:G50" si="1">1+E16</f>
        <v>1.0939896900057831</v>
      </c>
      <c r="H16" s="45">
        <f>'02 - SO 01.B - Stoka A.0.1'!P90</f>
        <v>796556.50000000012</v>
      </c>
      <c r="L16" s="57">
        <v>1.1299999999999999</v>
      </c>
    </row>
    <row r="17" spans="2:12" s="53" customFormat="1" ht="20.100000000000001" customHeight="1" x14ac:dyDescent="0.2">
      <c r="B17" s="54" t="s">
        <v>12</v>
      </c>
      <c r="C17" s="55" t="s">
        <v>13</v>
      </c>
      <c r="D17" s="56">
        <v>6931440.4800000004</v>
      </c>
      <c r="E17" s="42">
        <f t="shared" si="0"/>
        <v>-2.0072306817240387E-4</v>
      </c>
      <c r="F17" s="43">
        <f>'03 - SO 01.C - Stoka A'!M115</f>
        <v>-1391.3</v>
      </c>
      <c r="G17" s="44">
        <f t="shared" si="1"/>
        <v>0.99979927693182757</v>
      </c>
      <c r="H17" s="45">
        <f>'03 - SO 01.C - Stoka A'!P115</f>
        <v>6930049.1428388376</v>
      </c>
      <c r="L17" s="57">
        <v>-0.43</v>
      </c>
    </row>
    <row r="18" spans="2:12" s="53" customFormat="1" ht="20.100000000000001" customHeight="1" x14ac:dyDescent="0.2">
      <c r="B18" s="54" t="s">
        <v>14</v>
      </c>
      <c r="C18" s="55" t="s">
        <v>15</v>
      </c>
      <c r="D18" s="56">
        <v>5179897.74</v>
      </c>
      <c r="E18" s="42">
        <f t="shared" si="0"/>
        <v>-1.9257362953269423E-3</v>
      </c>
      <c r="F18" s="43">
        <f>'04 - SO 01.D - Stoka A.1'!M96</f>
        <v>-9975.1170840000013</v>
      </c>
      <c r="G18" s="44">
        <f t="shared" si="1"/>
        <v>0.998074263704673</v>
      </c>
      <c r="H18" s="45">
        <f>'04 - SO 01.D - Stoka A.1'!P96</f>
        <v>5169922.6374859996</v>
      </c>
      <c r="L18" s="57">
        <v>-1.64</v>
      </c>
    </row>
    <row r="19" spans="2:12" s="53" customFormat="1" ht="20.100000000000001" customHeight="1" x14ac:dyDescent="0.2">
      <c r="B19" s="54" t="s">
        <v>16</v>
      </c>
      <c r="C19" s="55" t="s">
        <v>17</v>
      </c>
      <c r="D19" s="56">
        <v>1966137.94</v>
      </c>
      <c r="E19" s="42">
        <f t="shared" si="0"/>
        <v>2.2581325092582263E-4</v>
      </c>
      <c r="F19" s="43">
        <f>'05 - SO 01.E - Stoka A.1.1'!M90</f>
        <v>443.97999999999996</v>
      </c>
      <c r="G19" s="44">
        <f t="shared" si="1"/>
        <v>1.0002258132509259</v>
      </c>
      <c r="H19" s="45">
        <f>'05 - SO 01.E - Stoka A.1.1'!P90</f>
        <v>1966581.88</v>
      </c>
      <c r="L19" s="57">
        <v>0.1</v>
      </c>
    </row>
    <row r="20" spans="2:12" s="53" customFormat="1" ht="20.100000000000001" customHeight="1" x14ac:dyDescent="0.2">
      <c r="B20" s="54" t="s">
        <v>18</v>
      </c>
      <c r="C20" s="55" t="s">
        <v>19</v>
      </c>
      <c r="D20" s="56">
        <v>1154587.67</v>
      </c>
      <c r="E20" s="42">
        <f t="shared" si="0"/>
        <v>-3.0304245324220373E-3</v>
      </c>
      <c r="F20" s="43">
        <f>'06 - SO 01.F - Stoka A.1.2'!M86</f>
        <v>-3498.8907999999992</v>
      </c>
      <c r="G20" s="44">
        <f t="shared" si="1"/>
        <v>0.99696957546757792</v>
      </c>
      <c r="H20" s="45">
        <f>'06 - SO 01.F - Stoka A.1.2'!P86</f>
        <v>1151088.79229</v>
      </c>
      <c r="L20" s="57">
        <v>-0.63</v>
      </c>
    </row>
    <row r="21" spans="2:12" s="53" customFormat="1" ht="20.100000000000001" customHeight="1" x14ac:dyDescent="0.2">
      <c r="B21" s="54" t="s">
        <v>20</v>
      </c>
      <c r="C21" s="55" t="s">
        <v>21</v>
      </c>
      <c r="D21" s="56">
        <v>2194726.27</v>
      </c>
      <c r="E21" s="42">
        <f t="shared" si="0"/>
        <v>1.1273089182506442E-3</v>
      </c>
      <c r="F21" s="43">
        <f>'07 - SO 01.G - Stoka A.2'!M94</f>
        <v>2474.134497289971</v>
      </c>
      <c r="G21" s="44">
        <f t="shared" si="1"/>
        <v>1.0011273089182506</v>
      </c>
      <c r="H21" s="45">
        <f>'07 - SO 01.G - Stoka A.2'!P94</f>
        <v>2197200.3948772894</v>
      </c>
      <c r="L21" s="57">
        <v>0.43</v>
      </c>
    </row>
    <row r="22" spans="2:12" s="53" customFormat="1" ht="20.100000000000001" customHeight="1" x14ac:dyDescent="0.2">
      <c r="B22" s="54" t="s">
        <v>22</v>
      </c>
      <c r="C22" s="55" t="s">
        <v>23</v>
      </c>
      <c r="D22" s="56">
        <v>2501731.9700000002</v>
      </c>
      <c r="E22" s="42">
        <f t="shared" si="0"/>
        <v>8.519577738777507E-4</v>
      </c>
      <c r="F22" s="43">
        <f>'08 - SO 01.H - Stoka A.2.1'!M80</f>
        <v>2131.37</v>
      </c>
      <c r="G22" s="44">
        <f t="shared" si="1"/>
        <v>1.0008519577738777</v>
      </c>
      <c r="H22" s="45">
        <f>'08 - SO 01.H - Stoka A.2.1'!P80</f>
        <v>2503863.3169400003</v>
      </c>
      <c r="L22" s="57">
        <v>0.37</v>
      </c>
    </row>
    <row r="23" spans="2:12" s="53" customFormat="1" ht="20.100000000000001" customHeight="1" x14ac:dyDescent="0.2">
      <c r="B23" s="54" t="s">
        <v>24</v>
      </c>
      <c r="C23" s="55" t="s">
        <v>25</v>
      </c>
      <c r="D23" s="56">
        <v>964555.67</v>
      </c>
      <c r="E23" s="42">
        <f t="shared" si="0"/>
        <v>-1.440087164694185E-2</v>
      </c>
      <c r="F23" s="43">
        <f>'09 - SO 01.I - Stoka A.3'!M92</f>
        <v>-13890.4424</v>
      </c>
      <c r="G23" s="44">
        <f t="shared" si="1"/>
        <v>0.98559912835305818</v>
      </c>
      <c r="H23" s="45">
        <f>'09 - SO 01.I - Stoka A.3'!P92</f>
        <v>950665.20270999998</v>
      </c>
      <c r="L23" s="57">
        <v>-0.61</v>
      </c>
    </row>
    <row r="24" spans="2:12" s="53" customFormat="1" ht="20.100000000000001" customHeight="1" x14ac:dyDescent="0.2">
      <c r="B24" s="54" t="s">
        <v>26</v>
      </c>
      <c r="C24" s="55" t="s">
        <v>27</v>
      </c>
      <c r="D24" s="56">
        <v>1500454.7</v>
      </c>
      <c r="E24" s="42">
        <f t="shared" si="0"/>
        <v>-1.0845485705099929E-4</v>
      </c>
      <c r="F24" s="43">
        <f>'10 - SO 01.J - Stoka A.4'!M81</f>
        <v>-162.73160000000001</v>
      </c>
      <c r="G24" s="44">
        <f t="shared" si="1"/>
        <v>0.99989154514294898</v>
      </c>
      <c r="H24" s="45">
        <f>'10 - SO 01.J - Stoka A.4'!P81</f>
        <v>1500291.9963599998</v>
      </c>
      <c r="L24" s="57">
        <v>-0.03</v>
      </c>
    </row>
    <row r="25" spans="2:12" s="53" customFormat="1" ht="20.100000000000001" customHeight="1" x14ac:dyDescent="0.2">
      <c r="B25" s="54" t="s">
        <v>28</v>
      </c>
      <c r="C25" s="55" t="s">
        <v>29</v>
      </c>
      <c r="D25" s="56">
        <v>287137.71999999997</v>
      </c>
      <c r="E25" s="42">
        <f t="shared" si="0"/>
        <v>-8.9680032285552758E-4</v>
      </c>
      <c r="F25" s="43">
        <f>'11 - SO 01.J - Stoka A.4.1'!M81</f>
        <v>-257.50520000000006</v>
      </c>
      <c r="G25" s="44">
        <f t="shared" si="1"/>
        <v>0.99910319967714445</v>
      </c>
      <c r="H25" s="45">
        <f>'11 - SO 01.J - Stoka A.4.1'!P81</f>
        <v>286880.21311000001</v>
      </c>
      <c r="L25" s="57">
        <v>-0.04</v>
      </c>
    </row>
    <row r="26" spans="2:12" s="53" customFormat="1" ht="20.100000000000001" customHeight="1" x14ac:dyDescent="0.2">
      <c r="B26" s="54" t="s">
        <v>30</v>
      </c>
      <c r="C26" s="55" t="s">
        <v>31</v>
      </c>
      <c r="D26" s="56">
        <v>415443.99</v>
      </c>
      <c r="E26" s="42">
        <f t="shared" si="0"/>
        <v>3.4188071898693258E-3</v>
      </c>
      <c r="F26" s="43">
        <f>'12 - SO 01.K - Stoka A.5'!M74</f>
        <v>1420.3229000000003</v>
      </c>
      <c r="G26" s="44">
        <f t="shared" si="1"/>
        <v>1.0034188071898693</v>
      </c>
      <c r="H26" s="45">
        <f>'12 - SO 01.K - Stoka A.5'!P74</f>
        <v>416864.31379999995</v>
      </c>
      <c r="L26" s="57">
        <v>0.25</v>
      </c>
    </row>
    <row r="27" spans="2:12" s="53" customFormat="1" ht="20.100000000000001" customHeight="1" x14ac:dyDescent="0.2">
      <c r="B27" s="54" t="s">
        <v>32</v>
      </c>
      <c r="C27" s="55" t="s">
        <v>33</v>
      </c>
      <c r="D27" s="56">
        <v>4003320.4</v>
      </c>
      <c r="E27" s="42">
        <f t="shared" si="0"/>
        <v>-4.6449840622104811E-3</v>
      </c>
      <c r="F27" s="43">
        <f>'13 - SO 01.L - Stoka B'!M113</f>
        <v>-18595.359453922087</v>
      </c>
      <c r="G27" s="44">
        <f t="shared" si="1"/>
        <v>0.99535501593778952</v>
      </c>
      <c r="H27" s="45">
        <f>'13 - SO 01.L - Stoka B'!P113</f>
        <v>3984725.0494360784</v>
      </c>
      <c r="L27" s="57">
        <v>-3.81</v>
      </c>
    </row>
    <row r="28" spans="2:12" s="53" customFormat="1" ht="20.100000000000001" customHeight="1" x14ac:dyDescent="0.2">
      <c r="B28" s="54" t="s">
        <v>34</v>
      </c>
      <c r="C28" s="55" t="s">
        <v>35</v>
      </c>
      <c r="D28" s="56">
        <v>851722.89</v>
      </c>
      <c r="E28" s="42">
        <f t="shared" si="0"/>
        <v>4.7650678966723549E-3</v>
      </c>
      <c r="F28" s="43">
        <f>'14 - SO 01.M - Stoka B.1'!M77</f>
        <v>4058.5173999999997</v>
      </c>
      <c r="G28" s="44">
        <f t="shared" si="1"/>
        <v>1.0047650678966724</v>
      </c>
      <c r="H28" s="45">
        <f>'14 - SO 01.M - Stoka B.1'!P77</f>
        <v>855781.4008699999</v>
      </c>
      <c r="L28" s="57">
        <v>0.71</v>
      </c>
    </row>
    <row r="29" spans="2:12" s="53" customFormat="1" ht="20.100000000000001" customHeight="1" x14ac:dyDescent="0.2">
      <c r="B29" s="54" t="s">
        <v>1</v>
      </c>
      <c r="C29" s="55" t="s">
        <v>36</v>
      </c>
      <c r="D29" s="56">
        <v>2514766.61</v>
      </c>
      <c r="E29" s="42">
        <f t="shared" si="0"/>
        <v>-2.6041951065987794E-3</v>
      </c>
      <c r="F29" s="43">
        <f>'15 - SO 01.N - Stoka B.2'!M96</f>
        <v>-6548.9429000000009</v>
      </c>
      <c r="G29" s="44">
        <f t="shared" si="1"/>
        <v>0.99739580489340118</v>
      </c>
      <c r="H29" s="45">
        <f>'15 - SO 01.N - Stoka B.2'!P96</f>
        <v>2508217.6585200001</v>
      </c>
      <c r="L29" s="57">
        <v>-0.79</v>
      </c>
    </row>
    <row r="30" spans="2:12" s="53" customFormat="1" ht="20.100000000000001" customHeight="1" x14ac:dyDescent="0.2">
      <c r="B30" s="54" t="s">
        <v>37</v>
      </c>
      <c r="C30" s="55" t="s">
        <v>38</v>
      </c>
      <c r="D30" s="56">
        <v>412574.05</v>
      </c>
      <c r="E30" s="42">
        <f t="shared" si="0"/>
        <v>-9.5088561677594604E-3</v>
      </c>
      <c r="F30" s="43">
        <f>'16 - SO 01.O - Stoka B.2.1'!M87</f>
        <v>-3923.1072999999997</v>
      </c>
      <c r="G30" s="44">
        <f t="shared" si="1"/>
        <v>0.99049114383224057</v>
      </c>
      <c r="H30" s="45">
        <f>'16 - SO 01.O - Stoka B.2.1'!P87</f>
        <v>408650.93315000006</v>
      </c>
      <c r="L30" s="57">
        <v>0.62</v>
      </c>
    </row>
    <row r="31" spans="2:12" s="53" customFormat="1" ht="20.100000000000001" customHeight="1" x14ac:dyDescent="0.2">
      <c r="B31" s="54" t="s">
        <v>39</v>
      </c>
      <c r="C31" s="55" t="s">
        <v>40</v>
      </c>
      <c r="D31" s="56">
        <v>282788.33</v>
      </c>
      <c r="E31" s="42">
        <f t="shared" si="0"/>
        <v>-2.6706498107612851E-3</v>
      </c>
      <c r="F31" s="43">
        <f>'17 - SO 01.P - Stoka B.3'!M72</f>
        <v>-755.22859999999991</v>
      </c>
      <c r="G31" s="44">
        <f t="shared" si="1"/>
        <v>0.99732935018923874</v>
      </c>
      <c r="H31" s="45">
        <f>'17 - SO 01.P - Stoka B.3'!P72</f>
        <v>282033.09282999998</v>
      </c>
      <c r="L31" s="57">
        <v>-0.12</v>
      </c>
    </row>
    <row r="32" spans="2:12" s="53" customFormat="1" ht="20.100000000000001" customHeight="1" x14ac:dyDescent="0.2">
      <c r="B32" s="54" t="s">
        <v>41</v>
      </c>
      <c r="C32" s="55" t="s">
        <v>42</v>
      </c>
      <c r="D32" s="56">
        <v>159187.42000000001</v>
      </c>
      <c r="E32" s="42">
        <f t="shared" si="0"/>
        <v>1.0978127542993031E-2</v>
      </c>
      <c r="F32" s="43">
        <f>'18 - SO 01.L - Stoka B.4'!M80</f>
        <v>1747.5798</v>
      </c>
      <c r="G32" s="44">
        <f t="shared" si="1"/>
        <v>1.010978127542993</v>
      </c>
      <c r="H32" s="45">
        <f>'18 - SO 01.L - Stoka B.4'!P80</f>
        <v>160935.00900000002</v>
      </c>
      <c r="L32" s="57">
        <v>0.25</v>
      </c>
    </row>
    <row r="33" spans="2:12" s="53" customFormat="1" ht="20.100000000000001" customHeight="1" x14ac:dyDescent="0.2">
      <c r="B33" s="54" t="s">
        <v>10</v>
      </c>
      <c r="C33" s="55" t="s">
        <v>43</v>
      </c>
      <c r="D33" s="56"/>
      <c r="E33" s="42"/>
      <c r="F33" s="43"/>
      <c r="G33" s="44"/>
      <c r="H33" s="45"/>
      <c r="L33" s="57"/>
    </row>
    <row r="34" spans="2:12" s="53" customFormat="1" ht="20.100000000000001" customHeight="1" x14ac:dyDescent="0.2">
      <c r="B34" s="54" t="s">
        <v>5</v>
      </c>
      <c r="C34" s="55" t="s">
        <v>44</v>
      </c>
      <c r="D34" s="56">
        <v>866405</v>
      </c>
      <c r="E34" s="42">
        <f>IF($D34=0,0,F34/$D34)</f>
        <v>-3.8009475937927418E-4</v>
      </c>
      <c r="F34" s="43">
        <f>'01 - SAO 01.1.A - Tlaková...'!M96</f>
        <v>-329.31600000000003</v>
      </c>
      <c r="G34" s="44">
        <f t="shared" si="1"/>
        <v>0.99961990524062072</v>
      </c>
      <c r="H34" s="45">
        <f>'01 - SAO 01.1.A - Tlaková...'!P96</f>
        <v>866075.69712000003</v>
      </c>
      <c r="L34" s="57">
        <v>-0.1</v>
      </c>
    </row>
    <row r="35" spans="2:12" s="53" customFormat="1" ht="20.100000000000001" customHeight="1" x14ac:dyDescent="0.2">
      <c r="B35" s="54" t="s">
        <v>12</v>
      </c>
      <c r="C35" s="55" t="s">
        <v>45</v>
      </c>
      <c r="D35" s="56"/>
      <c r="E35" s="42"/>
      <c r="F35" s="43"/>
      <c r="G35" s="44"/>
      <c r="H35" s="45"/>
      <c r="L35" s="57"/>
    </row>
    <row r="36" spans="2:12" s="53" customFormat="1" ht="20.100000000000001" customHeight="1" x14ac:dyDescent="0.2">
      <c r="B36" s="54" t="s">
        <v>5</v>
      </c>
      <c r="C36" s="55" t="s">
        <v>46</v>
      </c>
      <c r="D36" s="56">
        <v>1281541.97</v>
      </c>
      <c r="E36" s="42">
        <f t="shared" ref="E36:E42" si="2">IF($D36=0,0,F36/$D36)</f>
        <v>0</v>
      </c>
      <c r="F36" s="43">
        <f>'01 - SO 02.A - ČSOV 1 - s...'!M104</f>
        <v>0</v>
      </c>
      <c r="G36" s="44">
        <f t="shared" si="1"/>
        <v>1</v>
      </c>
      <c r="H36" s="45">
        <f t="shared" ref="H36:H41" si="3">IF(ISBLANK($D36),"",ROUND($D36-F36,2))</f>
        <v>1281541.97</v>
      </c>
      <c r="L36" s="57"/>
    </row>
    <row r="37" spans="2:12" s="53" customFormat="1" ht="20.100000000000001" customHeight="1" x14ac:dyDescent="0.2">
      <c r="B37" s="54" t="s">
        <v>10</v>
      </c>
      <c r="C37" s="55" t="s">
        <v>47</v>
      </c>
      <c r="D37" s="56">
        <v>4163822.26</v>
      </c>
      <c r="E37" s="42">
        <f t="shared" si="2"/>
        <v>-6.6458052894889891E-4</v>
      </c>
      <c r="F37" s="43">
        <f>'02 - SO 02.B - Výtlačný ř...'!M95</f>
        <v>-2767.1951999999997</v>
      </c>
      <c r="G37" s="44">
        <f t="shared" si="1"/>
        <v>0.99933541947105109</v>
      </c>
      <c r="H37" s="45">
        <f>'02 - SO 02.B - Výtlačný ř...'!P95</f>
        <v>4161055.0575200003</v>
      </c>
      <c r="L37" s="57">
        <v>-1.53</v>
      </c>
    </row>
    <row r="38" spans="2:12" s="53" customFormat="1" ht="20.100000000000001" customHeight="1" x14ac:dyDescent="0.2">
      <c r="B38" s="54" t="s">
        <v>12</v>
      </c>
      <c r="C38" s="55" t="s">
        <v>48</v>
      </c>
      <c r="D38" s="56">
        <v>2111387.5299999998</v>
      </c>
      <c r="E38" s="42">
        <f t="shared" si="2"/>
        <v>0</v>
      </c>
      <c r="F38" s="43">
        <f>'03 - PS 02.1 - Strojně te...'!M23</f>
        <v>0</v>
      </c>
      <c r="G38" s="44">
        <f t="shared" si="1"/>
        <v>1</v>
      </c>
      <c r="H38" s="45">
        <f t="shared" si="3"/>
        <v>2111387.5299999998</v>
      </c>
      <c r="L38" s="57"/>
    </row>
    <row r="39" spans="2:12" s="53" customFormat="1" ht="20.100000000000001" customHeight="1" x14ac:dyDescent="0.2">
      <c r="B39" s="54" t="s">
        <v>14</v>
      </c>
      <c r="C39" s="55" t="s">
        <v>49</v>
      </c>
      <c r="D39" s="56">
        <v>0</v>
      </c>
      <c r="E39" s="42">
        <f t="shared" si="2"/>
        <v>0</v>
      </c>
      <c r="F39" s="43">
        <f>'04 - PS 02.2 - Elektrotec...'!M77</f>
        <v>0</v>
      </c>
      <c r="G39" s="44">
        <f t="shared" si="1"/>
        <v>1</v>
      </c>
      <c r="H39" s="45">
        <f t="shared" si="3"/>
        <v>0</v>
      </c>
      <c r="L39" s="57"/>
    </row>
    <row r="40" spans="2:12" s="53" customFormat="1" ht="20.100000000000001" customHeight="1" x14ac:dyDescent="0.2">
      <c r="B40" s="54" t="s">
        <v>16</v>
      </c>
      <c r="C40" s="55" t="s">
        <v>50</v>
      </c>
      <c r="D40" s="56">
        <v>0</v>
      </c>
      <c r="E40" s="42">
        <f t="shared" si="2"/>
        <v>0</v>
      </c>
      <c r="F40" s="43">
        <f>'05 - PS 02.3 - Systém říz...'!M34</f>
        <v>0</v>
      </c>
      <c r="G40" s="44">
        <f t="shared" si="1"/>
        <v>1</v>
      </c>
      <c r="H40" s="45">
        <f t="shared" si="3"/>
        <v>0</v>
      </c>
      <c r="L40" s="57"/>
    </row>
    <row r="41" spans="2:12" s="53" customFormat="1" ht="20.100000000000001" customHeight="1" x14ac:dyDescent="0.2">
      <c r="B41" s="54" t="s">
        <v>14</v>
      </c>
      <c r="C41" s="55" t="s">
        <v>51</v>
      </c>
      <c r="D41" s="56">
        <v>21536.53</v>
      </c>
      <c r="E41" s="42">
        <f t="shared" si="2"/>
        <v>1.6388898304415801E-2</v>
      </c>
      <c r="F41" s="43">
        <f>'04 - SO 02.1 - Přípojka N...'!M29</f>
        <v>352.96</v>
      </c>
      <c r="G41" s="44">
        <f t="shared" si="1"/>
        <v>1.0163888983044158</v>
      </c>
      <c r="H41" s="45">
        <f t="shared" si="3"/>
        <v>21183.57</v>
      </c>
      <c r="L41" s="57"/>
    </row>
    <row r="42" spans="2:12" s="53" customFormat="1" ht="20.100000000000001" customHeight="1" x14ac:dyDescent="0.2">
      <c r="B42" s="54" t="s">
        <v>16</v>
      </c>
      <c r="C42" s="55" t="s">
        <v>52</v>
      </c>
      <c r="D42" s="56">
        <v>5228163.37</v>
      </c>
      <c r="E42" s="42">
        <f t="shared" si="2"/>
        <v>1.3184253842473173E-2</v>
      </c>
      <c r="F42" s="43">
        <f>'05 - SO 02.2 - Výtlačný ř...'!M117</f>
        <v>68929.43299999999</v>
      </c>
      <c r="G42" s="44">
        <f t="shared" si="1"/>
        <v>1.0131842538424731</v>
      </c>
      <c r="H42" s="45">
        <f>'05 - SO 02.2 - Výtlačný ř...'!P117</f>
        <v>5297092.7703</v>
      </c>
      <c r="L42" s="57">
        <v>13.94</v>
      </c>
    </row>
    <row r="43" spans="2:12" s="53" customFormat="1" ht="20.100000000000001" customHeight="1" x14ac:dyDescent="0.2">
      <c r="B43" s="54" t="s">
        <v>18</v>
      </c>
      <c r="C43" s="55" t="s">
        <v>53</v>
      </c>
      <c r="D43" s="56"/>
      <c r="E43" s="42"/>
      <c r="F43" s="43"/>
      <c r="G43" s="44"/>
      <c r="H43" s="45"/>
      <c r="L43" s="57"/>
    </row>
    <row r="44" spans="2:12" s="53" customFormat="1" ht="20.100000000000001" customHeight="1" x14ac:dyDescent="0.2">
      <c r="B44" s="54" t="s">
        <v>5</v>
      </c>
      <c r="C44" s="55" t="s">
        <v>54</v>
      </c>
      <c r="D44" s="56">
        <v>1306541.56</v>
      </c>
      <c r="E44" s="42">
        <f t="shared" ref="E44:E50" si="4">IF($D44=0,0,F44/$D44)</f>
        <v>0</v>
      </c>
      <c r="F44" s="43">
        <f>'01 - SO 03.A - ČSOV 2 - s...'!M104</f>
        <v>0</v>
      </c>
      <c r="G44" s="44">
        <f t="shared" si="1"/>
        <v>1</v>
      </c>
      <c r="H44" s="45">
        <f t="shared" ref="H44:H50" si="5">IF(ISBLANK($D44),"",ROUND($D44-F44,2))</f>
        <v>1306541.56</v>
      </c>
      <c r="L44" s="57"/>
    </row>
    <row r="45" spans="2:12" s="53" customFormat="1" ht="20.100000000000001" customHeight="1" x14ac:dyDescent="0.2">
      <c r="B45" s="54" t="s">
        <v>10</v>
      </c>
      <c r="C45" s="55" t="s">
        <v>55</v>
      </c>
      <c r="D45" s="56">
        <v>1370956.36</v>
      </c>
      <c r="E45" s="42">
        <f t="shared" si="4"/>
        <v>-9.5742203639508985E-3</v>
      </c>
      <c r="F45" s="43">
        <f>'02 - SO 03.B - Výtlačný ř...'!M90</f>
        <v>-13125.838299999999</v>
      </c>
      <c r="G45" s="44">
        <f t="shared" si="1"/>
        <v>0.99042577963604905</v>
      </c>
      <c r="H45" s="45">
        <f>'02 - SO 03.B - Výtlačný ř...'!P90</f>
        <v>1357830.5485099999</v>
      </c>
      <c r="L45" s="57">
        <v>-3.38</v>
      </c>
    </row>
    <row r="46" spans="2:12" s="53" customFormat="1" ht="20.100000000000001" customHeight="1" x14ac:dyDescent="0.2">
      <c r="B46" s="54" t="s">
        <v>12</v>
      </c>
      <c r="C46" s="55" t="s">
        <v>56</v>
      </c>
      <c r="D46" s="56">
        <v>1983811.24</v>
      </c>
      <c r="E46" s="42">
        <f t="shared" si="4"/>
        <v>0</v>
      </c>
      <c r="F46" s="43">
        <f>'03 - PS 03.1 - Strojně te...'!M23</f>
        <v>0</v>
      </c>
      <c r="G46" s="44">
        <f t="shared" si="1"/>
        <v>1</v>
      </c>
      <c r="H46" s="45">
        <f t="shared" si="5"/>
        <v>1983811.24</v>
      </c>
      <c r="L46" s="57"/>
    </row>
    <row r="47" spans="2:12" s="53" customFormat="1" ht="20.100000000000001" customHeight="1" x14ac:dyDescent="0.2">
      <c r="B47" s="54" t="s">
        <v>14</v>
      </c>
      <c r="C47" s="55" t="s">
        <v>57</v>
      </c>
      <c r="D47" s="56">
        <v>0</v>
      </c>
      <c r="E47" s="42">
        <f t="shared" si="4"/>
        <v>0</v>
      </c>
      <c r="F47" s="43">
        <f>'04 - PS 03.2 - Elektrotec...'!M77</f>
        <v>0</v>
      </c>
      <c r="G47" s="44">
        <f t="shared" si="1"/>
        <v>1</v>
      </c>
      <c r="H47" s="45">
        <f t="shared" si="5"/>
        <v>0</v>
      </c>
      <c r="L47" s="57"/>
    </row>
    <row r="48" spans="2:12" s="53" customFormat="1" ht="20.100000000000001" customHeight="1" x14ac:dyDescent="0.2">
      <c r="B48" s="54" t="s">
        <v>16</v>
      </c>
      <c r="C48" s="55" t="s">
        <v>58</v>
      </c>
      <c r="D48" s="56">
        <v>0</v>
      </c>
      <c r="E48" s="42">
        <f t="shared" si="4"/>
        <v>0</v>
      </c>
      <c r="F48" s="43">
        <f>'05 - PS 03.3 - Systém říz...'!M34</f>
        <v>0</v>
      </c>
      <c r="G48" s="44">
        <f t="shared" si="1"/>
        <v>1</v>
      </c>
      <c r="H48" s="45">
        <f t="shared" si="5"/>
        <v>0</v>
      </c>
      <c r="L48" s="57"/>
    </row>
    <row r="49" spans="1:12" s="53" customFormat="1" ht="20.100000000000001" customHeight="1" x14ac:dyDescent="0.2">
      <c r="B49" s="54" t="s">
        <v>20</v>
      </c>
      <c r="C49" s="55" t="s">
        <v>59</v>
      </c>
      <c r="D49" s="56">
        <v>22067.74</v>
      </c>
      <c r="E49" s="42">
        <f t="shared" si="4"/>
        <v>-0.28789898739064357</v>
      </c>
      <c r="F49" s="43">
        <f>'07 - SO 03.1 - Přípojka N...'!M29</f>
        <v>-6353.2800000000007</v>
      </c>
      <c r="G49" s="44">
        <f t="shared" si="1"/>
        <v>0.71210101260935643</v>
      </c>
      <c r="H49" s="45">
        <f t="shared" si="5"/>
        <v>28421.02</v>
      </c>
      <c r="L49" s="57"/>
    </row>
    <row r="50" spans="1:12" s="53" customFormat="1" ht="20.100000000000001" customHeight="1" x14ac:dyDescent="0.2">
      <c r="B50" s="54" t="s">
        <v>22</v>
      </c>
      <c r="C50" s="55" t="s">
        <v>60</v>
      </c>
      <c r="D50" s="56">
        <v>1931265</v>
      </c>
      <c r="E50" s="42">
        <f t="shared" si="4"/>
        <v>0</v>
      </c>
      <c r="F50" s="43">
        <f>'08 - VRN'!M35</f>
        <v>0</v>
      </c>
      <c r="G50" s="44">
        <f t="shared" si="1"/>
        <v>1</v>
      </c>
      <c r="H50" s="45">
        <f t="shared" si="5"/>
        <v>1931265</v>
      </c>
      <c r="L50" s="57"/>
    </row>
    <row r="51" spans="1:12" s="58" customFormat="1" ht="20.100000000000001" customHeight="1" x14ac:dyDescent="0.2">
      <c r="B51" s="144"/>
      <c r="C51" s="145" t="str">
        <f>+B13</f>
        <v>Náklady stavby celkem</v>
      </c>
      <c r="D51" s="146">
        <f>ROUND(SUBTOTAL(9,D13:D50),2)</f>
        <v>53643455.670000002</v>
      </c>
      <c r="E51" s="105"/>
      <c r="F51" s="146">
        <f>SUM(F15:F50)</f>
        <v>73197.849759367877</v>
      </c>
      <c r="G51" s="146"/>
      <c r="H51" s="146">
        <f t="shared" ref="H51" si="6">SUM(H15:H50)</f>
        <v>53728654.017668217</v>
      </c>
    </row>
    <row r="52" spans="1:12" s="58" customFormat="1" ht="20.100000000000001" customHeight="1" x14ac:dyDescent="0.2">
      <c r="B52" s="58" t="s">
        <v>994</v>
      </c>
      <c r="D52" s="59"/>
      <c r="G52" s="58" t="s">
        <v>995</v>
      </c>
    </row>
    <row r="53" spans="1:12" s="109" customFormat="1" ht="17.25" customHeight="1" x14ac:dyDescent="0.2">
      <c r="A53" s="97"/>
      <c r="B53" s="97"/>
      <c r="C53" s="97"/>
      <c r="D53" s="97"/>
      <c r="F53" s="177"/>
      <c r="H53" s="314"/>
    </row>
    <row r="54" spans="1:12" s="58" customFormat="1" ht="20.100000000000001" customHeight="1" x14ac:dyDescent="0.2">
      <c r="B54"/>
      <c r="C54" s="315" t="s">
        <v>1273</v>
      </c>
      <c r="D54" s="316" t="s">
        <v>1270</v>
      </c>
      <c r="E54" s="317"/>
      <c r="F54"/>
      <c r="G54" s="318" t="s">
        <v>1271</v>
      </c>
    </row>
    <row r="55" spans="1:12" ht="15.75" x14ac:dyDescent="0.2">
      <c r="B55"/>
      <c r="C55" s="315"/>
      <c r="D55" s="316"/>
      <c r="E55" s="317"/>
      <c r="F55"/>
      <c r="G55" s="318"/>
    </row>
    <row r="56" spans="1:12" ht="15.75" x14ac:dyDescent="0.2">
      <c r="B56"/>
      <c r="C56" s="315" t="s">
        <v>1272</v>
      </c>
      <c r="D56" s="316" t="s">
        <v>988</v>
      </c>
      <c r="E56" s="317"/>
      <c r="F56"/>
      <c r="G56" s="315" t="s">
        <v>988</v>
      </c>
    </row>
    <row r="57" spans="1:12" x14ac:dyDescent="0.2">
      <c r="B57"/>
      <c r="C57"/>
      <c r="D57"/>
      <c r="E57"/>
      <c r="F57"/>
      <c r="G57"/>
    </row>
  </sheetData>
  <autoFilter ref="B11:H50" xr:uid="{64DC46A0-D564-410D-9C17-10C0B29044FD}">
    <filterColumn colId="3" showButton="0"/>
    <filterColumn colId="5" showButton="0"/>
  </autoFilter>
  <mergeCells count="4">
    <mergeCell ref="G10:H10"/>
    <mergeCell ref="E11:F11"/>
    <mergeCell ref="G11:H11"/>
    <mergeCell ref="E10:F10"/>
  </mergeCells>
  <conditionalFormatting sqref="D3">
    <cfRule type="cellIs" dxfId="330" priority="2" operator="lessThan">
      <formula>0</formula>
    </cfRule>
  </conditionalFormatting>
  <conditionalFormatting sqref="D2">
    <cfRule type="cellIs" dxfId="329" priority="3" operator="lessThan">
      <formula>0</formula>
    </cfRule>
  </conditionalFormatting>
  <pageMargins left="0.39370078740157483" right="0.39370078740157483" top="0.39370078740157483" bottom="0.39370078740157483" header="0" footer="0"/>
  <pageSetup paperSize="9" scale="70" fitToHeight="2" orientation="portrait" r:id="rId1"/>
  <headerFooter>
    <oddFooter>&amp;CStrana &amp;P z &amp;N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00B0F0"/>
    <pageSetUpPr fitToPage="1"/>
  </sheetPr>
  <dimension ref="A1:AC94"/>
  <sheetViews>
    <sheetView showGridLines="0" view="pageBreakPreview" topLeftCell="F79" zoomScale="85" zoomScaleNormal="100" zoomScaleSheetLayoutView="85" workbookViewId="0">
      <selection activeCell="J94" sqref="J94"/>
    </sheetView>
  </sheetViews>
  <sheetFormatPr defaultColWidth="9.33203125" defaultRowHeight="11.25" x14ac:dyDescent="0.2"/>
  <cols>
    <col min="1" max="1" width="8.33203125" style="60" customWidth="1"/>
    <col min="2" max="2" width="1.6640625" style="60" customWidth="1"/>
    <col min="3" max="3" width="4.1640625" style="60" customWidth="1"/>
    <col min="4" max="4" width="4.33203125" style="60" customWidth="1"/>
    <col min="5" max="5" width="17.1640625" style="60" customWidth="1"/>
    <col min="6" max="6" width="50.83203125" style="60" customWidth="1"/>
    <col min="7" max="7" width="7" style="60" customWidth="1"/>
    <col min="8" max="8" width="11.5" style="60" customWidth="1"/>
    <col min="9" max="9" width="20.1640625" style="60" customWidth="1"/>
    <col min="10" max="10" width="23.6640625" style="60" bestFit="1" customWidth="1"/>
    <col min="11" max="11" width="10.6640625" style="60" customWidth="1"/>
    <col min="12" max="12" width="13.83203125" style="60" customWidth="1"/>
    <col min="13" max="13" width="17.83203125" style="60" bestFit="1" customWidth="1"/>
    <col min="14" max="14" width="10.6640625" style="60" customWidth="1"/>
    <col min="15" max="15" width="21.6640625" style="60" bestFit="1" customWidth="1"/>
    <col min="16" max="16" width="20.33203125" style="60" bestFit="1" customWidth="1"/>
    <col min="17" max="17" width="24.33203125" style="60" bestFit="1" customWidth="1"/>
    <col min="18" max="18" width="46.1640625" style="60" bestFit="1" customWidth="1"/>
    <col min="19" max="19" width="3.83203125" style="60" bestFit="1" customWidth="1"/>
    <col min="20" max="20" width="24.33203125" style="60" bestFit="1" customWidth="1"/>
    <col min="21" max="21" width="9" style="60" bestFit="1" customWidth="1"/>
    <col min="22" max="22" width="0" style="60" hidden="1" customWidth="1"/>
    <col min="23" max="23" width="20.5" style="60" bestFit="1" customWidth="1"/>
    <col min="24" max="25" width="0" style="60" hidden="1" customWidth="1"/>
    <col min="26" max="26" width="18.1640625" style="60" bestFit="1" customWidth="1"/>
    <col min="27" max="27" width="13.6640625" style="60" bestFit="1" customWidth="1"/>
    <col min="28" max="28" width="14.6640625" style="60" bestFit="1" customWidth="1"/>
    <col min="29" max="29" width="10.1640625" style="60" hidden="1" customWidth="1"/>
    <col min="30" max="16384" width="9.33203125" style="60"/>
  </cols>
  <sheetData>
    <row r="1" spans="1:26" ht="15" x14ac:dyDescent="0.2">
      <c r="F1" s="3"/>
      <c r="G1" s="4"/>
      <c r="H1" s="1"/>
      <c r="J1" s="61"/>
    </row>
    <row r="2" spans="1:26" s="1" customFormat="1" ht="15" x14ac:dyDescent="0.2">
      <c r="E2" s="2"/>
      <c r="F2" s="3" t="s">
        <v>979</v>
      </c>
      <c r="G2" s="4" t="s">
        <v>1058</v>
      </c>
      <c r="I2" s="5"/>
      <c r="J2" s="63"/>
      <c r="K2" s="10"/>
      <c r="L2" s="11"/>
      <c r="M2" s="11"/>
      <c r="N2" s="64"/>
    </row>
    <row r="3" spans="1:26" s="1" customFormat="1" ht="15" x14ac:dyDescent="0.2">
      <c r="E3" s="2"/>
      <c r="F3" s="3" t="s">
        <v>980</v>
      </c>
      <c r="G3" s="4" t="str">
        <f>+'Rekapitulace stavby'!D2</f>
        <v>ÚHERCE, výstavba kanalizace - UZNATELNÉ NÁKLADY - doměrky</v>
      </c>
      <c r="H3" s="2"/>
      <c r="I3" s="5"/>
      <c r="J3" s="63"/>
      <c r="K3" s="10"/>
      <c r="L3" s="11"/>
      <c r="M3" s="11"/>
      <c r="N3" s="64"/>
    </row>
    <row r="4" spans="1:26" s="2" customFormat="1" ht="15" x14ac:dyDescent="0.2">
      <c r="F4" s="12" t="s">
        <v>981</v>
      </c>
      <c r="G4" s="13" t="str">
        <f>'[1]VRN 01'!G5</f>
        <v>VRI/SOD/2020/Ži</v>
      </c>
      <c r="I4" s="5"/>
      <c r="J4" s="65"/>
      <c r="K4" s="18"/>
      <c r="L4" s="19"/>
      <c r="M4" s="19"/>
      <c r="N4" s="66"/>
    </row>
    <row r="5" spans="1:26" s="2" customFormat="1" ht="15" x14ac:dyDescent="0.2">
      <c r="F5" s="12" t="s">
        <v>983</v>
      </c>
      <c r="G5" s="13" t="s">
        <v>1001</v>
      </c>
      <c r="I5" s="5"/>
      <c r="J5" s="65"/>
      <c r="K5" s="18"/>
      <c r="L5" s="19"/>
      <c r="M5" s="19"/>
      <c r="N5" s="66"/>
    </row>
    <row r="6" spans="1:26" s="2" customFormat="1" ht="15" x14ac:dyDescent="0.2">
      <c r="F6" s="3" t="s">
        <v>984</v>
      </c>
      <c r="G6" s="13" t="str">
        <f>'[1]VRN 01'!G7</f>
        <v>Vododvody a kanalizace Mladá Boleslav, a.s.</v>
      </c>
      <c r="I6" s="5"/>
      <c r="J6" s="65"/>
      <c r="K6" s="18"/>
      <c r="L6" s="19"/>
      <c r="M6" s="19"/>
      <c r="N6" s="66"/>
    </row>
    <row r="7" spans="1:26" s="2" customFormat="1" ht="15" x14ac:dyDescent="0.2">
      <c r="F7" s="3" t="s">
        <v>986</v>
      </c>
      <c r="G7" s="20" t="str">
        <f>'[1]VRN 01'!G8</f>
        <v>VCES a.s.</v>
      </c>
      <c r="H7" s="67"/>
      <c r="I7" s="5"/>
      <c r="J7" s="65"/>
      <c r="K7" s="18"/>
      <c r="L7" s="19"/>
      <c r="M7" s="19"/>
      <c r="N7" s="66"/>
    </row>
    <row r="8" spans="1:26" s="68" customFormat="1" ht="12.75" x14ac:dyDescent="0.2">
      <c r="D8" s="69"/>
      <c r="F8" s="3"/>
      <c r="G8" s="20"/>
      <c r="H8" s="67"/>
      <c r="K8" s="72" t="s">
        <v>996</v>
      </c>
      <c r="L8" s="73" t="str">
        <f>+C12</f>
        <v>09 - SO 01.I - Stoka A.3</v>
      </c>
      <c r="M8" s="73"/>
      <c r="O8" s="74"/>
    </row>
    <row r="9" spans="1:26" s="75" customFormat="1" ht="12.75" customHeight="1" x14ac:dyDescent="0.2">
      <c r="C9" s="76"/>
      <c r="D9" s="77"/>
      <c r="E9" s="77"/>
      <c r="F9" s="77"/>
      <c r="G9" s="77"/>
      <c r="H9" s="77"/>
      <c r="I9" s="78"/>
      <c r="J9" s="79"/>
      <c r="K9" s="332" t="s">
        <v>1266</v>
      </c>
      <c r="L9" s="332"/>
      <c r="M9" s="332"/>
      <c r="N9" s="339" t="s">
        <v>1267</v>
      </c>
      <c r="O9" s="339"/>
      <c r="P9" s="340"/>
    </row>
    <row r="10" spans="1:26" s="75" customFormat="1" ht="12.75" customHeight="1" x14ac:dyDescent="0.2">
      <c r="C10" s="80"/>
      <c r="D10" s="81" t="s">
        <v>997</v>
      </c>
      <c r="E10" s="81" t="s">
        <v>976</v>
      </c>
      <c r="F10" s="81" t="s">
        <v>977</v>
      </c>
      <c r="G10" s="81" t="s">
        <v>64</v>
      </c>
      <c r="H10" s="82" t="s">
        <v>65</v>
      </c>
      <c r="I10" s="83" t="s">
        <v>998</v>
      </c>
      <c r="J10" s="84" t="s">
        <v>978</v>
      </c>
      <c r="K10" s="218" t="s">
        <v>999</v>
      </c>
      <c r="L10" s="219" t="s">
        <v>1260</v>
      </c>
      <c r="M10" s="220" t="s">
        <v>978</v>
      </c>
      <c r="N10" s="263" t="s">
        <v>1264</v>
      </c>
      <c r="O10" s="264" t="s">
        <v>1260</v>
      </c>
      <c r="P10" s="265" t="s">
        <v>978</v>
      </c>
      <c r="Q10" s="157" t="s">
        <v>1012</v>
      </c>
      <c r="R10" s="157" t="s">
        <v>1019</v>
      </c>
      <c r="T10" s="157" t="s">
        <v>1083</v>
      </c>
      <c r="W10" s="157" t="s">
        <v>1132</v>
      </c>
      <c r="Z10" s="75" t="s">
        <v>1211</v>
      </c>
    </row>
    <row r="11" spans="1:26" s="109" customFormat="1" x14ac:dyDescent="0.2">
      <c r="A11" s="97"/>
      <c r="B11" s="97"/>
      <c r="C11" s="97"/>
      <c r="D11" s="97"/>
      <c r="E11" s="97"/>
      <c r="F11" s="97"/>
      <c r="G11" s="97"/>
      <c r="H11" s="97"/>
      <c r="I11" s="97"/>
      <c r="J11" s="97"/>
    </row>
    <row r="12" spans="1:26" s="109" customFormat="1" ht="15.75" x14ac:dyDescent="0.25">
      <c r="A12" s="97"/>
      <c r="B12" s="97"/>
      <c r="C12" s="98" t="s">
        <v>376</v>
      </c>
      <c r="D12" s="97"/>
      <c r="E12" s="97"/>
      <c r="F12" s="97"/>
      <c r="G12" s="97"/>
      <c r="H12" s="97"/>
      <c r="I12" s="97"/>
      <c r="J12" s="99">
        <v>964555.67</v>
      </c>
      <c r="R12" s="327" t="s">
        <v>1025</v>
      </c>
      <c r="S12" s="342" t="s">
        <v>1003</v>
      </c>
    </row>
    <row r="13" spans="1:26" s="110" customFormat="1" ht="15" x14ac:dyDescent="0.2">
      <c r="D13" s="111" t="s">
        <v>3</v>
      </c>
      <c r="E13" s="112" t="s">
        <v>66</v>
      </c>
      <c r="F13" s="112" t="s">
        <v>67</v>
      </c>
      <c r="J13" s="113">
        <v>964555.67</v>
      </c>
      <c r="R13" s="327"/>
      <c r="S13" s="342"/>
    </row>
    <row r="14" spans="1:26" s="110" customFormat="1" ht="12.75" x14ac:dyDescent="0.2">
      <c r="C14" s="252"/>
      <c r="D14" s="253" t="s">
        <v>3</v>
      </c>
      <c r="E14" s="254" t="s">
        <v>7</v>
      </c>
      <c r="F14" s="254" t="s">
        <v>68</v>
      </c>
      <c r="G14" s="252"/>
      <c r="H14" s="252"/>
      <c r="I14" s="252"/>
      <c r="J14" s="255">
        <v>374675.08000000007</v>
      </c>
      <c r="K14" s="284" t="str">
        <f>IF(ISBLANK(H14),"",SUM(#REF!+#REF!+#REF!+#REF!+#REF!+#REF!+#REF!+#REF!+#REF!+#REF!+#REF!,#REF!,#REF!,#REF!,#REF!,#REF!,#REF!,#REF!,#REF!,#REF!,#REF!,#REF!))</f>
        <v/>
      </c>
      <c r="L14" s="285" t="str">
        <f>IF(ISBLANK(H14),"",SUM(#REF!+#REF!+#REF!+#REF!+#REF!+#REF!+#REF!+#REF!+#REF!+#REF!+#REF!,#REF!,#REF!,#REF!,#REF!,#REF!,#REF!,#REF!,#REF!,#REF!,#REF!,#REF!,#REF!))</f>
        <v/>
      </c>
      <c r="M14" s="287">
        <f>SUM(M15:M38)</f>
        <v>-2421.6945999999998</v>
      </c>
      <c r="N14" s="286" t="str">
        <f>IF(ISBLANK(H14),"",H14-K14)</f>
        <v/>
      </c>
      <c r="O14" s="285" t="str">
        <f>IF(ISBLANK(H14),"",J14-L14)</f>
        <v/>
      </c>
      <c r="P14" s="287">
        <f>SUM(P15:P38)</f>
        <v>372253.39220999996</v>
      </c>
      <c r="Q14" s="176" t="s">
        <v>1003</v>
      </c>
      <c r="R14" s="327"/>
      <c r="S14" s="342"/>
    </row>
    <row r="15" spans="1:26" s="109" customFormat="1" ht="60" x14ac:dyDescent="0.2">
      <c r="A15" s="97"/>
      <c r="B15" s="116"/>
      <c r="C15" s="117" t="s">
        <v>7</v>
      </c>
      <c r="D15" s="117" t="s">
        <v>69</v>
      </c>
      <c r="E15" s="118" t="s">
        <v>79</v>
      </c>
      <c r="F15" s="119" t="s">
        <v>80</v>
      </c>
      <c r="G15" s="120" t="s">
        <v>72</v>
      </c>
      <c r="H15" s="121">
        <v>92.168999999999997</v>
      </c>
      <c r="I15" s="122">
        <v>26.3</v>
      </c>
      <c r="J15" s="122">
        <v>2424.04</v>
      </c>
      <c r="K15" s="85">
        <v>0</v>
      </c>
      <c r="L15" s="86">
        <f>I15</f>
        <v>26.3</v>
      </c>
      <c r="M15" s="277">
        <f>K15*L15</f>
        <v>0</v>
      </c>
      <c r="N15" s="87">
        <f>H15+K15</f>
        <v>92.168999999999997</v>
      </c>
      <c r="O15" s="88">
        <f>I15</f>
        <v>26.3</v>
      </c>
      <c r="P15" s="278">
        <f>N15*O15</f>
        <v>2424.0446999999999</v>
      </c>
      <c r="R15" s="109" t="s">
        <v>1034</v>
      </c>
    </row>
    <row r="16" spans="1:26" s="109" customFormat="1" ht="60" x14ac:dyDescent="0.2">
      <c r="A16" s="97"/>
      <c r="B16" s="116"/>
      <c r="C16" s="117" t="s">
        <v>8</v>
      </c>
      <c r="D16" s="117" t="s">
        <v>69</v>
      </c>
      <c r="E16" s="118" t="s">
        <v>74</v>
      </c>
      <c r="F16" s="119" t="s">
        <v>75</v>
      </c>
      <c r="G16" s="120" t="s">
        <v>72</v>
      </c>
      <c r="H16" s="121">
        <v>86.119</v>
      </c>
      <c r="I16" s="122">
        <v>40.770000000000003</v>
      </c>
      <c r="J16" s="122">
        <v>3511.07</v>
      </c>
      <c r="K16" s="85">
        <v>0</v>
      </c>
      <c r="L16" s="86">
        <f t="shared" ref="L16:L79" si="0">I16</f>
        <v>40.770000000000003</v>
      </c>
      <c r="M16" s="277">
        <f t="shared" ref="M16:M79" si="1">K16*L16</f>
        <v>0</v>
      </c>
      <c r="N16" s="87">
        <f t="shared" ref="N16:N79" si="2">H16+K16</f>
        <v>86.119</v>
      </c>
      <c r="O16" s="88">
        <f t="shared" ref="O16:O79" si="3">I16</f>
        <v>40.770000000000003</v>
      </c>
      <c r="P16" s="278">
        <f t="shared" ref="P16:P79" si="4">N16*O16</f>
        <v>3511.0716300000004</v>
      </c>
    </row>
    <row r="17" spans="1:21" s="109" customFormat="1" ht="60" x14ac:dyDescent="0.2">
      <c r="A17" s="97"/>
      <c r="B17" s="116"/>
      <c r="C17" s="117" t="s">
        <v>76</v>
      </c>
      <c r="D17" s="117" t="s">
        <v>69</v>
      </c>
      <c r="E17" s="118" t="s">
        <v>314</v>
      </c>
      <c r="F17" s="119" t="s">
        <v>315</v>
      </c>
      <c r="G17" s="120" t="s">
        <v>72</v>
      </c>
      <c r="H17" s="121">
        <v>6.05</v>
      </c>
      <c r="I17" s="122">
        <v>519.33000000000004</v>
      </c>
      <c r="J17" s="122">
        <v>3141.95</v>
      </c>
      <c r="K17" s="85">
        <v>0</v>
      </c>
      <c r="L17" s="86">
        <f t="shared" si="0"/>
        <v>519.33000000000004</v>
      </c>
      <c r="M17" s="277">
        <f t="shared" si="1"/>
        <v>0</v>
      </c>
      <c r="N17" s="87">
        <f t="shared" si="2"/>
        <v>6.05</v>
      </c>
      <c r="O17" s="88">
        <f t="shared" si="3"/>
        <v>519.33000000000004</v>
      </c>
      <c r="P17" s="278">
        <f t="shared" si="4"/>
        <v>3141.9465</v>
      </c>
    </row>
    <row r="18" spans="1:21" s="109" customFormat="1" ht="60" x14ac:dyDescent="0.2">
      <c r="A18" s="97"/>
      <c r="B18" s="116"/>
      <c r="C18" s="117" t="s">
        <v>73</v>
      </c>
      <c r="D18" s="117" t="s">
        <v>69</v>
      </c>
      <c r="E18" s="118" t="s">
        <v>82</v>
      </c>
      <c r="F18" s="119" t="s">
        <v>83</v>
      </c>
      <c r="G18" s="120" t="s">
        <v>72</v>
      </c>
      <c r="H18" s="121">
        <v>86.119</v>
      </c>
      <c r="I18" s="122">
        <v>39.46</v>
      </c>
      <c r="J18" s="122">
        <v>3398.26</v>
      </c>
      <c r="K18" s="85">
        <v>0</v>
      </c>
      <c r="L18" s="86">
        <f t="shared" si="0"/>
        <v>39.46</v>
      </c>
      <c r="M18" s="277">
        <f t="shared" si="1"/>
        <v>0</v>
      </c>
      <c r="N18" s="87">
        <f t="shared" si="2"/>
        <v>86.119</v>
      </c>
      <c r="O18" s="88">
        <f t="shared" si="3"/>
        <v>39.46</v>
      </c>
      <c r="P18" s="278">
        <f t="shared" si="4"/>
        <v>3398.2557400000001</v>
      </c>
    </row>
    <row r="19" spans="1:21" s="109" customFormat="1" ht="60" x14ac:dyDescent="0.2">
      <c r="A19" s="97"/>
      <c r="B19" s="116"/>
      <c r="C19" s="117" t="s">
        <v>81</v>
      </c>
      <c r="D19" s="117" t="s">
        <v>69</v>
      </c>
      <c r="E19" s="118" t="s">
        <v>316</v>
      </c>
      <c r="F19" s="119" t="s">
        <v>317</v>
      </c>
      <c r="G19" s="120" t="s">
        <v>72</v>
      </c>
      <c r="H19" s="121">
        <v>6.05</v>
      </c>
      <c r="I19" s="122">
        <v>77.599999999999994</v>
      </c>
      <c r="J19" s="122">
        <v>469.48</v>
      </c>
      <c r="K19" s="85">
        <v>0</v>
      </c>
      <c r="L19" s="86">
        <f t="shared" si="0"/>
        <v>77.599999999999994</v>
      </c>
      <c r="M19" s="277">
        <f t="shared" si="1"/>
        <v>0</v>
      </c>
      <c r="N19" s="87">
        <f t="shared" si="2"/>
        <v>6.05</v>
      </c>
      <c r="O19" s="88">
        <f t="shared" si="3"/>
        <v>77.599999999999994</v>
      </c>
      <c r="P19" s="278">
        <f t="shared" si="4"/>
        <v>469.47999999999996</v>
      </c>
    </row>
    <row r="20" spans="1:21" s="109" customFormat="1" ht="48" x14ac:dyDescent="0.2">
      <c r="A20" s="97"/>
      <c r="B20" s="116"/>
      <c r="C20" s="117" t="s">
        <v>84</v>
      </c>
      <c r="D20" s="117" t="s">
        <v>69</v>
      </c>
      <c r="E20" s="118" t="s">
        <v>85</v>
      </c>
      <c r="F20" s="119" t="s">
        <v>86</v>
      </c>
      <c r="G20" s="120" t="s">
        <v>72</v>
      </c>
      <c r="H20" s="121">
        <v>144.643</v>
      </c>
      <c r="I20" s="122">
        <v>55.24</v>
      </c>
      <c r="J20" s="122">
        <v>7990.08</v>
      </c>
      <c r="K20" s="85">
        <v>0</v>
      </c>
      <c r="L20" s="86">
        <f t="shared" si="0"/>
        <v>55.24</v>
      </c>
      <c r="M20" s="277">
        <f t="shared" si="1"/>
        <v>0</v>
      </c>
      <c r="N20" s="87">
        <f t="shared" si="2"/>
        <v>144.643</v>
      </c>
      <c r="O20" s="88">
        <f t="shared" si="3"/>
        <v>55.24</v>
      </c>
      <c r="P20" s="278">
        <f t="shared" si="4"/>
        <v>7990.0793200000007</v>
      </c>
    </row>
    <row r="21" spans="1:21" s="109" customFormat="1" ht="84" x14ac:dyDescent="0.2">
      <c r="A21" s="97"/>
      <c r="B21" s="116"/>
      <c r="C21" s="117" t="s">
        <v>87</v>
      </c>
      <c r="D21" s="117" t="s">
        <v>69</v>
      </c>
      <c r="E21" s="118" t="s">
        <v>88</v>
      </c>
      <c r="F21" s="119" t="s">
        <v>89</v>
      </c>
      <c r="G21" s="120" t="s">
        <v>61</v>
      </c>
      <c r="H21" s="121">
        <v>2.2000000000000002</v>
      </c>
      <c r="I21" s="122">
        <v>170.98</v>
      </c>
      <c r="J21" s="122">
        <v>376.16</v>
      </c>
      <c r="K21" s="85">
        <f>ROUND(83.1/83.71*Q21-Q21,2)</f>
        <v>-0.01</v>
      </c>
      <c r="L21" s="86">
        <f t="shared" si="0"/>
        <v>170.98</v>
      </c>
      <c r="M21" s="277">
        <f t="shared" si="1"/>
        <v>-1.7098</v>
      </c>
      <c r="N21" s="87">
        <f t="shared" si="2"/>
        <v>2.1900000000000004</v>
      </c>
      <c r="O21" s="88">
        <f t="shared" si="3"/>
        <v>170.98</v>
      </c>
      <c r="P21" s="278">
        <f t="shared" si="4"/>
        <v>374.44620000000003</v>
      </c>
      <c r="Q21" s="109">
        <f>ROUND(83.71/89.79*H21,2)</f>
        <v>2.0499999999999998</v>
      </c>
    </row>
    <row r="22" spans="1:21" s="109" customFormat="1" ht="12" x14ac:dyDescent="0.2">
      <c r="A22" s="97"/>
      <c r="B22" s="116"/>
      <c r="C22" s="117" t="s">
        <v>90</v>
      </c>
      <c r="D22" s="117" t="s">
        <v>69</v>
      </c>
      <c r="E22" s="118" t="s">
        <v>377</v>
      </c>
      <c r="F22" s="119" t="s">
        <v>321</v>
      </c>
      <c r="G22" s="120" t="s">
        <v>322</v>
      </c>
      <c r="H22" s="121">
        <v>1</v>
      </c>
      <c r="I22" s="122">
        <v>6576.1</v>
      </c>
      <c r="J22" s="122">
        <v>6576.1</v>
      </c>
      <c r="K22" s="85">
        <f t="shared" ref="K22:K40" si="5">ROUND(83.1/83.71*Q22-Q22,2)</f>
        <v>-0.01</v>
      </c>
      <c r="L22" s="86">
        <f t="shared" si="0"/>
        <v>6576.1</v>
      </c>
      <c r="M22" s="277">
        <f t="shared" si="1"/>
        <v>-65.76100000000001</v>
      </c>
      <c r="N22" s="87">
        <f t="shared" si="2"/>
        <v>0.99</v>
      </c>
      <c r="O22" s="88">
        <f t="shared" si="3"/>
        <v>6576.1</v>
      </c>
      <c r="P22" s="278">
        <f t="shared" si="4"/>
        <v>6510.3389999999999</v>
      </c>
      <c r="Q22" s="109">
        <f t="shared" ref="Q22:Q85" si="6">ROUND(83.71/89.79*H22,2)</f>
        <v>0.93</v>
      </c>
    </row>
    <row r="23" spans="1:21" s="109" customFormat="1" ht="84" x14ac:dyDescent="0.2">
      <c r="A23" s="97"/>
      <c r="B23" s="116"/>
      <c r="C23" s="117" t="s">
        <v>93</v>
      </c>
      <c r="D23" s="117" t="s">
        <v>69</v>
      </c>
      <c r="E23" s="118" t="s">
        <v>91</v>
      </c>
      <c r="F23" s="119" t="s">
        <v>92</v>
      </c>
      <c r="G23" s="120" t="s">
        <v>61</v>
      </c>
      <c r="H23" s="121">
        <v>1.1000000000000001</v>
      </c>
      <c r="I23" s="122">
        <v>147.30000000000001</v>
      </c>
      <c r="J23" s="122">
        <v>162.03</v>
      </c>
      <c r="K23" s="85">
        <f t="shared" si="5"/>
        <v>-0.01</v>
      </c>
      <c r="L23" s="86">
        <f t="shared" si="0"/>
        <v>147.30000000000001</v>
      </c>
      <c r="M23" s="277">
        <f t="shared" si="1"/>
        <v>-1.4730000000000001</v>
      </c>
      <c r="N23" s="87">
        <f t="shared" si="2"/>
        <v>1.0900000000000001</v>
      </c>
      <c r="O23" s="88">
        <f t="shared" si="3"/>
        <v>147.30000000000001</v>
      </c>
      <c r="P23" s="278">
        <f t="shared" si="4"/>
        <v>160.55700000000002</v>
      </c>
      <c r="Q23" s="109">
        <f t="shared" si="6"/>
        <v>1.03</v>
      </c>
    </row>
    <row r="24" spans="1:21" s="109" customFormat="1" ht="36" x14ac:dyDescent="0.2">
      <c r="A24" s="97"/>
      <c r="B24" s="116"/>
      <c r="C24" s="117" t="s">
        <v>26</v>
      </c>
      <c r="D24" s="117" t="s">
        <v>69</v>
      </c>
      <c r="E24" s="118" t="s">
        <v>94</v>
      </c>
      <c r="F24" s="119" t="s">
        <v>95</v>
      </c>
      <c r="G24" s="120" t="s">
        <v>62</v>
      </c>
      <c r="H24" s="121">
        <v>14.69</v>
      </c>
      <c r="I24" s="122">
        <v>257.77999999999997</v>
      </c>
      <c r="J24" s="122">
        <v>3786.79</v>
      </c>
      <c r="K24" s="85">
        <f t="shared" si="5"/>
        <v>-0.1</v>
      </c>
      <c r="L24" s="86">
        <f t="shared" si="0"/>
        <v>257.77999999999997</v>
      </c>
      <c r="M24" s="277">
        <f t="shared" si="1"/>
        <v>-25.777999999999999</v>
      </c>
      <c r="N24" s="87">
        <f t="shared" si="2"/>
        <v>14.59</v>
      </c>
      <c r="O24" s="88">
        <f t="shared" si="3"/>
        <v>257.77999999999997</v>
      </c>
      <c r="P24" s="278">
        <f t="shared" si="4"/>
        <v>3761.0101999999997</v>
      </c>
      <c r="Q24" s="109">
        <f t="shared" si="6"/>
        <v>13.7</v>
      </c>
    </row>
    <row r="25" spans="1:21" s="109" customFormat="1" ht="48" x14ac:dyDescent="0.2">
      <c r="A25" s="97"/>
      <c r="B25" s="116"/>
      <c r="C25" s="117" t="s">
        <v>28</v>
      </c>
      <c r="D25" s="117" t="s">
        <v>69</v>
      </c>
      <c r="E25" s="118" t="s">
        <v>96</v>
      </c>
      <c r="F25" s="119" t="s">
        <v>97</v>
      </c>
      <c r="G25" s="120" t="s">
        <v>62</v>
      </c>
      <c r="H25" s="121">
        <v>48.96</v>
      </c>
      <c r="I25" s="122">
        <v>234.11</v>
      </c>
      <c r="J25" s="122">
        <v>11462.03</v>
      </c>
      <c r="K25" s="85">
        <f t="shared" si="5"/>
        <v>-0.33</v>
      </c>
      <c r="L25" s="86">
        <f t="shared" si="0"/>
        <v>234.11</v>
      </c>
      <c r="M25" s="277">
        <f t="shared" si="1"/>
        <v>-77.25630000000001</v>
      </c>
      <c r="N25" s="87">
        <f t="shared" si="2"/>
        <v>48.63</v>
      </c>
      <c r="O25" s="88">
        <f t="shared" si="3"/>
        <v>234.11</v>
      </c>
      <c r="P25" s="278">
        <f t="shared" si="4"/>
        <v>11384.769300000002</v>
      </c>
      <c r="Q25" s="109">
        <f t="shared" si="6"/>
        <v>45.64</v>
      </c>
    </row>
    <row r="26" spans="1:21" s="109" customFormat="1" ht="48" x14ac:dyDescent="0.2">
      <c r="A26" s="97"/>
      <c r="B26" s="116"/>
      <c r="C26" s="117" t="s">
        <v>30</v>
      </c>
      <c r="D26" s="117" t="s">
        <v>69</v>
      </c>
      <c r="E26" s="118" t="s">
        <v>98</v>
      </c>
      <c r="F26" s="119" t="s">
        <v>99</v>
      </c>
      <c r="G26" s="120" t="s">
        <v>62</v>
      </c>
      <c r="H26" s="121">
        <v>85.68</v>
      </c>
      <c r="I26" s="122">
        <v>257.77999999999997</v>
      </c>
      <c r="J26" s="122">
        <v>22086.59</v>
      </c>
      <c r="K26" s="85">
        <f t="shared" si="5"/>
        <v>-0.57999999999999996</v>
      </c>
      <c r="L26" s="86">
        <f t="shared" si="0"/>
        <v>257.77999999999997</v>
      </c>
      <c r="M26" s="277">
        <f t="shared" si="1"/>
        <v>-149.51239999999999</v>
      </c>
      <c r="N26" s="87">
        <f t="shared" si="2"/>
        <v>85.100000000000009</v>
      </c>
      <c r="O26" s="88">
        <f t="shared" si="3"/>
        <v>257.77999999999997</v>
      </c>
      <c r="P26" s="278">
        <f t="shared" si="4"/>
        <v>21937.078000000001</v>
      </c>
      <c r="Q26" s="109">
        <f t="shared" si="6"/>
        <v>79.88</v>
      </c>
    </row>
    <row r="27" spans="1:21" s="109" customFormat="1" ht="48" x14ac:dyDescent="0.2">
      <c r="A27" s="97"/>
      <c r="B27" s="116"/>
      <c r="C27" s="117" t="s">
        <v>32</v>
      </c>
      <c r="D27" s="117" t="s">
        <v>69</v>
      </c>
      <c r="E27" s="118" t="s">
        <v>100</v>
      </c>
      <c r="F27" s="119" t="s">
        <v>101</v>
      </c>
      <c r="G27" s="120" t="s">
        <v>62</v>
      </c>
      <c r="H27" s="121">
        <v>110.16</v>
      </c>
      <c r="I27" s="122">
        <v>315.64999999999998</v>
      </c>
      <c r="J27" s="122">
        <v>34772</v>
      </c>
      <c r="K27" s="85">
        <f t="shared" si="5"/>
        <v>-0.75</v>
      </c>
      <c r="L27" s="86">
        <f t="shared" si="0"/>
        <v>315.64999999999998</v>
      </c>
      <c r="M27" s="277">
        <f t="shared" si="1"/>
        <v>-236.73749999999998</v>
      </c>
      <c r="N27" s="87">
        <f t="shared" si="2"/>
        <v>109.41</v>
      </c>
      <c r="O27" s="88">
        <f t="shared" si="3"/>
        <v>315.64999999999998</v>
      </c>
      <c r="P27" s="278">
        <f t="shared" si="4"/>
        <v>34535.266499999998</v>
      </c>
      <c r="Q27" s="109">
        <f t="shared" si="6"/>
        <v>102.7</v>
      </c>
    </row>
    <row r="28" spans="1:21" s="109" customFormat="1" ht="36" x14ac:dyDescent="0.2">
      <c r="A28" s="97"/>
      <c r="B28" s="116"/>
      <c r="C28" s="117" t="s">
        <v>34</v>
      </c>
      <c r="D28" s="117" t="s">
        <v>69</v>
      </c>
      <c r="E28" s="118" t="s">
        <v>102</v>
      </c>
      <c r="F28" s="119" t="s">
        <v>103</v>
      </c>
      <c r="G28" s="120" t="s">
        <v>72</v>
      </c>
      <c r="H28" s="121">
        <v>478.82</v>
      </c>
      <c r="I28" s="122">
        <v>69.709999999999994</v>
      </c>
      <c r="J28" s="122">
        <v>33378.54</v>
      </c>
      <c r="K28" s="85">
        <f t="shared" si="5"/>
        <v>-3.25</v>
      </c>
      <c r="L28" s="86">
        <f t="shared" si="0"/>
        <v>69.709999999999994</v>
      </c>
      <c r="M28" s="277">
        <f t="shared" si="1"/>
        <v>-226.55749999999998</v>
      </c>
      <c r="N28" s="87">
        <f t="shared" si="2"/>
        <v>475.57</v>
      </c>
      <c r="O28" s="88">
        <f t="shared" si="3"/>
        <v>69.709999999999994</v>
      </c>
      <c r="P28" s="278">
        <f t="shared" si="4"/>
        <v>33151.984699999994</v>
      </c>
      <c r="Q28" s="109">
        <f t="shared" si="6"/>
        <v>446.4</v>
      </c>
    </row>
    <row r="29" spans="1:21" s="109" customFormat="1" ht="48" x14ac:dyDescent="0.2">
      <c r="A29" s="97"/>
      <c r="B29" s="116"/>
      <c r="C29" s="117" t="s">
        <v>1</v>
      </c>
      <c r="D29" s="117" t="s">
        <v>69</v>
      </c>
      <c r="E29" s="118" t="s">
        <v>104</v>
      </c>
      <c r="F29" s="119" t="s">
        <v>105</v>
      </c>
      <c r="G29" s="120" t="s">
        <v>72</v>
      </c>
      <c r="H29" s="121">
        <v>478.82</v>
      </c>
      <c r="I29" s="122">
        <v>80.23</v>
      </c>
      <c r="J29" s="122">
        <v>38415.730000000003</v>
      </c>
      <c r="K29" s="85">
        <f t="shared" si="5"/>
        <v>-3.25</v>
      </c>
      <c r="L29" s="86">
        <f t="shared" si="0"/>
        <v>80.23</v>
      </c>
      <c r="M29" s="277">
        <f t="shared" si="1"/>
        <v>-260.7475</v>
      </c>
      <c r="N29" s="87">
        <f t="shared" si="2"/>
        <v>475.57</v>
      </c>
      <c r="O29" s="88">
        <f t="shared" si="3"/>
        <v>80.23</v>
      </c>
      <c r="P29" s="278">
        <f t="shared" si="4"/>
        <v>38154.981100000005</v>
      </c>
      <c r="Q29" s="109">
        <f t="shared" si="6"/>
        <v>446.4</v>
      </c>
    </row>
    <row r="30" spans="1:21" s="109" customFormat="1" ht="48" x14ac:dyDescent="0.2">
      <c r="A30" s="97"/>
      <c r="B30" s="116"/>
      <c r="C30" s="117" t="s">
        <v>37</v>
      </c>
      <c r="D30" s="117" t="s">
        <v>69</v>
      </c>
      <c r="E30" s="118" t="s">
        <v>106</v>
      </c>
      <c r="F30" s="119" t="s">
        <v>107</v>
      </c>
      <c r="G30" s="120" t="s">
        <v>62</v>
      </c>
      <c r="H30" s="121">
        <v>146.874</v>
      </c>
      <c r="I30" s="122">
        <v>13.15</v>
      </c>
      <c r="J30" s="122">
        <v>1931.39</v>
      </c>
      <c r="K30" s="85">
        <f t="shared" si="5"/>
        <v>-1</v>
      </c>
      <c r="L30" s="86">
        <f t="shared" si="0"/>
        <v>13.15</v>
      </c>
      <c r="M30" s="277">
        <f t="shared" si="1"/>
        <v>-13.15</v>
      </c>
      <c r="N30" s="87">
        <f t="shared" si="2"/>
        <v>145.874</v>
      </c>
      <c r="O30" s="88">
        <f t="shared" si="3"/>
        <v>13.15</v>
      </c>
      <c r="P30" s="278">
        <f t="shared" si="4"/>
        <v>1918.2430999999999</v>
      </c>
      <c r="Q30" s="109">
        <f t="shared" si="6"/>
        <v>136.93</v>
      </c>
    </row>
    <row r="31" spans="1:21" s="109" customFormat="1" ht="48" x14ac:dyDescent="0.2">
      <c r="A31" s="97"/>
      <c r="B31" s="116"/>
      <c r="C31" s="117" t="s">
        <v>39</v>
      </c>
      <c r="D31" s="117" t="s">
        <v>69</v>
      </c>
      <c r="E31" s="118" t="s">
        <v>108</v>
      </c>
      <c r="F31" s="119" t="s">
        <v>109</v>
      </c>
      <c r="G31" s="120" t="s">
        <v>62</v>
      </c>
      <c r="H31" s="121">
        <v>413.35</v>
      </c>
      <c r="I31" s="122">
        <v>187.27</v>
      </c>
      <c r="J31" s="122">
        <v>77408.05</v>
      </c>
      <c r="K31" s="85">
        <f t="shared" si="5"/>
        <v>-2.81</v>
      </c>
      <c r="L31" s="86">
        <f t="shared" si="0"/>
        <v>187.27</v>
      </c>
      <c r="M31" s="277">
        <f t="shared" si="1"/>
        <v>-526.2287</v>
      </c>
      <c r="N31" s="87">
        <f t="shared" si="2"/>
        <v>410.54</v>
      </c>
      <c r="O31" s="88">
        <f t="shared" si="3"/>
        <v>187.27</v>
      </c>
      <c r="P31" s="278">
        <f t="shared" si="4"/>
        <v>76881.825800000006</v>
      </c>
      <c r="Q31" s="109">
        <f t="shared" si="6"/>
        <v>385.36</v>
      </c>
    </row>
    <row r="32" spans="1:21" s="109" customFormat="1" ht="36" x14ac:dyDescent="0.2">
      <c r="A32" s="97"/>
      <c r="B32" s="116"/>
      <c r="C32" s="117" t="s">
        <v>41</v>
      </c>
      <c r="D32" s="117" t="s">
        <v>69</v>
      </c>
      <c r="E32" s="118" t="s">
        <v>110</v>
      </c>
      <c r="F32" s="119" t="s">
        <v>111</v>
      </c>
      <c r="G32" s="120" t="s">
        <v>62</v>
      </c>
      <c r="H32" s="121">
        <v>244.79</v>
      </c>
      <c r="I32" s="122">
        <v>44.72</v>
      </c>
      <c r="J32" s="122">
        <v>10947.01</v>
      </c>
      <c r="K32" s="85">
        <f t="shared" si="5"/>
        <v>-1.66</v>
      </c>
      <c r="L32" s="86">
        <f t="shared" si="0"/>
        <v>44.72</v>
      </c>
      <c r="M32" s="277">
        <f t="shared" si="1"/>
        <v>-74.235199999999992</v>
      </c>
      <c r="N32" s="87">
        <f t="shared" si="2"/>
        <v>243.13</v>
      </c>
      <c r="O32" s="88">
        <f t="shared" si="3"/>
        <v>44.72</v>
      </c>
      <c r="P32" s="278">
        <f t="shared" si="4"/>
        <v>10872.773599999999</v>
      </c>
      <c r="Q32" s="109">
        <f t="shared" si="6"/>
        <v>228.21</v>
      </c>
      <c r="T32" s="150" t="s">
        <v>1086</v>
      </c>
      <c r="U32" s="109" t="s">
        <v>1008</v>
      </c>
    </row>
    <row r="33" spans="1:28" s="109" customFormat="1" ht="48" x14ac:dyDescent="0.2">
      <c r="A33" s="97"/>
      <c r="B33" s="116"/>
      <c r="C33" s="117" t="s">
        <v>114</v>
      </c>
      <c r="D33" s="117" t="s">
        <v>69</v>
      </c>
      <c r="E33" s="118" t="s">
        <v>112</v>
      </c>
      <c r="F33" s="119" t="s">
        <v>113</v>
      </c>
      <c r="G33" s="120" t="s">
        <v>62</v>
      </c>
      <c r="H33" s="121">
        <v>75.599999999999994</v>
      </c>
      <c r="I33" s="122">
        <v>247.39</v>
      </c>
      <c r="J33" s="122">
        <v>18702.68</v>
      </c>
      <c r="K33" s="85">
        <f t="shared" si="5"/>
        <v>-0.51</v>
      </c>
      <c r="L33" s="86">
        <f t="shared" si="0"/>
        <v>247.39</v>
      </c>
      <c r="M33" s="277">
        <f t="shared" si="1"/>
        <v>-126.16889999999999</v>
      </c>
      <c r="N33" s="87">
        <f t="shared" si="2"/>
        <v>75.089999999999989</v>
      </c>
      <c r="O33" s="88">
        <f t="shared" si="3"/>
        <v>247.39</v>
      </c>
      <c r="P33" s="278">
        <f t="shared" si="4"/>
        <v>18576.515099999997</v>
      </c>
      <c r="Q33" s="109">
        <f t="shared" si="6"/>
        <v>70.48</v>
      </c>
      <c r="T33" s="150" t="s">
        <v>1086</v>
      </c>
      <c r="U33" s="109" t="s">
        <v>1008</v>
      </c>
    </row>
    <row r="34" spans="1:28" s="109" customFormat="1" ht="12" x14ac:dyDescent="0.2">
      <c r="A34" s="97"/>
      <c r="B34" s="116"/>
      <c r="C34" s="117" t="s">
        <v>117</v>
      </c>
      <c r="D34" s="117" t="s">
        <v>69</v>
      </c>
      <c r="E34" s="118" t="s">
        <v>115</v>
      </c>
      <c r="F34" s="119" t="s">
        <v>116</v>
      </c>
      <c r="G34" s="120" t="s">
        <v>62</v>
      </c>
      <c r="H34" s="121">
        <v>75.599999999999994</v>
      </c>
      <c r="I34" s="122">
        <v>11.84</v>
      </c>
      <c r="J34" s="122">
        <v>895.1</v>
      </c>
      <c r="K34" s="85">
        <f t="shared" si="5"/>
        <v>-0.51</v>
      </c>
      <c r="L34" s="86">
        <f t="shared" si="0"/>
        <v>11.84</v>
      </c>
      <c r="M34" s="277">
        <f t="shared" si="1"/>
        <v>-6.0384000000000002</v>
      </c>
      <c r="N34" s="87">
        <f t="shared" si="2"/>
        <v>75.089999999999989</v>
      </c>
      <c r="O34" s="88">
        <f t="shared" si="3"/>
        <v>11.84</v>
      </c>
      <c r="P34" s="278">
        <f t="shared" si="4"/>
        <v>889.0655999999999</v>
      </c>
      <c r="Q34" s="109">
        <f t="shared" si="6"/>
        <v>70.48</v>
      </c>
      <c r="T34" s="150" t="s">
        <v>1086</v>
      </c>
      <c r="U34" s="109" t="s">
        <v>1008</v>
      </c>
    </row>
    <row r="35" spans="1:28" s="109" customFormat="1" ht="36" x14ac:dyDescent="0.2">
      <c r="A35" s="97"/>
      <c r="B35" s="116"/>
      <c r="C35" s="117" t="s">
        <v>0</v>
      </c>
      <c r="D35" s="117" t="s">
        <v>69</v>
      </c>
      <c r="E35" s="118" t="s">
        <v>118</v>
      </c>
      <c r="F35" s="119" t="s">
        <v>119</v>
      </c>
      <c r="G35" s="120" t="s">
        <v>120</v>
      </c>
      <c r="H35" s="121">
        <v>120.82</v>
      </c>
      <c r="I35" s="122">
        <v>116</v>
      </c>
      <c r="J35" s="122">
        <v>14015.12</v>
      </c>
      <c r="K35" s="85">
        <f t="shared" si="5"/>
        <v>-0.82</v>
      </c>
      <c r="L35" s="86">
        <f t="shared" si="0"/>
        <v>116</v>
      </c>
      <c r="M35" s="277">
        <f t="shared" si="1"/>
        <v>-95.11999999999999</v>
      </c>
      <c r="N35" s="87">
        <f t="shared" si="2"/>
        <v>120</v>
      </c>
      <c r="O35" s="88">
        <f t="shared" si="3"/>
        <v>116</v>
      </c>
      <c r="P35" s="278">
        <f t="shared" si="4"/>
        <v>13920</v>
      </c>
      <c r="Q35" s="109">
        <f t="shared" si="6"/>
        <v>112.64</v>
      </c>
      <c r="T35" s="150" t="s">
        <v>1087</v>
      </c>
      <c r="U35" s="109" t="s">
        <v>1008</v>
      </c>
    </row>
    <row r="36" spans="1:28" s="109" customFormat="1" ht="36" x14ac:dyDescent="0.2">
      <c r="A36" s="97"/>
      <c r="B36" s="116"/>
      <c r="C36" s="117" t="s">
        <v>123</v>
      </c>
      <c r="D36" s="117" t="s">
        <v>69</v>
      </c>
      <c r="E36" s="118" t="s">
        <v>121</v>
      </c>
      <c r="F36" s="119" t="s">
        <v>122</v>
      </c>
      <c r="G36" s="120" t="s">
        <v>62</v>
      </c>
      <c r="H36" s="121">
        <v>168.56</v>
      </c>
      <c r="I36" s="122">
        <v>286.72000000000003</v>
      </c>
      <c r="J36" s="122">
        <v>48329.52</v>
      </c>
      <c r="K36" s="85">
        <f t="shared" si="5"/>
        <v>-1.1499999999999999</v>
      </c>
      <c r="L36" s="86">
        <f t="shared" si="0"/>
        <v>286.72000000000003</v>
      </c>
      <c r="M36" s="277">
        <f t="shared" si="1"/>
        <v>-329.72800000000001</v>
      </c>
      <c r="N36" s="87">
        <f t="shared" si="2"/>
        <v>167.41</v>
      </c>
      <c r="O36" s="88">
        <f t="shared" si="3"/>
        <v>286.72000000000003</v>
      </c>
      <c r="P36" s="278">
        <f t="shared" si="4"/>
        <v>47999.7952</v>
      </c>
      <c r="Q36" s="109">
        <f t="shared" si="6"/>
        <v>157.15</v>
      </c>
    </row>
    <row r="37" spans="1:28" s="109" customFormat="1" ht="60" x14ac:dyDescent="0.2">
      <c r="A37" s="97"/>
      <c r="B37" s="116"/>
      <c r="C37" s="117" t="s">
        <v>126</v>
      </c>
      <c r="D37" s="117" t="s">
        <v>69</v>
      </c>
      <c r="E37" s="118" t="s">
        <v>124</v>
      </c>
      <c r="F37" s="119" t="s">
        <v>125</v>
      </c>
      <c r="G37" s="120" t="s">
        <v>62</v>
      </c>
      <c r="H37" s="121">
        <v>46.09</v>
      </c>
      <c r="I37" s="122">
        <v>318.27999999999997</v>
      </c>
      <c r="J37" s="122">
        <v>14669.53</v>
      </c>
      <c r="K37" s="85">
        <f t="shared" si="5"/>
        <v>-0.31</v>
      </c>
      <c r="L37" s="86">
        <f t="shared" si="0"/>
        <v>318.27999999999997</v>
      </c>
      <c r="M37" s="277">
        <f t="shared" si="1"/>
        <v>-98.666799999999995</v>
      </c>
      <c r="N37" s="87">
        <f t="shared" si="2"/>
        <v>45.78</v>
      </c>
      <c r="O37" s="88">
        <f t="shared" si="3"/>
        <v>318.27999999999997</v>
      </c>
      <c r="P37" s="278">
        <f t="shared" si="4"/>
        <v>14570.858399999999</v>
      </c>
      <c r="Q37" s="109">
        <f t="shared" si="6"/>
        <v>42.97</v>
      </c>
    </row>
    <row r="38" spans="1:28" s="109" customFormat="1" ht="12" x14ac:dyDescent="0.2">
      <c r="A38" s="97"/>
      <c r="B38" s="116"/>
      <c r="C38" s="123" t="s">
        <v>131</v>
      </c>
      <c r="D38" s="123" t="s">
        <v>127</v>
      </c>
      <c r="E38" s="124" t="s">
        <v>128</v>
      </c>
      <c r="F38" s="125" t="s">
        <v>129</v>
      </c>
      <c r="G38" s="126" t="s">
        <v>120</v>
      </c>
      <c r="H38" s="127">
        <v>82.962000000000003</v>
      </c>
      <c r="I38" s="128">
        <v>190.76</v>
      </c>
      <c r="J38" s="128">
        <v>15825.83</v>
      </c>
      <c r="K38" s="85">
        <f t="shared" si="5"/>
        <v>-0.56000000000000005</v>
      </c>
      <c r="L38" s="86">
        <f t="shared" si="0"/>
        <v>190.76</v>
      </c>
      <c r="M38" s="277">
        <f t="shared" si="1"/>
        <v>-106.82560000000001</v>
      </c>
      <c r="N38" s="87">
        <f t="shared" si="2"/>
        <v>82.402000000000001</v>
      </c>
      <c r="O38" s="88">
        <f t="shared" si="3"/>
        <v>190.76</v>
      </c>
      <c r="P38" s="278">
        <f t="shared" si="4"/>
        <v>15719.005519999999</v>
      </c>
      <c r="Q38" s="109">
        <f t="shared" si="6"/>
        <v>77.34</v>
      </c>
    </row>
    <row r="39" spans="1:28" s="110" customFormat="1" ht="12.75" x14ac:dyDescent="0.2">
      <c r="C39" s="245"/>
      <c r="D39" s="246" t="s">
        <v>3</v>
      </c>
      <c r="E39" s="247" t="s">
        <v>76</v>
      </c>
      <c r="F39" s="247" t="s">
        <v>130</v>
      </c>
      <c r="G39" s="245"/>
      <c r="H39" s="245"/>
      <c r="I39" s="245"/>
      <c r="J39" s="248">
        <v>2952.3</v>
      </c>
      <c r="K39" s="243"/>
      <c r="L39" s="244"/>
      <c r="M39" s="279">
        <f>M40</f>
        <v>-20.056800000000003</v>
      </c>
      <c r="N39" s="280"/>
      <c r="O39" s="244"/>
      <c r="P39" s="279">
        <f>P40</f>
        <v>2932.2384000000006</v>
      </c>
      <c r="Q39" s="109"/>
    </row>
    <row r="40" spans="1:28" s="109" customFormat="1" ht="22.5" x14ac:dyDescent="0.2">
      <c r="A40" s="97"/>
      <c r="B40" s="116"/>
      <c r="C40" s="117" t="s">
        <v>135</v>
      </c>
      <c r="D40" s="117" t="s">
        <v>69</v>
      </c>
      <c r="E40" s="118" t="s">
        <v>132</v>
      </c>
      <c r="F40" s="119" t="s">
        <v>133</v>
      </c>
      <c r="G40" s="120" t="s">
        <v>61</v>
      </c>
      <c r="H40" s="121">
        <v>89.79</v>
      </c>
      <c r="I40" s="122">
        <v>32.880000000000003</v>
      </c>
      <c r="J40" s="122">
        <v>2952.3</v>
      </c>
      <c r="K40" s="85">
        <f t="shared" si="5"/>
        <v>-0.61</v>
      </c>
      <c r="L40" s="86">
        <f t="shared" si="0"/>
        <v>32.880000000000003</v>
      </c>
      <c r="M40" s="277">
        <f t="shared" si="1"/>
        <v>-20.056800000000003</v>
      </c>
      <c r="N40" s="87">
        <f t="shared" si="2"/>
        <v>89.18</v>
      </c>
      <c r="O40" s="88">
        <f t="shared" si="3"/>
        <v>32.880000000000003</v>
      </c>
      <c r="P40" s="278">
        <f t="shared" si="4"/>
        <v>2932.2384000000006</v>
      </c>
      <c r="Q40" s="109">
        <f t="shared" si="6"/>
        <v>83.71</v>
      </c>
      <c r="Z40" s="150" t="s">
        <v>1215</v>
      </c>
      <c r="AA40" s="109" t="s">
        <v>1233</v>
      </c>
      <c r="AB40" s="148" t="s">
        <v>1250</v>
      </c>
    </row>
    <row r="41" spans="1:28" s="110" customFormat="1" ht="12.75" x14ac:dyDescent="0.2">
      <c r="C41" s="245"/>
      <c r="D41" s="246" t="s">
        <v>3</v>
      </c>
      <c r="E41" s="247" t="s">
        <v>73</v>
      </c>
      <c r="F41" s="247" t="s">
        <v>134</v>
      </c>
      <c r="G41" s="245"/>
      <c r="H41" s="245"/>
      <c r="I41" s="245"/>
      <c r="J41" s="248">
        <v>2388.4499999999998</v>
      </c>
      <c r="K41" s="243"/>
      <c r="L41" s="244"/>
      <c r="M41" s="279">
        <f>SUM(M42:M46)</f>
        <v>0</v>
      </c>
      <c r="N41" s="280"/>
      <c r="O41" s="244"/>
      <c r="P41" s="279">
        <f>SUM(P42:P46)</f>
        <v>2388.4499999999998</v>
      </c>
      <c r="Q41" s="109"/>
    </row>
    <row r="42" spans="1:28" s="109" customFormat="1" ht="24" x14ac:dyDescent="0.2">
      <c r="A42" s="97"/>
      <c r="B42" s="116"/>
      <c r="C42" s="117" t="s">
        <v>139</v>
      </c>
      <c r="D42" s="117" t="s">
        <v>69</v>
      </c>
      <c r="E42" s="118" t="s">
        <v>136</v>
      </c>
      <c r="F42" s="119" t="s">
        <v>137</v>
      </c>
      <c r="G42" s="120" t="s">
        <v>138</v>
      </c>
      <c r="H42" s="121">
        <v>4</v>
      </c>
      <c r="I42" s="122">
        <v>122.32</v>
      </c>
      <c r="J42" s="122">
        <v>489.28</v>
      </c>
      <c r="K42" s="85">
        <v>0</v>
      </c>
      <c r="L42" s="86">
        <f t="shared" si="0"/>
        <v>122.32</v>
      </c>
      <c r="M42" s="277">
        <f t="shared" si="1"/>
        <v>0</v>
      </c>
      <c r="N42" s="87">
        <f t="shared" si="2"/>
        <v>4</v>
      </c>
      <c r="O42" s="88">
        <f t="shared" si="3"/>
        <v>122.32</v>
      </c>
      <c r="P42" s="278">
        <f t="shared" si="4"/>
        <v>489.28</v>
      </c>
      <c r="Q42" s="109">
        <f t="shared" si="6"/>
        <v>3.73</v>
      </c>
    </row>
    <row r="43" spans="1:28" s="109" customFormat="1" ht="12" x14ac:dyDescent="0.2">
      <c r="A43" s="97"/>
      <c r="B43" s="116"/>
      <c r="C43" s="123" t="s">
        <v>142</v>
      </c>
      <c r="D43" s="123" t="s">
        <v>127</v>
      </c>
      <c r="E43" s="124" t="s">
        <v>146</v>
      </c>
      <c r="F43" s="125" t="s">
        <v>147</v>
      </c>
      <c r="G43" s="126" t="s">
        <v>138</v>
      </c>
      <c r="H43" s="127">
        <v>3</v>
      </c>
      <c r="I43" s="128">
        <v>345.9</v>
      </c>
      <c r="J43" s="128">
        <v>1037.7</v>
      </c>
      <c r="K43" s="85">
        <v>0</v>
      </c>
      <c r="L43" s="86">
        <f t="shared" si="0"/>
        <v>345.9</v>
      </c>
      <c r="M43" s="277">
        <f t="shared" si="1"/>
        <v>0</v>
      </c>
      <c r="N43" s="87">
        <f t="shared" si="2"/>
        <v>3</v>
      </c>
      <c r="O43" s="88">
        <f t="shared" si="3"/>
        <v>345.9</v>
      </c>
      <c r="P43" s="278">
        <f t="shared" si="4"/>
        <v>1037.6999999999998</v>
      </c>
      <c r="Q43" s="109">
        <f t="shared" si="6"/>
        <v>2.8</v>
      </c>
    </row>
    <row r="44" spans="1:28" s="109" customFormat="1" ht="24" x14ac:dyDescent="0.2">
      <c r="A44" s="97"/>
      <c r="B44" s="116"/>
      <c r="C44" s="123" t="s">
        <v>145</v>
      </c>
      <c r="D44" s="123" t="s">
        <v>127</v>
      </c>
      <c r="E44" s="124" t="s">
        <v>143</v>
      </c>
      <c r="F44" s="125" t="s">
        <v>144</v>
      </c>
      <c r="G44" s="126" t="s">
        <v>138</v>
      </c>
      <c r="H44" s="127">
        <v>1</v>
      </c>
      <c r="I44" s="128">
        <v>313.02</v>
      </c>
      <c r="J44" s="128">
        <v>313.02</v>
      </c>
      <c r="K44" s="85">
        <v>0</v>
      </c>
      <c r="L44" s="86">
        <f t="shared" si="0"/>
        <v>313.02</v>
      </c>
      <c r="M44" s="277">
        <f t="shared" si="1"/>
        <v>0</v>
      </c>
      <c r="N44" s="87">
        <f t="shared" si="2"/>
        <v>1</v>
      </c>
      <c r="O44" s="88">
        <f t="shared" si="3"/>
        <v>313.02</v>
      </c>
      <c r="P44" s="278">
        <f t="shared" si="4"/>
        <v>313.02</v>
      </c>
      <c r="Q44" s="109">
        <f t="shared" si="6"/>
        <v>0.93</v>
      </c>
    </row>
    <row r="45" spans="1:28" s="109" customFormat="1" ht="24" x14ac:dyDescent="0.2">
      <c r="A45" s="97"/>
      <c r="B45" s="116"/>
      <c r="C45" s="117" t="s">
        <v>148</v>
      </c>
      <c r="D45" s="117" t="s">
        <v>69</v>
      </c>
      <c r="E45" s="118" t="s">
        <v>149</v>
      </c>
      <c r="F45" s="119" t="s">
        <v>150</v>
      </c>
      <c r="G45" s="120" t="s">
        <v>138</v>
      </c>
      <c r="H45" s="121">
        <v>1</v>
      </c>
      <c r="I45" s="122">
        <v>152.57</v>
      </c>
      <c r="J45" s="122">
        <v>152.57</v>
      </c>
      <c r="K45" s="85">
        <v>0</v>
      </c>
      <c r="L45" s="86">
        <f t="shared" si="0"/>
        <v>152.57</v>
      </c>
      <c r="M45" s="277">
        <f t="shared" si="1"/>
        <v>0</v>
      </c>
      <c r="N45" s="87">
        <f t="shared" si="2"/>
        <v>1</v>
      </c>
      <c r="O45" s="88">
        <f t="shared" si="3"/>
        <v>152.57</v>
      </c>
      <c r="P45" s="278">
        <f t="shared" si="4"/>
        <v>152.57</v>
      </c>
      <c r="Q45" s="109">
        <f t="shared" si="6"/>
        <v>0.93</v>
      </c>
    </row>
    <row r="46" spans="1:28" s="109" customFormat="1" ht="12" x14ac:dyDescent="0.2">
      <c r="A46" s="97"/>
      <c r="B46" s="116"/>
      <c r="C46" s="123" t="s">
        <v>151</v>
      </c>
      <c r="D46" s="123" t="s">
        <v>127</v>
      </c>
      <c r="E46" s="124" t="s">
        <v>152</v>
      </c>
      <c r="F46" s="125" t="s">
        <v>153</v>
      </c>
      <c r="G46" s="126" t="s">
        <v>138</v>
      </c>
      <c r="H46" s="127">
        <v>1</v>
      </c>
      <c r="I46" s="128">
        <v>395.88</v>
      </c>
      <c r="J46" s="128">
        <v>395.88</v>
      </c>
      <c r="K46" s="85">
        <v>0</v>
      </c>
      <c r="L46" s="86">
        <f t="shared" si="0"/>
        <v>395.88</v>
      </c>
      <c r="M46" s="277">
        <f t="shared" si="1"/>
        <v>0</v>
      </c>
      <c r="N46" s="87">
        <f t="shared" si="2"/>
        <v>1</v>
      </c>
      <c r="O46" s="88">
        <f t="shared" si="3"/>
        <v>395.88</v>
      </c>
      <c r="P46" s="278">
        <f t="shared" si="4"/>
        <v>395.88</v>
      </c>
      <c r="Q46" s="109">
        <f t="shared" si="6"/>
        <v>0.93</v>
      </c>
    </row>
    <row r="47" spans="1:28" s="110" customFormat="1" ht="12.75" x14ac:dyDescent="0.2">
      <c r="C47" s="245"/>
      <c r="D47" s="246" t="s">
        <v>3</v>
      </c>
      <c r="E47" s="247" t="s">
        <v>81</v>
      </c>
      <c r="F47" s="247" t="s">
        <v>154</v>
      </c>
      <c r="G47" s="245"/>
      <c r="H47" s="245"/>
      <c r="I47" s="245"/>
      <c r="J47" s="248">
        <v>147097.78000000003</v>
      </c>
      <c r="K47" s="243"/>
      <c r="L47" s="244"/>
      <c r="M47" s="279">
        <f>SUM(M48:M56)</f>
        <v>0</v>
      </c>
      <c r="N47" s="280"/>
      <c r="O47" s="244"/>
      <c r="P47" s="279">
        <f>SUM(P48:P56)</f>
        <v>147097.77607999998</v>
      </c>
      <c r="Q47" s="109"/>
    </row>
    <row r="48" spans="1:28" s="109" customFormat="1" ht="36" x14ac:dyDescent="0.2">
      <c r="A48" s="97"/>
      <c r="B48" s="116"/>
      <c r="C48" s="117" t="s">
        <v>155</v>
      </c>
      <c r="D48" s="117" t="s">
        <v>69</v>
      </c>
      <c r="E48" s="118" t="s">
        <v>156</v>
      </c>
      <c r="F48" s="119" t="s">
        <v>157</v>
      </c>
      <c r="G48" s="120" t="s">
        <v>72</v>
      </c>
      <c r="H48" s="121">
        <v>86.119</v>
      </c>
      <c r="I48" s="122">
        <v>319.88</v>
      </c>
      <c r="J48" s="122">
        <v>27547.75</v>
      </c>
      <c r="K48" s="85">
        <v>0</v>
      </c>
      <c r="L48" s="86">
        <f t="shared" si="0"/>
        <v>319.88</v>
      </c>
      <c r="M48" s="277">
        <f t="shared" si="1"/>
        <v>0</v>
      </c>
      <c r="N48" s="87">
        <f t="shared" si="2"/>
        <v>86.119</v>
      </c>
      <c r="O48" s="88">
        <f t="shared" si="3"/>
        <v>319.88</v>
      </c>
      <c r="P48" s="278">
        <f t="shared" si="4"/>
        <v>27547.745719999999</v>
      </c>
      <c r="Q48" s="109">
        <f t="shared" si="6"/>
        <v>80.290000000000006</v>
      </c>
    </row>
    <row r="49" spans="1:28" s="109" customFormat="1" ht="24" x14ac:dyDescent="0.2">
      <c r="A49" s="97"/>
      <c r="B49" s="116"/>
      <c r="C49" s="117" t="s">
        <v>158</v>
      </c>
      <c r="D49" s="117" t="s">
        <v>69</v>
      </c>
      <c r="E49" s="118" t="s">
        <v>162</v>
      </c>
      <c r="F49" s="119" t="s">
        <v>163</v>
      </c>
      <c r="G49" s="120" t="s">
        <v>72</v>
      </c>
      <c r="H49" s="121">
        <v>92.168999999999997</v>
      </c>
      <c r="I49" s="122">
        <v>155.66999999999999</v>
      </c>
      <c r="J49" s="122">
        <v>14347.95</v>
      </c>
      <c r="K49" s="85">
        <v>0</v>
      </c>
      <c r="L49" s="86">
        <f t="shared" si="0"/>
        <v>155.66999999999999</v>
      </c>
      <c r="M49" s="277">
        <f t="shared" si="1"/>
        <v>0</v>
      </c>
      <c r="N49" s="87">
        <f t="shared" si="2"/>
        <v>92.168999999999997</v>
      </c>
      <c r="O49" s="88">
        <f t="shared" si="3"/>
        <v>155.66999999999999</v>
      </c>
      <c r="P49" s="278">
        <f t="shared" si="4"/>
        <v>14347.948229999998</v>
      </c>
      <c r="Q49" s="109">
        <f t="shared" si="6"/>
        <v>85.93</v>
      </c>
    </row>
    <row r="50" spans="1:28" s="109" customFormat="1" ht="48" x14ac:dyDescent="0.2">
      <c r="A50" s="97"/>
      <c r="B50" s="116"/>
      <c r="C50" s="117" t="s">
        <v>161</v>
      </c>
      <c r="D50" s="117" t="s">
        <v>69</v>
      </c>
      <c r="E50" s="118" t="s">
        <v>325</v>
      </c>
      <c r="F50" s="119" t="s">
        <v>326</v>
      </c>
      <c r="G50" s="120" t="s">
        <v>72</v>
      </c>
      <c r="H50" s="121">
        <v>6.05</v>
      </c>
      <c r="I50" s="122">
        <v>420.19</v>
      </c>
      <c r="J50" s="122">
        <v>2542.15</v>
      </c>
      <c r="K50" s="85">
        <v>0</v>
      </c>
      <c r="L50" s="86">
        <f t="shared" si="0"/>
        <v>420.19</v>
      </c>
      <c r="M50" s="277">
        <f t="shared" si="1"/>
        <v>0</v>
      </c>
      <c r="N50" s="87">
        <f t="shared" si="2"/>
        <v>6.05</v>
      </c>
      <c r="O50" s="88">
        <f t="shared" si="3"/>
        <v>420.19</v>
      </c>
      <c r="P50" s="278">
        <f t="shared" si="4"/>
        <v>2542.1495</v>
      </c>
      <c r="Q50" s="109">
        <f t="shared" si="6"/>
        <v>5.64</v>
      </c>
    </row>
    <row r="51" spans="1:28" s="109" customFormat="1" ht="36" x14ac:dyDescent="0.2">
      <c r="A51" s="97"/>
      <c r="B51" s="116"/>
      <c r="C51" s="117" t="s">
        <v>164</v>
      </c>
      <c r="D51" s="117" t="s">
        <v>69</v>
      </c>
      <c r="E51" s="118" t="s">
        <v>327</v>
      </c>
      <c r="F51" s="119" t="s">
        <v>328</v>
      </c>
      <c r="G51" s="120" t="s">
        <v>72</v>
      </c>
      <c r="H51" s="121">
        <v>6.05</v>
      </c>
      <c r="I51" s="122">
        <v>315.11</v>
      </c>
      <c r="J51" s="122">
        <v>1906.42</v>
      </c>
      <c r="K51" s="85">
        <v>0</v>
      </c>
      <c r="L51" s="86">
        <f t="shared" si="0"/>
        <v>315.11</v>
      </c>
      <c r="M51" s="277">
        <f t="shared" si="1"/>
        <v>0</v>
      </c>
      <c r="N51" s="87">
        <f t="shared" si="2"/>
        <v>6.05</v>
      </c>
      <c r="O51" s="88">
        <f t="shared" si="3"/>
        <v>315.11</v>
      </c>
      <c r="P51" s="278">
        <f t="shared" si="4"/>
        <v>1906.4155000000001</v>
      </c>
      <c r="Q51" s="109">
        <f t="shared" si="6"/>
        <v>5.64</v>
      </c>
    </row>
    <row r="52" spans="1:28" s="109" customFormat="1" ht="24" x14ac:dyDescent="0.2">
      <c r="A52" s="97"/>
      <c r="B52" s="116"/>
      <c r="C52" s="117" t="s">
        <v>167</v>
      </c>
      <c r="D52" s="117" t="s">
        <v>69</v>
      </c>
      <c r="E52" s="118" t="s">
        <v>168</v>
      </c>
      <c r="F52" s="119" t="s">
        <v>169</v>
      </c>
      <c r="G52" s="120" t="s">
        <v>72</v>
      </c>
      <c r="H52" s="121">
        <v>144.643</v>
      </c>
      <c r="I52" s="122">
        <v>18.04</v>
      </c>
      <c r="J52" s="122">
        <v>2609.36</v>
      </c>
      <c r="K52" s="85">
        <v>0</v>
      </c>
      <c r="L52" s="86">
        <f t="shared" si="0"/>
        <v>18.04</v>
      </c>
      <c r="M52" s="277">
        <f t="shared" si="1"/>
        <v>0</v>
      </c>
      <c r="N52" s="87">
        <f t="shared" si="2"/>
        <v>144.643</v>
      </c>
      <c r="O52" s="88">
        <f t="shared" si="3"/>
        <v>18.04</v>
      </c>
      <c r="P52" s="278">
        <f t="shared" si="4"/>
        <v>2609.3597199999999</v>
      </c>
      <c r="Q52" s="109">
        <f t="shared" si="6"/>
        <v>134.85</v>
      </c>
    </row>
    <row r="53" spans="1:28" s="109" customFormat="1" ht="48" x14ac:dyDescent="0.2">
      <c r="A53" s="97"/>
      <c r="B53" s="116"/>
      <c r="C53" s="117" t="s">
        <v>170</v>
      </c>
      <c r="D53" s="117" t="s">
        <v>69</v>
      </c>
      <c r="E53" s="118" t="s">
        <v>171</v>
      </c>
      <c r="F53" s="119" t="s">
        <v>172</v>
      </c>
      <c r="G53" s="120" t="s">
        <v>72</v>
      </c>
      <c r="H53" s="121">
        <v>133.09299999999999</v>
      </c>
      <c r="I53" s="122">
        <v>396.71</v>
      </c>
      <c r="J53" s="122">
        <v>52799.32</v>
      </c>
      <c r="K53" s="85">
        <v>0</v>
      </c>
      <c r="L53" s="86">
        <f t="shared" si="0"/>
        <v>396.71</v>
      </c>
      <c r="M53" s="277">
        <f t="shared" si="1"/>
        <v>0</v>
      </c>
      <c r="N53" s="87">
        <f t="shared" si="2"/>
        <v>133.09299999999999</v>
      </c>
      <c r="O53" s="88">
        <f t="shared" si="3"/>
        <v>396.71</v>
      </c>
      <c r="P53" s="278">
        <f t="shared" si="4"/>
        <v>52799.324029999996</v>
      </c>
      <c r="Q53" s="109">
        <f t="shared" si="6"/>
        <v>124.08</v>
      </c>
    </row>
    <row r="54" spans="1:28" s="109" customFormat="1" ht="48" x14ac:dyDescent="0.2">
      <c r="A54" s="97"/>
      <c r="B54" s="116"/>
      <c r="C54" s="117" t="s">
        <v>173</v>
      </c>
      <c r="D54" s="117" t="s">
        <v>69</v>
      </c>
      <c r="E54" s="118" t="s">
        <v>329</v>
      </c>
      <c r="F54" s="119" t="s">
        <v>330</v>
      </c>
      <c r="G54" s="120" t="s">
        <v>72</v>
      </c>
      <c r="H54" s="121">
        <v>11.55</v>
      </c>
      <c r="I54" s="122">
        <v>396.71</v>
      </c>
      <c r="J54" s="122">
        <v>4582</v>
      </c>
      <c r="K54" s="85">
        <v>0</v>
      </c>
      <c r="L54" s="86">
        <f t="shared" si="0"/>
        <v>396.71</v>
      </c>
      <c r="M54" s="277">
        <f t="shared" si="1"/>
        <v>0</v>
      </c>
      <c r="N54" s="87">
        <f t="shared" si="2"/>
        <v>11.55</v>
      </c>
      <c r="O54" s="88">
        <f t="shared" si="3"/>
        <v>396.71</v>
      </c>
      <c r="P54" s="278">
        <f t="shared" si="4"/>
        <v>4582.0005000000001</v>
      </c>
      <c r="Q54" s="109">
        <f t="shared" si="6"/>
        <v>10.77</v>
      </c>
    </row>
    <row r="55" spans="1:28" s="109" customFormat="1" ht="36" x14ac:dyDescent="0.2">
      <c r="A55" s="97"/>
      <c r="B55" s="116"/>
      <c r="C55" s="117" t="s">
        <v>176</v>
      </c>
      <c r="D55" s="117" t="s">
        <v>69</v>
      </c>
      <c r="E55" s="118" t="s">
        <v>174</v>
      </c>
      <c r="F55" s="119" t="s">
        <v>175</v>
      </c>
      <c r="G55" s="120" t="s">
        <v>72</v>
      </c>
      <c r="H55" s="121">
        <v>86.119</v>
      </c>
      <c r="I55" s="122">
        <v>443.02</v>
      </c>
      <c r="J55" s="122">
        <v>38152.44</v>
      </c>
      <c r="K55" s="85">
        <v>0</v>
      </c>
      <c r="L55" s="86">
        <f t="shared" si="0"/>
        <v>443.02</v>
      </c>
      <c r="M55" s="277">
        <f t="shared" si="1"/>
        <v>0</v>
      </c>
      <c r="N55" s="87">
        <f t="shared" si="2"/>
        <v>86.119</v>
      </c>
      <c r="O55" s="88">
        <f t="shared" si="3"/>
        <v>443.02</v>
      </c>
      <c r="P55" s="278">
        <f t="shared" si="4"/>
        <v>38152.439379999996</v>
      </c>
      <c r="Q55" s="109">
        <f t="shared" si="6"/>
        <v>80.290000000000006</v>
      </c>
    </row>
    <row r="56" spans="1:28" s="109" customFormat="1" ht="36" x14ac:dyDescent="0.2">
      <c r="A56" s="97"/>
      <c r="B56" s="116"/>
      <c r="C56" s="117" t="s">
        <v>179</v>
      </c>
      <c r="D56" s="117" t="s">
        <v>69</v>
      </c>
      <c r="E56" s="118" t="s">
        <v>331</v>
      </c>
      <c r="F56" s="119" t="s">
        <v>332</v>
      </c>
      <c r="G56" s="120" t="s">
        <v>72</v>
      </c>
      <c r="H56" s="121">
        <v>6.05</v>
      </c>
      <c r="I56" s="122">
        <v>431.47</v>
      </c>
      <c r="J56" s="122">
        <v>2610.39</v>
      </c>
      <c r="K56" s="85">
        <v>0</v>
      </c>
      <c r="L56" s="86">
        <f t="shared" si="0"/>
        <v>431.47</v>
      </c>
      <c r="M56" s="277">
        <f t="shared" si="1"/>
        <v>0</v>
      </c>
      <c r="N56" s="87">
        <f t="shared" si="2"/>
        <v>6.05</v>
      </c>
      <c r="O56" s="88">
        <f t="shared" si="3"/>
        <v>431.47</v>
      </c>
      <c r="P56" s="278">
        <f t="shared" si="4"/>
        <v>2610.3935000000001</v>
      </c>
      <c r="Q56" s="109">
        <f t="shared" si="6"/>
        <v>5.64</v>
      </c>
    </row>
    <row r="57" spans="1:28" s="110" customFormat="1" ht="12.75" x14ac:dyDescent="0.2">
      <c r="C57" s="245"/>
      <c r="D57" s="246" t="s">
        <v>3</v>
      </c>
      <c r="E57" s="247" t="s">
        <v>90</v>
      </c>
      <c r="F57" s="247" t="s">
        <v>182</v>
      </c>
      <c r="G57" s="245"/>
      <c r="H57" s="245"/>
      <c r="I57" s="245"/>
      <c r="J57" s="248">
        <v>345365.15</v>
      </c>
      <c r="K57" s="243"/>
      <c r="L57" s="244"/>
      <c r="M57" s="279">
        <f>SUM(M58:M75)</f>
        <v>-11255.961300000001</v>
      </c>
      <c r="N57" s="280"/>
      <c r="O57" s="244"/>
      <c r="P57" s="279">
        <f>SUM(P58:P75)</f>
        <v>334109.17869000003</v>
      </c>
      <c r="Q57" s="109"/>
    </row>
    <row r="58" spans="1:28" s="109" customFormat="1" ht="36" x14ac:dyDescent="0.2">
      <c r="A58" s="97"/>
      <c r="B58" s="116"/>
      <c r="C58" s="117" t="s">
        <v>183</v>
      </c>
      <c r="D58" s="117" t="s">
        <v>69</v>
      </c>
      <c r="E58" s="118" t="s">
        <v>184</v>
      </c>
      <c r="F58" s="119" t="s">
        <v>185</v>
      </c>
      <c r="G58" s="120" t="s">
        <v>61</v>
      </c>
      <c r="H58" s="121">
        <v>89.79</v>
      </c>
      <c r="I58" s="122">
        <v>552.39</v>
      </c>
      <c r="J58" s="122">
        <v>49599.1</v>
      </c>
      <c r="K58" s="85">
        <v>-6.69</v>
      </c>
      <c r="L58" s="86">
        <f t="shared" si="0"/>
        <v>552.39</v>
      </c>
      <c r="M58" s="277">
        <f t="shared" si="1"/>
        <v>-3695.4891000000002</v>
      </c>
      <c r="N58" s="87">
        <f t="shared" si="2"/>
        <v>83.100000000000009</v>
      </c>
      <c r="O58" s="88">
        <f t="shared" si="3"/>
        <v>552.39</v>
      </c>
      <c r="P58" s="278">
        <f t="shared" si="4"/>
        <v>45903.609000000004</v>
      </c>
      <c r="Q58" s="109">
        <f t="shared" si="6"/>
        <v>83.71</v>
      </c>
    </row>
    <row r="59" spans="1:28" s="109" customFormat="1" ht="24" x14ac:dyDescent="0.2">
      <c r="A59" s="97"/>
      <c r="B59" s="116"/>
      <c r="C59" s="123" t="s">
        <v>186</v>
      </c>
      <c r="D59" s="123" t="s">
        <v>127</v>
      </c>
      <c r="E59" s="124" t="s">
        <v>187</v>
      </c>
      <c r="F59" s="125" t="s">
        <v>188</v>
      </c>
      <c r="G59" s="126" t="s">
        <v>61</v>
      </c>
      <c r="H59" s="127">
        <v>91.137</v>
      </c>
      <c r="I59" s="128">
        <v>1060.07</v>
      </c>
      <c r="J59" s="128">
        <v>96611.6</v>
      </c>
      <c r="K59" s="85">
        <v>-6.79</v>
      </c>
      <c r="L59" s="86">
        <f t="shared" si="0"/>
        <v>1060.07</v>
      </c>
      <c r="M59" s="277">
        <f t="shared" si="1"/>
        <v>-7197.8752999999997</v>
      </c>
      <c r="N59" s="87">
        <f t="shared" si="2"/>
        <v>84.346999999999994</v>
      </c>
      <c r="O59" s="88">
        <f t="shared" si="3"/>
        <v>1060.07</v>
      </c>
      <c r="P59" s="278">
        <f t="shared" si="4"/>
        <v>89413.724289999984</v>
      </c>
      <c r="Q59" s="109">
        <f t="shared" si="6"/>
        <v>84.97</v>
      </c>
    </row>
    <row r="60" spans="1:28" s="109" customFormat="1" ht="36" x14ac:dyDescent="0.2">
      <c r="A60" s="97"/>
      <c r="B60" s="116"/>
      <c r="C60" s="117" t="s">
        <v>189</v>
      </c>
      <c r="D60" s="117" t="s">
        <v>69</v>
      </c>
      <c r="E60" s="118" t="s">
        <v>202</v>
      </c>
      <c r="F60" s="119" t="s">
        <v>203</v>
      </c>
      <c r="G60" s="120" t="s">
        <v>138</v>
      </c>
      <c r="H60" s="121">
        <v>3</v>
      </c>
      <c r="I60" s="122">
        <v>260.41000000000003</v>
      </c>
      <c r="J60" s="122">
        <v>781.23</v>
      </c>
      <c r="K60" s="85">
        <v>0</v>
      </c>
      <c r="L60" s="86">
        <f t="shared" si="0"/>
        <v>260.41000000000003</v>
      </c>
      <c r="M60" s="277">
        <f t="shared" si="1"/>
        <v>0</v>
      </c>
      <c r="N60" s="87">
        <f t="shared" si="2"/>
        <v>3</v>
      </c>
      <c r="O60" s="88">
        <f t="shared" si="3"/>
        <v>260.41000000000003</v>
      </c>
      <c r="P60" s="278">
        <f t="shared" si="4"/>
        <v>781.23</v>
      </c>
      <c r="Q60" s="109">
        <f t="shared" si="6"/>
        <v>2.8</v>
      </c>
    </row>
    <row r="61" spans="1:28" s="109" customFormat="1" ht="36" x14ac:dyDescent="0.2">
      <c r="A61" s="97"/>
      <c r="B61" s="116"/>
      <c r="C61" s="123" t="s">
        <v>192</v>
      </c>
      <c r="D61" s="123" t="s">
        <v>127</v>
      </c>
      <c r="E61" s="124" t="s">
        <v>205</v>
      </c>
      <c r="F61" s="125" t="s">
        <v>206</v>
      </c>
      <c r="G61" s="126" t="s">
        <v>138</v>
      </c>
      <c r="H61" s="127">
        <v>3</v>
      </c>
      <c r="I61" s="128">
        <v>1801.85</v>
      </c>
      <c r="J61" s="128">
        <v>5405.55</v>
      </c>
      <c r="K61" s="85">
        <v>0</v>
      </c>
      <c r="L61" s="86">
        <f t="shared" si="0"/>
        <v>1801.85</v>
      </c>
      <c r="M61" s="277">
        <f t="shared" si="1"/>
        <v>0</v>
      </c>
      <c r="N61" s="87">
        <f t="shared" si="2"/>
        <v>3</v>
      </c>
      <c r="O61" s="88">
        <f t="shared" si="3"/>
        <v>1801.85</v>
      </c>
      <c r="P61" s="278">
        <f t="shared" si="4"/>
        <v>5405.5499999999993</v>
      </c>
      <c r="Q61" s="109">
        <f t="shared" si="6"/>
        <v>2.8</v>
      </c>
    </row>
    <row r="62" spans="1:28" s="109" customFormat="1" ht="24" x14ac:dyDescent="0.2">
      <c r="A62" s="97"/>
      <c r="B62" s="116"/>
      <c r="C62" s="117" t="s">
        <v>195</v>
      </c>
      <c r="D62" s="117" t="s">
        <v>69</v>
      </c>
      <c r="E62" s="118" t="s">
        <v>211</v>
      </c>
      <c r="F62" s="119" t="s">
        <v>212</v>
      </c>
      <c r="G62" s="120" t="s">
        <v>213</v>
      </c>
      <c r="H62" s="121">
        <v>2</v>
      </c>
      <c r="I62" s="122">
        <v>2564.6799999999998</v>
      </c>
      <c r="J62" s="122">
        <v>5129.3599999999997</v>
      </c>
      <c r="K62" s="85">
        <f t="shared" ref="K62" si="7">ROUND(83.1/83.71*Q62-Q62,2)</f>
        <v>-0.01</v>
      </c>
      <c r="L62" s="86">
        <f t="shared" si="0"/>
        <v>2564.6799999999998</v>
      </c>
      <c r="M62" s="277">
        <f t="shared" si="1"/>
        <v>-25.646799999999999</v>
      </c>
      <c r="N62" s="87">
        <f t="shared" si="2"/>
        <v>1.99</v>
      </c>
      <c r="O62" s="88">
        <f t="shared" si="3"/>
        <v>2564.6799999999998</v>
      </c>
      <c r="P62" s="278">
        <f t="shared" si="4"/>
        <v>5103.7131999999992</v>
      </c>
      <c r="Q62" s="109">
        <f t="shared" si="6"/>
        <v>1.86</v>
      </c>
      <c r="Z62" s="148" t="s">
        <v>1216</v>
      </c>
      <c r="AA62" s="109" t="s">
        <v>1234</v>
      </c>
      <c r="AB62" s="148" t="s">
        <v>1249</v>
      </c>
    </row>
    <row r="63" spans="1:28" s="109" customFormat="1" ht="24" x14ac:dyDescent="0.2">
      <c r="A63" s="97"/>
      <c r="B63" s="116"/>
      <c r="C63" s="117" t="s">
        <v>198</v>
      </c>
      <c r="D63" s="117" t="s">
        <v>69</v>
      </c>
      <c r="E63" s="118" t="s">
        <v>215</v>
      </c>
      <c r="F63" s="119" t="s">
        <v>216</v>
      </c>
      <c r="G63" s="120" t="s">
        <v>138</v>
      </c>
      <c r="H63" s="121">
        <v>9</v>
      </c>
      <c r="I63" s="122">
        <v>2016.23</v>
      </c>
      <c r="J63" s="122">
        <v>18146.07</v>
      </c>
      <c r="K63" s="85">
        <v>0</v>
      </c>
      <c r="L63" s="86">
        <f t="shared" si="0"/>
        <v>2016.23</v>
      </c>
      <c r="M63" s="277">
        <f t="shared" si="1"/>
        <v>0</v>
      </c>
      <c r="N63" s="87">
        <f t="shared" si="2"/>
        <v>9</v>
      </c>
      <c r="O63" s="88">
        <f t="shared" si="3"/>
        <v>2016.23</v>
      </c>
      <c r="P63" s="278">
        <f t="shared" si="4"/>
        <v>18146.07</v>
      </c>
      <c r="Q63" s="109">
        <f t="shared" si="6"/>
        <v>8.39</v>
      </c>
    </row>
    <row r="64" spans="1:28" s="109" customFormat="1" ht="24" x14ac:dyDescent="0.2">
      <c r="A64" s="97"/>
      <c r="B64" s="116"/>
      <c r="C64" s="123" t="s">
        <v>201</v>
      </c>
      <c r="D64" s="123" t="s">
        <v>127</v>
      </c>
      <c r="E64" s="124" t="s">
        <v>221</v>
      </c>
      <c r="F64" s="125" t="s">
        <v>222</v>
      </c>
      <c r="G64" s="126" t="s">
        <v>138</v>
      </c>
      <c r="H64" s="127">
        <v>4</v>
      </c>
      <c r="I64" s="128">
        <v>14898.16</v>
      </c>
      <c r="J64" s="128">
        <v>59592.639999999999</v>
      </c>
      <c r="K64" s="85">
        <v>0</v>
      </c>
      <c r="L64" s="86">
        <f t="shared" si="0"/>
        <v>14898.16</v>
      </c>
      <c r="M64" s="277">
        <f t="shared" si="1"/>
        <v>0</v>
      </c>
      <c r="N64" s="87">
        <f t="shared" si="2"/>
        <v>4</v>
      </c>
      <c r="O64" s="88">
        <f t="shared" si="3"/>
        <v>14898.16</v>
      </c>
      <c r="P64" s="278">
        <f t="shared" si="4"/>
        <v>59592.639999999999</v>
      </c>
      <c r="Q64" s="109">
        <f t="shared" si="6"/>
        <v>3.73</v>
      </c>
    </row>
    <row r="65" spans="1:17" s="109" customFormat="1" ht="24" x14ac:dyDescent="0.2">
      <c r="A65" s="97"/>
      <c r="B65" s="116"/>
      <c r="C65" s="123" t="s">
        <v>204</v>
      </c>
      <c r="D65" s="123" t="s">
        <v>127</v>
      </c>
      <c r="E65" s="124" t="s">
        <v>224</v>
      </c>
      <c r="F65" s="125" t="s">
        <v>225</v>
      </c>
      <c r="G65" s="126" t="s">
        <v>138</v>
      </c>
      <c r="H65" s="127">
        <v>4</v>
      </c>
      <c r="I65" s="128">
        <v>1530.92</v>
      </c>
      <c r="J65" s="128">
        <v>6123.68</v>
      </c>
      <c r="K65" s="85">
        <v>0</v>
      </c>
      <c r="L65" s="86">
        <f t="shared" si="0"/>
        <v>1530.92</v>
      </c>
      <c r="M65" s="277">
        <f t="shared" si="1"/>
        <v>0</v>
      </c>
      <c r="N65" s="87">
        <f t="shared" si="2"/>
        <v>4</v>
      </c>
      <c r="O65" s="88">
        <f t="shared" si="3"/>
        <v>1530.92</v>
      </c>
      <c r="P65" s="278">
        <f t="shared" si="4"/>
        <v>6123.68</v>
      </c>
      <c r="Q65" s="109">
        <f t="shared" si="6"/>
        <v>3.73</v>
      </c>
    </row>
    <row r="66" spans="1:17" s="109" customFormat="1" ht="24" x14ac:dyDescent="0.2">
      <c r="A66" s="97"/>
      <c r="B66" s="116"/>
      <c r="C66" s="123" t="s">
        <v>207</v>
      </c>
      <c r="D66" s="123" t="s">
        <v>127</v>
      </c>
      <c r="E66" s="124" t="s">
        <v>227</v>
      </c>
      <c r="F66" s="125" t="s">
        <v>228</v>
      </c>
      <c r="G66" s="126" t="s">
        <v>138</v>
      </c>
      <c r="H66" s="127">
        <v>2</v>
      </c>
      <c r="I66" s="128">
        <v>775.98</v>
      </c>
      <c r="J66" s="128">
        <v>1551.96</v>
      </c>
      <c r="K66" s="85">
        <v>0</v>
      </c>
      <c r="L66" s="86">
        <f t="shared" si="0"/>
        <v>775.98</v>
      </c>
      <c r="M66" s="277">
        <f t="shared" si="1"/>
        <v>0</v>
      </c>
      <c r="N66" s="87">
        <f t="shared" si="2"/>
        <v>2</v>
      </c>
      <c r="O66" s="88">
        <f t="shared" si="3"/>
        <v>775.98</v>
      </c>
      <c r="P66" s="278">
        <f t="shared" si="4"/>
        <v>1551.96</v>
      </c>
      <c r="Q66" s="109">
        <f t="shared" si="6"/>
        <v>1.86</v>
      </c>
    </row>
    <row r="67" spans="1:17" s="109" customFormat="1" ht="24" x14ac:dyDescent="0.2">
      <c r="A67" s="97"/>
      <c r="B67" s="116"/>
      <c r="C67" s="123" t="s">
        <v>210</v>
      </c>
      <c r="D67" s="123" t="s">
        <v>127</v>
      </c>
      <c r="E67" s="124" t="s">
        <v>230</v>
      </c>
      <c r="F67" s="125" t="s">
        <v>231</v>
      </c>
      <c r="G67" s="126" t="s">
        <v>138</v>
      </c>
      <c r="H67" s="127">
        <v>3</v>
      </c>
      <c r="I67" s="128">
        <v>1202.1099999999999</v>
      </c>
      <c r="J67" s="128">
        <v>3606.33</v>
      </c>
      <c r="K67" s="85">
        <v>0</v>
      </c>
      <c r="L67" s="86">
        <f t="shared" si="0"/>
        <v>1202.1099999999999</v>
      </c>
      <c r="M67" s="277">
        <f t="shared" si="1"/>
        <v>0</v>
      </c>
      <c r="N67" s="87">
        <f t="shared" si="2"/>
        <v>3</v>
      </c>
      <c r="O67" s="88">
        <f t="shared" si="3"/>
        <v>1202.1099999999999</v>
      </c>
      <c r="P67" s="278">
        <f t="shared" si="4"/>
        <v>3606.33</v>
      </c>
      <c r="Q67" s="109">
        <f t="shared" si="6"/>
        <v>2.8</v>
      </c>
    </row>
    <row r="68" spans="1:17" s="109" customFormat="1" ht="24" x14ac:dyDescent="0.2">
      <c r="A68" s="97"/>
      <c r="B68" s="116"/>
      <c r="C68" s="123" t="s">
        <v>214</v>
      </c>
      <c r="D68" s="123" t="s">
        <v>127</v>
      </c>
      <c r="E68" s="124" t="s">
        <v>233</v>
      </c>
      <c r="F68" s="125" t="s">
        <v>310</v>
      </c>
      <c r="G68" s="126" t="s">
        <v>138</v>
      </c>
      <c r="H68" s="127">
        <v>2</v>
      </c>
      <c r="I68" s="128">
        <v>2648.85</v>
      </c>
      <c r="J68" s="128">
        <v>5297.7</v>
      </c>
      <c r="K68" s="85">
        <v>0</v>
      </c>
      <c r="L68" s="86">
        <f t="shared" si="0"/>
        <v>2648.85</v>
      </c>
      <c r="M68" s="277">
        <f t="shared" si="1"/>
        <v>0</v>
      </c>
      <c r="N68" s="87">
        <f t="shared" si="2"/>
        <v>2</v>
      </c>
      <c r="O68" s="88">
        <f t="shared" si="3"/>
        <v>2648.85</v>
      </c>
      <c r="P68" s="278">
        <f t="shared" si="4"/>
        <v>5297.7</v>
      </c>
      <c r="Q68" s="109">
        <f t="shared" si="6"/>
        <v>1.86</v>
      </c>
    </row>
    <row r="69" spans="1:17" s="109" customFormat="1" ht="24" x14ac:dyDescent="0.2">
      <c r="A69" s="97"/>
      <c r="B69" s="116"/>
      <c r="C69" s="123" t="s">
        <v>217</v>
      </c>
      <c r="D69" s="123" t="s">
        <v>127</v>
      </c>
      <c r="E69" s="124" t="s">
        <v>236</v>
      </c>
      <c r="F69" s="125" t="s">
        <v>237</v>
      </c>
      <c r="G69" s="126" t="s">
        <v>138</v>
      </c>
      <c r="H69" s="127">
        <v>11</v>
      </c>
      <c r="I69" s="128">
        <v>211.75</v>
      </c>
      <c r="J69" s="128">
        <v>2329.25</v>
      </c>
      <c r="K69" s="85">
        <v>0</v>
      </c>
      <c r="L69" s="86">
        <f t="shared" si="0"/>
        <v>211.75</v>
      </c>
      <c r="M69" s="277">
        <f t="shared" si="1"/>
        <v>0</v>
      </c>
      <c r="N69" s="87">
        <f t="shared" si="2"/>
        <v>11</v>
      </c>
      <c r="O69" s="88">
        <f t="shared" si="3"/>
        <v>211.75</v>
      </c>
      <c r="P69" s="278">
        <f t="shared" si="4"/>
        <v>2329.25</v>
      </c>
      <c r="Q69" s="109">
        <f t="shared" si="6"/>
        <v>10.26</v>
      </c>
    </row>
    <row r="70" spans="1:17" s="109" customFormat="1" ht="36" x14ac:dyDescent="0.2">
      <c r="A70" s="97"/>
      <c r="B70" s="116"/>
      <c r="C70" s="117" t="s">
        <v>220</v>
      </c>
      <c r="D70" s="117" t="s">
        <v>69</v>
      </c>
      <c r="E70" s="118" t="s">
        <v>239</v>
      </c>
      <c r="F70" s="119" t="s">
        <v>240</v>
      </c>
      <c r="G70" s="120" t="s">
        <v>138</v>
      </c>
      <c r="H70" s="121">
        <v>4</v>
      </c>
      <c r="I70" s="122">
        <v>5935.59</v>
      </c>
      <c r="J70" s="122">
        <v>23742.36</v>
      </c>
      <c r="K70" s="85">
        <v>0</v>
      </c>
      <c r="L70" s="86">
        <f t="shared" si="0"/>
        <v>5935.59</v>
      </c>
      <c r="M70" s="277">
        <f t="shared" si="1"/>
        <v>0</v>
      </c>
      <c r="N70" s="87">
        <f t="shared" si="2"/>
        <v>4</v>
      </c>
      <c r="O70" s="88">
        <f t="shared" si="3"/>
        <v>5935.59</v>
      </c>
      <c r="P70" s="278">
        <f t="shared" si="4"/>
        <v>23742.36</v>
      </c>
      <c r="Q70" s="109">
        <f t="shared" si="6"/>
        <v>3.73</v>
      </c>
    </row>
    <row r="71" spans="1:17" s="109" customFormat="1" ht="24" x14ac:dyDescent="0.2">
      <c r="A71" s="97"/>
      <c r="B71" s="116"/>
      <c r="C71" s="117" t="s">
        <v>223</v>
      </c>
      <c r="D71" s="117" t="s">
        <v>69</v>
      </c>
      <c r="E71" s="118" t="s">
        <v>242</v>
      </c>
      <c r="F71" s="119" t="s">
        <v>243</v>
      </c>
      <c r="G71" s="120" t="s">
        <v>138</v>
      </c>
      <c r="H71" s="121">
        <v>4</v>
      </c>
      <c r="I71" s="122">
        <v>485.32</v>
      </c>
      <c r="J71" s="122">
        <v>1941.28</v>
      </c>
      <c r="K71" s="85">
        <v>0</v>
      </c>
      <c r="L71" s="86">
        <f t="shared" si="0"/>
        <v>485.32</v>
      </c>
      <c r="M71" s="277">
        <f t="shared" si="1"/>
        <v>0</v>
      </c>
      <c r="N71" s="87">
        <f t="shared" si="2"/>
        <v>4</v>
      </c>
      <c r="O71" s="88">
        <f t="shared" si="3"/>
        <v>485.32</v>
      </c>
      <c r="P71" s="278">
        <f t="shared" si="4"/>
        <v>1941.28</v>
      </c>
      <c r="Q71" s="109">
        <f t="shared" si="6"/>
        <v>3.73</v>
      </c>
    </row>
    <row r="72" spans="1:17" s="109" customFormat="1" ht="12" x14ac:dyDescent="0.2">
      <c r="A72" s="97"/>
      <c r="B72" s="116"/>
      <c r="C72" s="123" t="s">
        <v>226</v>
      </c>
      <c r="D72" s="123" t="s">
        <v>127</v>
      </c>
      <c r="E72" s="124" t="s">
        <v>311</v>
      </c>
      <c r="F72" s="125" t="s">
        <v>312</v>
      </c>
      <c r="G72" s="126" t="s">
        <v>138</v>
      </c>
      <c r="H72" s="127">
        <v>1</v>
      </c>
      <c r="I72" s="128">
        <v>6510.34</v>
      </c>
      <c r="J72" s="128">
        <v>6510.34</v>
      </c>
      <c r="K72" s="85">
        <v>0</v>
      </c>
      <c r="L72" s="86">
        <f t="shared" si="0"/>
        <v>6510.34</v>
      </c>
      <c r="M72" s="277">
        <f t="shared" si="1"/>
        <v>0</v>
      </c>
      <c r="N72" s="87">
        <f t="shared" si="2"/>
        <v>1</v>
      </c>
      <c r="O72" s="88">
        <f t="shared" si="3"/>
        <v>6510.34</v>
      </c>
      <c r="P72" s="278">
        <f t="shared" si="4"/>
        <v>6510.34</v>
      </c>
      <c r="Q72" s="109">
        <f t="shared" si="6"/>
        <v>0.93</v>
      </c>
    </row>
    <row r="73" spans="1:17" s="109" customFormat="1" ht="24" x14ac:dyDescent="0.2">
      <c r="A73" s="97"/>
      <c r="B73" s="116"/>
      <c r="C73" s="123" t="s">
        <v>229</v>
      </c>
      <c r="D73" s="123" t="s">
        <v>127</v>
      </c>
      <c r="E73" s="124" t="s">
        <v>245</v>
      </c>
      <c r="F73" s="125" t="s">
        <v>246</v>
      </c>
      <c r="G73" s="126" t="s">
        <v>138</v>
      </c>
      <c r="H73" s="127">
        <v>3</v>
      </c>
      <c r="I73" s="128">
        <v>6510.34</v>
      </c>
      <c r="J73" s="128">
        <v>19531.02</v>
      </c>
      <c r="K73" s="85">
        <v>0</v>
      </c>
      <c r="L73" s="86">
        <f t="shared" si="0"/>
        <v>6510.34</v>
      </c>
      <c r="M73" s="277">
        <f t="shared" si="1"/>
        <v>0</v>
      </c>
      <c r="N73" s="87">
        <f t="shared" si="2"/>
        <v>3</v>
      </c>
      <c r="O73" s="88">
        <f t="shared" si="3"/>
        <v>6510.34</v>
      </c>
      <c r="P73" s="278">
        <f t="shared" si="4"/>
        <v>19531.02</v>
      </c>
      <c r="Q73" s="109">
        <f t="shared" si="6"/>
        <v>2.8</v>
      </c>
    </row>
    <row r="74" spans="1:17" s="109" customFormat="1" ht="24" x14ac:dyDescent="0.2">
      <c r="A74" s="97"/>
      <c r="B74" s="116"/>
      <c r="C74" s="117" t="s">
        <v>232</v>
      </c>
      <c r="D74" s="117" t="s">
        <v>69</v>
      </c>
      <c r="E74" s="118" t="s">
        <v>254</v>
      </c>
      <c r="F74" s="119" t="s">
        <v>255</v>
      </c>
      <c r="G74" s="120" t="s">
        <v>62</v>
      </c>
      <c r="H74" s="121">
        <v>12.63</v>
      </c>
      <c r="I74" s="122">
        <v>3059.28</v>
      </c>
      <c r="J74" s="122">
        <v>38638.71</v>
      </c>
      <c r="K74" s="85">
        <f t="shared" ref="K74" si="8">ROUND(83.1/83.71*Q74-Q74,2)</f>
        <v>-0.09</v>
      </c>
      <c r="L74" s="86">
        <f t="shared" si="0"/>
        <v>3059.28</v>
      </c>
      <c r="M74" s="277">
        <f t="shared" si="1"/>
        <v>-275.33519999999999</v>
      </c>
      <c r="N74" s="87">
        <f t="shared" si="2"/>
        <v>12.540000000000001</v>
      </c>
      <c r="O74" s="88">
        <f t="shared" si="3"/>
        <v>3059.28</v>
      </c>
      <c r="P74" s="278">
        <f t="shared" si="4"/>
        <v>38363.371200000009</v>
      </c>
      <c r="Q74" s="109">
        <f t="shared" si="6"/>
        <v>11.77</v>
      </c>
    </row>
    <row r="75" spans="1:17" s="109" customFormat="1" ht="12" x14ac:dyDescent="0.2">
      <c r="A75" s="97"/>
      <c r="B75" s="116"/>
      <c r="C75" s="117" t="s">
        <v>235</v>
      </c>
      <c r="D75" s="117" t="s">
        <v>69</v>
      </c>
      <c r="E75" s="118" t="s">
        <v>266</v>
      </c>
      <c r="F75" s="119" t="s">
        <v>267</v>
      </c>
      <c r="G75" s="120" t="s">
        <v>61</v>
      </c>
      <c r="H75" s="121">
        <v>89.79</v>
      </c>
      <c r="I75" s="122">
        <v>9.2100000000000009</v>
      </c>
      <c r="J75" s="122">
        <v>826.97</v>
      </c>
      <c r="K75" s="85">
        <v>-6.69</v>
      </c>
      <c r="L75" s="86">
        <f t="shared" si="0"/>
        <v>9.2100000000000009</v>
      </c>
      <c r="M75" s="277">
        <f t="shared" si="1"/>
        <v>-61.614900000000006</v>
      </c>
      <c r="N75" s="87">
        <f t="shared" si="2"/>
        <v>83.100000000000009</v>
      </c>
      <c r="O75" s="88">
        <f t="shared" si="3"/>
        <v>9.2100000000000009</v>
      </c>
      <c r="P75" s="278">
        <f t="shared" si="4"/>
        <v>765.35100000000011</v>
      </c>
      <c r="Q75" s="109">
        <f t="shared" si="6"/>
        <v>83.71</v>
      </c>
    </row>
    <row r="76" spans="1:17" s="110" customFormat="1" ht="12.75" x14ac:dyDescent="0.2">
      <c r="C76" s="245"/>
      <c r="D76" s="246" t="s">
        <v>3</v>
      </c>
      <c r="E76" s="247" t="s">
        <v>93</v>
      </c>
      <c r="F76" s="247" t="s">
        <v>268</v>
      </c>
      <c r="G76" s="245"/>
      <c r="H76" s="245"/>
      <c r="I76" s="245"/>
      <c r="J76" s="248">
        <v>56607.55999999999</v>
      </c>
      <c r="K76" s="243"/>
      <c r="L76" s="244"/>
      <c r="M76" s="279">
        <f>SUM(M77:M82)</f>
        <v>0</v>
      </c>
      <c r="N76" s="280"/>
      <c r="O76" s="244"/>
      <c r="P76" s="279">
        <f>SUM(P77:P82)</f>
        <v>56607.556599999996</v>
      </c>
      <c r="Q76" s="109"/>
    </row>
    <row r="77" spans="1:17" s="109" customFormat="1" ht="48" x14ac:dyDescent="0.2">
      <c r="A77" s="97"/>
      <c r="B77" s="116"/>
      <c r="C77" s="117" t="s">
        <v>238</v>
      </c>
      <c r="D77" s="117" t="s">
        <v>69</v>
      </c>
      <c r="E77" s="118" t="s">
        <v>270</v>
      </c>
      <c r="F77" s="119" t="s">
        <v>271</v>
      </c>
      <c r="G77" s="120" t="s">
        <v>61</v>
      </c>
      <c r="H77" s="121">
        <v>167.58</v>
      </c>
      <c r="I77" s="122">
        <v>87.65</v>
      </c>
      <c r="J77" s="122">
        <v>14688.39</v>
      </c>
      <c r="K77" s="85">
        <v>0</v>
      </c>
      <c r="L77" s="86">
        <f t="shared" si="0"/>
        <v>87.65</v>
      </c>
      <c r="M77" s="277">
        <f t="shared" si="1"/>
        <v>0</v>
      </c>
      <c r="N77" s="87">
        <f t="shared" si="2"/>
        <v>167.58</v>
      </c>
      <c r="O77" s="88">
        <f t="shared" si="3"/>
        <v>87.65</v>
      </c>
      <c r="P77" s="278">
        <f t="shared" si="4"/>
        <v>14688.387000000002</v>
      </c>
      <c r="Q77" s="109">
        <f t="shared" si="6"/>
        <v>156.22999999999999</v>
      </c>
    </row>
    <row r="78" spans="1:17" s="109" customFormat="1" ht="36" x14ac:dyDescent="0.2">
      <c r="A78" s="97"/>
      <c r="B78" s="116"/>
      <c r="C78" s="117" t="s">
        <v>241</v>
      </c>
      <c r="D78" s="117" t="s">
        <v>69</v>
      </c>
      <c r="E78" s="118" t="s">
        <v>273</v>
      </c>
      <c r="F78" s="119" t="s">
        <v>274</v>
      </c>
      <c r="G78" s="120" t="s">
        <v>61</v>
      </c>
      <c r="H78" s="121">
        <v>324.16000000000003</v>
      </c>
      <c r="I78" s="122">
        <v>32.22</v>
      </c>
      <c r="J78" s="122">
        <v>10444.44</v>
      </c>
      <c r="K78" s="85">
        <v>0</v>
      </c>
      <c r="L78" s="86">
        <f t="shared" si="0"/>
        <v>32.22</v>
      </c>
      <c r="M78" s="277">
        <f t="shared" si="1"/>
        <v>0</v>
      </c>
      <c r="N78" s="87">
        <f t="shared" si="2"/>
        <v>324.16000000000003</v>
      </c>
      <c r="O78" s="88">
        <f t="shared" si="3"/>
        <v>32.22</v>
      </c>
      <c r="P78" s="278">
        <f t="shared" si="4"/>
        <v>10444.4352</v>
      </c>
      <c r="Q78" s="109">
        <f t="shared" si="6"/>
        <v>302.20999999999998</v>
      </c>
    </row>
    <row r="79" spans="1:17" s="109" customFormat="1" ht="36" x14ac:dyDescent="0.2">
      <c r="A79" s="97"/>
      <c r="B79" s="116"/>
      <c r="C79" s="117" t="s">
        <v>244</v>
      </c>
      <c r="D79" s="117" t="s">
        <v>69</v>
      </c>
      <c r="E79" s="118" t="s">
        <v>350</v>
      </c>
      <c r="F79" s="119" t="s">
        <v>351</v>
      </c>
      <c r="G79" s="120" t="s">
        <v>61</v>
      </c>
      <c r="H79" s="121">
        <v>11</v>
      </c>
      <c r="I79" s="122">
        <v>32.22</v>
      </c>
      <c r="J79" s="122">
        <v>354.42</v>
      </c>
      <c r="K79" s="85">
        <v>0</v>
      </c>
      <c r="L79" s="86">
        <f t="shared" si="0"/>
        <v>32.22</v>
      </c>
      <c r="M79" s="277">
        <f t="shared" si="1"/>
        <v>0</v>
      </c>
      <c r="N79" s="87">
        <f t="shared" si="2"/>
        <v>11</v>
      </c>
      <c r="O79" s="88">
        <f t="shared" si="3"/>
        <v>32.22</v>
      </c>
      <c r="P79" s="278">
        <f t="shared" si="4"/>
        <v>354.41999999999996</v>
      </c>
      <c r="Q79" s="109">
        <f t="shared" si="6"/>
        <v>10.26</v>
      </c>
    </row>
    <row r="80" spans="1:17" s="109" customFormat="1" ht="24" x14ac:dyDescent="0.2">
      <c r="A80" s="97"/>
      <c r="B80" s="116"/>
      <c r="C80" s="117" t="s">
        <v>247</v>
      </c>
      <c r="D80" s="117" t="s">
        <v>69</v>
      </c>
      <c r="E80" s="118" t="s">
        <v>276</v>
      </c>
      <c r="F80" s="119" t="s">
        <v>277</v>
      </c>
      <c r="G80" s="120" t="s">
        <v>61</v>
      </c>
      <c r="H80" s="121">
        <v>324.16000000000003</v>
      </c>
      <c r="I80" s="122">
        <v>72.34</v>
      </c>
      <c r="J80" s="122">
        <v>23449.73</v>
      </c>
      <c r="K80" s="85">
        <v>0</v>
      </c>
      <c r="L80" s="86">
        <f t="shared" ref="L80:L90" si="9">I80</f>
        <v>72.34</v>
      </c>
      <c r="M80" s="277">
        <f t="shared" ref="M80:M90" si="10">K80*L80</f>
        <v>0</v>
      </c>
      <c r="N80" s="87">
        <f t="shared" ref="N80:N90" si="11">H80+K80</f>
        <v>324.16000000000003</v>
      </c>
      <c r="O80" s="88">
        <f t="shared" ref="O80:O90" si="12">I80</f>
        <v>72.34</v>
      </c>
      <c r="P80" s="278">
        <f t="shared" ref="P80:P90" si="13">N80*O80</f>
        <v>23449.734400000001</v>
      </c>
      <c r="Q80" s="109">
        <f t="shared" si="6"/>
        <v>302.20999999999998</v>
      </c>
    </row>
    <row r="81" spans="1:23" s="109" customFormat="1" ht="24" x14ac:dyDescent="0.2">
      <c r="A81" s="97"/>
      <c r="B81" s="116"/>
      <c r="C81" s="117" t="s">
        <v>250</v>
      </c>
      <c r="D81" s="117" t="s">
        <v>69</v>
      </c>
      <c r="E81" s="118" t="s">
        <v>354</v>
      </c>
      <c r="F81" s="119" t="s">
        <v>355</v>
      </c>
      <c r="G81" s="120" t="s">
        <v>61</v>
      </c>
      <c r="H81" s="121">
        <v>11</v>
      </c>
      <c r="I81" s="122">
        <v>94.7</v>
      </c>
      <c r="J81" s="122">
        <v>1041.7</v>
      </c>
      <c r="K81" s="85">
        <v>0</v>
      </c>
      <c r="L81" s="86">
        <f t="shared" si="9"/>
        <v>94.7</v>
      </c>
      <c r="M81" s="277">
        <f t="shared" si="10"/>
        <v>0</v>
      </c>
      <c r="N81" s="87">
        <f t="shared" si="11"/>
        <v>11</v>
      </c>
      <c r="O81" s="88">
        <f t="shared" si="12"/>
        <v>94.7</v>
      </c>
      <c r="P81" s="278">
        <f t="shared" si="13"/>
        <v>1041.7</v>
      </c>
      <c r="Q81" s="109">
        <f t="shared" si="6"/>
        <v>10.26</v>
      </c>
    </row>
    <row r="82" spans="1:23" s="109" customFormat="1" ht="48" x14ac:dyDescent="0.2">
      <c r="A82" s="97"/>
      <c r="B82" s="116"/>
      <c r="C82" s="117" t="s">
        <v>253</v>
      </c>
      <c r="D82" s="117" t="s">
        <v>69</v>
      </c>
      <c r="E82" s="118" t="s">
        <v>279</v>
      </c>
      <c r="F82" s="119" t="s">
        <v>280</v>
      </c>
      <c r="G82" s="120" t="s">
        <v>138</v>
      </c>
      <c r="H82" s="121">
        <v>4</v>
      </c>
      <c r="I82" s="122">
        <v>1657.22</v>
      </c>
      <c r="J82" s="122">
        <v>6628.88</v>
      </c>
      <c r="K82" s="85">
        <v>0</v>
      </c>
      <c r="L82" s="86">
        <f t="shared" si="9"/>
        <v>1657.22</v>
      </c>
      <c r="M82" s="277">
        <f t="shared" si="10"/>
        <v>0</v>
      </c>
      <c r="N82" s="87">
        <f t="shared" si="11"/>
        <v>4</v>
      </c>
      <c r="O82" s="88">
        <f t="shared" si="12"/>
        <v>1657.22</v>
      </c>
      <c r="P82" s="278">
        <f t="shared" si="13"/>
        <v>6628.88</v>
      </c>
      <c r="Q82" s="109">
        <f t="shared" si="6"/>
        <v>3.73</v>
      </c>
    </row>
    <row r="83" spans="1:23" s="110" customFormat="1" ht="12.75" x14ac:dyDescent="0.2">
      <c r="C83" s="245"/>
      <c r="D83" s="246" t="s">
        <v>3</v>
      </c>
      <c r="E83" s="247" t="s">
        <v>281</v>
      </c>
      <c r="F83" s="247" t="s">
        <v>282</v>
      </c>
      <c r="G83" s="245"/>
      <c r="H83" s="245"/>
      <c r="I83" s="245"/>
      <c r="J83" s="248">
        <v>31133.86</v>
      </c>
      <c r="K83" s="243"/>
      <c r="L83" s="244"/>
      <c r="M83" s="279">
        <f>SUM(M84:M88)</f>
        <v>-162.98050000000001</v>
      </c>
      <c r="N83" s="280"/>
      <c r="O83" s="244"/>
      <c r="P83" s="279">
        <f>SUM(P84:P88)</f>
        <v>30970.871710000003</v>
      </c>
      <c r="Q83" s="109"/>
    </row>
    <row r="84" spans="1:23" s="109" customFormat="1" ht="36" x14ac:dyDescent="0.2">
      <c r="A84" s="97"/>
      <c r="B84" s="116"/>
      <c r="C84" s="117" t="s">
        <v>256</v>
      </c>
      <c r="D84" s="117" t="s">
        <v>69</v>
      </c>
      <c r="E84" s="118" t="s">
        <v>284</v>
      </c>
      <c r="F84" s="119" t="s">
        <v>285</v>
      </c>
      <c r="G84" s="120" t="s">
        <v>120</v>
      </c>
      <c r="H84" s="121">
        <v>92.906000000000006</v>
      </c>
      <c r="I84" s="122">
        <v>139.49</v>
      </c>
      <c r="J84" s="122">
        <v>12959.46</v>
      </c>
      <c r="K84" s="85">
        <f t="shared" ref="K84" si="14">ROUND(83.1/83.71*Q84-Q84,2)</f>
        <v>-0.63</v>
      </c>
      <c r="L84" s="86">
        <f t="shared" si="9"/>
        <v>139.49</v>
      </c>
      <c r="M84" s="277">
        <f t="shared" si="10"/>
        <v>-87.878700000000009</v>
      </c>
      <c r="N84" s="87">
        <f t="shared" si="11"/>
        <v>92.27600000000001</v>
      </c>
      <c r="O84" s="88">
        <f t="shared" si="12"/>
        <v>139.49</v>
      </c>
      <c r="P84" s="278">
        <f t="shared" si="13"/>
        <v>12871.579240000003</v>
      </c>
      <c r="Q84" s="109">
        <f t="shared" si="6"/>
        <v>86.62</v>
      </c>
    </row>
    <row r="85" spans="1:23" s="109" customFormat="1" ht="48" x14ac:dyDescent="0.2">
      <c r="A85" s="97"/>
      <c r="B85" s="116"/>
      <c r="C85" s="117" t="s">
        <v>259</v>
      </c>
      <c r="D85" s="117" t="s">
        <v>69</v>
      </c>
      <c r="E85" s="118" t="s">
        <v>287</v>
      </c>
      <c r="F85" s="119" t="s">
        <v>288</v>
      </c>
      <c r="G85" s="120" t="s">
        <v>120</v>
      </c>
      <c r="H85" s="121">
        <v>28.285</v>
      </c>
      <c r="I85" s="122">
        <v>257.77999999999997</v>
      </c>
      <c r="J85" s="122">
        <v>7291.31</v>
      </c>
      <c r="K85" s="85">
        <v>0</v>
      </c>
      <c r="L85" s="86">
        <f t="shared" si="9"/>
        <v>257.77999999999997</v>
      </c>
      <c r="M85" s="277">
        <f t="shared" si="10"/>
        <v>0</v>
      </c>
      <c r="N85" s="87">
        <f t="shared" si="11"/>
        <v>28.285</v>
      </c>
      <c r="O85" s="88">
        <f t="shared" si="12"/>
        <v>257.77999999999997</v>
      </c>
      <c r="P85" s="278">
        <f t="shared" si="13"/>
        <v>7291.3072999999995</v>
      </c>
      <c r="Q85" s="109">
        <f t="shared" si="6"/>
        <v>26.37</v>
      </c>
    </row>
    <row r="86" spans="1:23" s="109" customFormat="1" ht="36" x14ac:dyDescent="0.2">
      <c r="A86" s="97"/>
      <c r="B86" s="116"/>
      <c r="C86" s="117" t="s">
        <v>262</v>
      </c>
      <c r="D86" s="117" t="s">
        <v>69</v>
      </c>
      <c r="E86" s="118" t="s">
        <v>290</v>
      </c>
      <c r="F86" s="119" t="s">
        <v>119</v>
      </c>
      <c r="G86" s="120" t="s">
        <v>120</v>
      </c>
      <c r="H86" s="121">
        <v>64.620999999999995</v>
      </c>
      <c r="I86" s="122">
        <v>154.66999999999999</v>
      </c>
      <c r="J86" s="122">
        <v>9994.93</v>
      </c>
      <c r="K86" s="85">
        <f t="shared" ref="K86:K88" si="15">ROUND(83.1/83.71*Q86-Q86,2)</f>
        <v>-0.44</v>
      </c>
      <c r="L86" s="86">
        <f t="shared" si="9"/>
        <v>154.66999999999999</v>
      </c>
      <c r="M86" s="277">
        <f t="shared" si="10"/>
        <v>-68.0548</v>
      </c>
      <c r="N86" s="87">
        <f t="shared" si="11"/>
        <v>64.180999999999997</v>
      </c>
      <c r="O86" s="88">
        <f t="shared" si="12"/>
        <v>154.66999999999999</v>
      </c>
      <c r="P86" s="278">
        <f t="shared" si="13"/>
        <v>9926.8752699999986</v>
      </c>
      <c r="Q86" s="109">
        <f t="shared" ref="Q86:Q90" si="16">ROUND(83.71/89.79*H86,2)</f>
        <v>60.25</v>
      </c>
      <c r="W86" s="148" t="s">
        <v>1137</v>
      </c>
    </row>
    <row r="87" spans="1:23" s="109" customFormat="1" ht="36" x14ac:dyDescent="0.2">
      <c r="A87" s="97"/>
      <c r="B87" s="116"/>
      <c r="C87" s="117" t="s">
        <v>265</v>
      </c>
      <c r="D87" s="117" t="s">
        <v>69</v>
      </c>
      <c r="E87" s="118" t="s">
        <v>361</v>
      </c>
      <c r="F87" s="119" t="s">
        <v>362</v>
      </c>
      <c r="G87" s="120" t="s">
        <v>120</v>
      </c>
      <c r="H87" s="121">
        <v>3.7810000000000001</v>
      </c>
      <c r="I87" s="122">
        <v>80.23</v>
      </c>
      <c r="J87" s="122">
        <v>303.35000000000002</v>
      </c>
      <c r="K87" s="85">
        <f t="shared" si="15"/>
        <v>-0.03</v>
      </c>
      <c r="L87" s="86">
        <f t="shared" si="9"/>
        <v>80.23</v>
      </c>
      <c r="M87" s="277">
        <f t="shared" si="10"/>
        <v>-2.4068999999999998</v>
      </c>
      <c r="N87" s="87">
        <f t="shared" si="11"/>
        <v>3.7510000000000003</v>
      </c>
      <c r="O87" s="88">
        <f t="shared" si="12"/>
        <v>80.23</v>
      </c>
      <c r="P87" s="278">
        <f t="shared" si="13"/>
        <v>300.94273000000004</v>
      </c>
      <c r="Q87" s="109">
        <f t="shared" si="16"/>
        <v>3.52</v>
      </c>
    </row>
    <row r="88" spans="1:23" s="109" customFormat="1" ht="36" x14ac:dyDescent="0.2">
      <c r="A88" s="97"/>
      <c r="B88" s="116"/>
      <c r="C88" s="117" t="s">
        <v>269</v>
      </c>
      <c r="D88" s="117" t="s">
        <v>69</v>
      </c>
      <c r="E88" s="118" t="s">
        <v>364</v>
      </c>
      <c r="F88" s="119" t="s">
        <v>365</v>
      </c>
      <c r="G88" s="120" t="s">
        <v>120</v>
      </c>
      <c r="H88" s="121">
        <v>3.7810000000000001</v>
      </c>
      <c r="I88" s="122">
        <v>154.66999999999999</v>
      </c>
      <c r="J88" s="122">
        <v>584.80999999999995</v>
      </c>
      <c r="K88" s="85">
        <f t="shared" si="15"/>
        <v>-0.03</v>
      </c>
      <c r="L88" s="86">
        <f t="shared" si="9"/>
        <v>154.66999999999999</v>
      </c>
      <c r="M88" s="277">
        <f t="shared" si="10"/>
        <v>-4.6400999999999994</v>
      </c>
      <c r="N88" s="87">
        <f t="shared" si="11"/>
        <v>3.7510000000000003</v>
      </c>
      <c r="O88" s="88">
        <f t="shared" si="12"/>
        <v>154.66999999999999</v>
      </c>
      <c r="P88" s="278">
        <f t="shared" si="13"/>
        <v>580.16717000000006</v>
      </c>
      <c r="Q88" s="109">
        <f t="shared" si="16"/>
        <v>3.52</v>
      </c>
    </row>
    <row r="89" spans="1:23" s="110" customFormat="1" ht="12.75" x14ac:dyDescent="0.2">
      <c r="C89" s="245"/>
      <c r="D89" s="246" t="s">
        <v>3</v>
      </c>
      <c r="E89" s="247" t="s">
        <v>291</v>
      </c>
      <c r="F89" s="247" t="s">
        <v>292</v>
      </c>
      <c r="G89" s="245"/>
      <c r="H89" s="245"/>
      <c r="I89" s="245"/>
      <c r="J89" s="248">
        <v>4335.49</v>
      </c>
      <c r="K89" s="243"/>
      <c r="L89" s="244"/>
      <c r="M89" s="279">
        <f>M90</f>
        <v>-29.749200000000002</v>
      </c>
      <c r="N89" s="280"/>
      <c r="O89" s="244"/>
      <c r="P89" s="279">
        <f>P90</f>
        <v>4305.73902</v>
      </c>
      <c r="Q89" s="109"/>
    </row>
    <row r="90" spans="1:23" s="109" customFormat="1" ht="36" x14ac:dyDescent="0.2">
      <c r="A90" s="97"/>
      <c r="B90" s="116"/>
      <c r="C90" s="117" t="s">
        <v>272</v>
      </c>
      <c r="D90" s="117" t="s">
        <v>69</v>
      </c>
      <c r="E90" s="118" t="s">
        <v>294</v>
      </c>
      <c r="F90" s="119" t="s">
        <v>295</v>
      </c>
      <c r="G90" s="120" t="s">
        <v>120</v>
      </c>
      <c r="H90" s="121">
        <v>37.890999999999998</v>
      </c>
      <c r="I90" s="122">
        <v>114.42</v>
      </c>
      <c r="J90" s="122">
        <v>4335.49</v>
      </c>
      <c r="K90" s="85">
        <f t="shared" ref="K90" si="17">ROUND(83.1/83.71*Q90-Q90,2)</f>
        <v>-0.26</v>
      </c>
      <c r="L90" s="86">
        <f t="shared" si="9"/>
        <v>114.42</v>
      </c>
      <c r="M90" s="277">
        <f t="shared" si="10"/>
        <v>-29.749200000000002</v>
      </c>
      <c r="N90" s="87">
        <f t="shared" si="11"/>
        <v>37.631</v>
      </c>
      <c r="O90" s="88">
        <f t="shared" si="12"/>
        <v>114.42</v>
      </c>
      <c r="P90" s="278">
        <f t="shared" si="13"/>
        <v>4305.73902</v>
      </c>
      <c r="Q90" s="109">
        <f t="shared" si="16"/>
        <v>35.33</v>
      </c>
    </row>
    <row r="91" spans="1:23" s="109" customFormat="1" x14ac:dyDescent="0.2">
      <c r="A91" s="97"/>
      <c r="B91" s="97"/>
      <c r="C91" s="97"/>
      <c r="D91" s="97"/>
      <c r="E91" s="97"/>
      <c r="F91" s="97"/>
      <c r="G91" s="97"/>
      <c r="H91" s="97"/>
      <c r="I91" s="97"/>
      <c r="J91" s="97"/>
    </row>
    <row r="92" spans="1:23" ht="12.75" x14ac:dyDescent="0.2">
      <c r="D92" s="89"/>
      <c r="E92" s="141" t="str">
        <f>CONCATENATE("CELKEM ",C12)</f>
        <v>CELKEM 09 - SO 01.I - Stoka A.3</v>
      </c>
      <c r="F92" s="90"/>
      <c r="G92" s="90"/>
      <c r="H92" s="91"/>
      <c r="I92" s="90"/>
      <c r="J92" s="92">
        <v>964555.67</v>
      </c>
      <c r="K92" s="94"/>
      <c r="L92" s="92"/>
      <c r="M92" s="147">
        <f>M89+M83+M76+M57+M47+M41+M39+M14</f>
        <v>-13890.4424</v>
      </c>
      <c r="N92" s="147"/>
      <c r="O92" s="147"/>
      <c r="P92" s="147">
        <f t="shared" ref="P92" si="18">P89+P83+P76+P57+P47+P41+P39+P14</f>
        <v>950665.20270999998</v>
      </c>
    </row>
    <row r="93" spans="1:23" x14ac:dyDescent="0.2">
      <c r="I93" s="95"/>
    </row>
    <row r="94" spans="1:23" ht="14.25" x14ac:dyDescent="0.2">
      <c r="E94" s="58" t="s">
        <v>994</v>
      </c>
      <c r="F94" s="58"/>
      <c r="H94" s="96"/>
      <c r="J94" s="161"/>
      <c r="K94" s="58" t="s">
        <v>995</v>
      </c>
    </row>
  </sheetData>
  <protectedRanges>
    <protectedRange password="CCAA" sqref="K8" name="Oblast1_1_1_1"/>
    <protectedRange password="CCAA" sqref="D9:H10" name="Oblast1_2_1_1"/>
  </protectedRanges>
  <autoFilter ref="C10:P90" xr:uid="{00000000-0001-0000-0900-000000000000}"/>
  <mergeCells count="4">
    <mergeCell ref="S12:S14"/>
    <mergeCell ref="K9:M9"/>
    <mergeCell ref="N9:P9"/>
    <mergeCell ref="R12:R14"/>
  </mergeCells>
  <pageMargins left="0.39370078740157483" right="0.39370078740157483" top="0.39370078740157483" bottom="0.39370078740157483" header="0" footer="0"/>
  <pageSetup paperSize="9" scale="51" fitToHeight="0" orientation="portrait" r:id="rId1"/>
  <headerFooter>
    <oddFooter>&amp;CStrana &amp;P z &amp;N</oddFoot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AD83"/>
  <sheetViews>
    <sheetView showGridLines="0" view="pageBreakPreview" topLeftCell="A42" zoomScale="85" zoomScaleNormal="85" zoomScaleSheetLayoutView="85" workbookViewId="0">
      <selection activeCell="J85" sqref="J85"/>
    </sheetView>
  </sheetViews>
  <sheetFormatPr defaultColWidth="9.33203125" defaultRowHeight="11.25" x14ac:dyDescent="0.2"/>
  <cols>
    <col min="1" max="1" width="8.33203125" style="60" customWidth="1"/>
    <col min="2" max="2" width="1.6640625" style="60" customWidth="1"/>
    <col min="3" max="3" width="4.1640625" style="60" customWidth="1"/>
    <col min="4" max="4" width="4.33203125" style="60" customWidth="1"/>
    <col min="5" max="5" width="17.1640625" style="60" customWidth="1"/>
    <col min="6" max="6" width="50.83203125" style="60" customWidth="1"/>
    <col min="7" max="7" width="7" style="60" customWidth="1"/>
    <col min="8" max="8" width="11.5" style="60" customWidth="1"/>
    <col min="9" max="10" width="20.1640625" style="60" customWidth="1"/>
    <col min="11" max="15" width="14.1640625" style="60" customWidth="1"/>
    <col min="16" max="16" width="21" style="60" bestFit="1" customWidth="1"/>
    <col min="17" max="18" width="14.1640625" style="60" customWidth="1"/>
    <col min="19" max="19" width="38.1640625" style="60" bestFit="1" customWidth="1"/>
    <col min="20" max="20" width="24.5" style="60" bestFit="1" customWidth="1"/>
    <col min="21" max="21" width="81.6640625" style="60" bestFit="1" customWidth="1"/>
    <col min="22" max="23" width="0" style="60" hidden="1" customWidth="1"/>
    <col min="24" max="24" width="41.5" style="60" bestFit="1" customWidth="1"/>
    <col min="25" max="25" width="23.1640625" style="60" bestFit="1" customWidth="1"/>
    <col min="26" max="26" width="9" style="60" bestFit="1" customWidth="1"/>
    <col min="27" max="27" width="20.5" style="60" bestFit="1" customWidth="1"/>
    <col min="28" max="28" width="11" style="60" bestFit="1" customWidth="1"/>
    <col min="29" max="29" width="13.33203125" style="60" hidden="1" customWidth="1"/>
    <col min="30" max="30" width="26.6640625" style="60" hidden="1" customWidth="1"/>
    <col min="31" max="16384" width="9.33203125" style="60"/>
  </cols>
  <sheetData>
    <row r="1" spans="1:28" ht="15" x14ac:dyDescent="0.2">
      <c r="F1" s="3"/>
      <c r="G1" s="4"/>
      <c r="H1" s="1"/>
      <c r="J1" s="61"/>
    </row>
    <row r="2" spans="1:28" s="1" customFormat="1" ht="15" x14ac:dyDescent="0.2">
      <c r="E2" s="2"/>
      <c r="F2" s="3" t="s">
        <v>979</v>
      </c>
      <c r="G2" s="4" t="s">
        <v>1058</v>
      </c>
      <c r="I2" s="5"/>
      <c r="J2" s="63"/>
      <c r="K2" s="10"/>
      <c r="L2" s="11"/>
      <c r="M2" s="11"/>
      <c r="N2" s="64"/>
    </row>
    <row r="3" spans="1:28" s="1" customFormat="1" ht="15" x14ac:dyDescent="0.2">
      <c r="E3" s="2"/>
      <c r="F3" s="3" t="s">
        <v>980</v>
      </c>
      <c r="G3" s="4" t="str">
        <f>+'Rekapitulace stavby'!D2</f>
        <v>ÚHERCE, výstavba kanalizace - UZNATELNÉ NÁKLADY - doměrky</v>
      </c>
      <c r="H3" s="2"/>
      <c r="I3" s="5"/>
      <c r="J3" s="63"/>
      <c r="K3" s="10"/>
      <c r="L3" s="11"/>
      <c r="M3" s="11"/>
      <c r="N3" s="64"/>
    </row>
    <row r="4" spans="1:28" s="2" customFormat="1" ht="15" x14ac:dyDescent="0.2">
      <c r="F4" s="12" t="s">
        <v>981</v>
      </c>
      <c r="G4" s="13" t="str">
        <f>'[1]VRN 01'!G5</f>
        <v>VRI/SOD/2020/Ži</v>
      </c>
      <c r="I4" s="5"/>
      <c r="J4" s="65"/>
      <c r="K4" s="18"/>
      <c r="L4" s="19"/>
      <c r="M4" s="19"/>
      <c r="N4" s="66"/>
    </row>
    <row r="5" spans="1:28" s="2" customFormat="1" ht="15" x14ac:dyDescent="0.2">
      <c r="F5" s="12" t="s">
        <v>983</v>
      </c>
      <c r="G5" s="13" t="s">
        <v>1001</v>
      </c>
      <c r="I5" s="5"/>
      <c r="J5" s="65"/>
      <c r="K5" s="18"/>
      <c r="L5" s="19"/>
      <c r="M5" s="19"/>
      <c r="N5" s="66"/>
    </row>
    <row r="6" spans="1:28" s="2" customFormat="1" ht="15" x14ac:dyDescent="0.2">
      <c r="F6" s="3" t="s">
        <v>984</v>
      </c>
      <c r="G6" s="13" t="str">
        <f>'[1]VRN 01'!G7</f>
        <v>Vododvody a kanalizace Mladá Boleslav, a.s.</v>
      </c>
      <c r="I6" s="5"/>
      <c r="J6" s="65"/>
      <c r="K6" s="18"/>
      <c r="L6" s="19"/>
      <c r="M6" s="19"/>
      <c r="N6" s="66"/>
    </row>
    <row r="7" spans="1:28" s="2" customFormat="1" ht="15" x14ac:dyDescent="0.2">
      <c r="F7" s="3" t="s">
        <v>986</v>
      </c>
      <c r="G7" s="20" t="str">
        <f>'[1]VRN 01'!G8</f>
        <v>VCES a.s.</v>
      </c>
      <c r="H7" s="67"/>
      <c r="I7" s="5"/>
      <c r="J7" s="65"/>
      <c r="K7" s="18"/>
      <c r="L7" s="19"/>
      <c r="M7" s="19"/>
      <c r="N7" s="66"/>
    </row>
    <row r="8" spans="1:28" s="68" customFormat="1" ht="12.75" x14ac:dyDescent="0.2">
      <c r="D8" s="69"/>
      <c r="F8" s="3"/>
      <c r="G8" s="20"/>
      <c r="H8" s="67"/>
      <c r="K8" s="72" t="s">
        <v>996</v>
      </c>
      <c r="L8" s="73" t="str">
        <f>+C12</f>
        <v>10 - SO 01.J - Stoka A.4</v>
      </c>
      <c r="M8" s="73"/>
      <c r="O8" s="74"/>
    </row>
    <row r="9" spans="1:28" s="75" customFormat="1" ht="12.75" customHeight="1" x14ac:dyDescent="0.2">
      <c r="C9" s="76"/>
      <c r="D9" s="77"/>
      <c r="E9" s="77"/>
      <c r="F9" s="77"/>
      <c r="G9" s="77"/>
      <c r="H9" s="77"/>
      <c r="I9" s="78"/>
      <c r="J9" s="79"/>
      <c r="K9" s="332" t="s">
        <v>1266</v>
      </c>
      <c r="L9" s="332"/>
      <c r="M9" s="332"/>
      <c r="N9" s="339" t="s">
        <v>1267</v>
      </c>
      <c r="O9" s="339"/>
      <c r="P9" s="340"/>
    </row>
    <row r="10" spans="1:28" s="75" customFormat="1" ht="12.75" customHeight="1" x14ac:dyDescent="0.2">
      <c r="C10" s="80"/>
      <c r="D10" s="81" t="s">
        <v>997</v>
      </c>
      <c r="E10" s="81" t="s">
        <v>976</v>
      </c>
      <c r="F10" s="81" t="s">
        <v>977</v>
      </c>
      <c r="G10" s="81" t="s">
        <v>64</v>
      </c>
      <c r="H10" s="82" t="s">
        <v>65</v>
      </c>
      <c r="I10" s="83" t="s">
        <v>998</v>
      </c>
      <c r="J10" s="84" t="s">
        <v>978</v>
      </c>
      <c r="K10" s="218" t="s">
        <v>999</v>
      </c>
      <c r="L10" s="219" t="s">
        <v>1260</v>
      </c>
      <c r="M10" s="220" t="s">
        <v>978</v>
      </c>
      <c r="N10" s="263" t="s">
        <v>1264</v>
      </c>
      <c r="O10" s="264" t="s">
        <v>1260</v>
      </c>
      <c r="P10" s="265" t="s">
        <v>978</v>
      </c>
      <c r="Q10" s="154" t="s">
        <v>1016</v>
      </c>
      <c r="R10" s="154" t="s">
        <v>1026</v>
      </c>
      <c r="U10" s="157" t="s">
        <v>1059</v>
      </c>
      <c r="Y10" s="157" t="s">
        <v>1113</v>
      </c>
      <c r="AA10" s="157" t="s">
        <v>1132</v>
      </c>
      <c r="AB10" s="157" t="s">
        <v>1150</v>
      </c>
    </row>
    <row r="11" spans="1:28" s="75" customFormat="1" ht="12.75" x14ac:dyDescent="0.2">
      <c r="D11" s="133"/>
      <c r="E11" s="133"/>
      <c r="F11" s="133"/>
      <c r="G11" s="133"/>
      <c r="H11" s="134"/>
      <c r="I11" s="135"/>
      <c r="J11" s="136"/>
      <c r="K11" s="137"/>
      <c r="L11" s="138"/>
      <c r="M11" s="138"/>
      <c r="N11" s="139"/>
      <c r="O11" s="140"/>
      <c r="P11" s="140"/>
      <c r="Q11" s="162"/>
      <c r="U11" s="343" t="s">
        <v>1072</v>
      </c>
    </row>
    <row r="12" spans="1:28" s="109" customFormat="1" ht="15.75" x14ac:dyDescent="0.25">
      <c r="A12" s="97"/>
      <c r="B12" s="97"/>
      <c r="C12" s="98" t="s">
        <v>378</v>
      </c>
      <c r="D12" s="97"/>
      <c r="E12" s="97"/>
      <c r="F12" s="97"/>
      <c r="G12" s="97"/>
      <c r="H12" s="97"/>
      <c r="I12" s="97"/>
      <c r="J12" s="99">
        <v>1500454.7</v>
      </c>
      <c r="Q12" s="344"/>
      <c r="R12" s="151"/>
      <c r="S12" s="151"/>
      <c r="T12" s="151"/>
      <c r="U12" s="343"/>
    </row>
    <row r="13" spans="1:28" s="110" customFormat="1" ht="15" x14ac:dyDescent="0.2">
      <c r="D13" s="111" t="s">
        <v>3</v>
      </c>
      <c r="E13" s="112" t="s">
        <v>66</v>
      </c>
      <c r="F13" s="112" t="s">
        <v>67</v>
      </c>
      <c r="J13" s="113">
        <v>1500454.7</v>
      </c>
      <c r="Q13" s="344"/>
      <c r="R13" s="153"/>
      <c r="S13" s="153"/>
      <c r="T13" s="153"/>
      <c r="U13" s="343"/>
      <c r="AB13" s="176" t="s">
        <v>1102</v>
      </c>
    </row>
    <row r="14" spans="1:28" s="110" customFormat="1" ht="12.75" x14ac:dyDescent="0.2">
      <c r="C14" s="252"/>
      <c r="D14" s="253" t="s">
        <v>3</v>
      </c>
      <c r="E14" s="254" t="s">
        <v>7</v>
      </c>
      <c r="F14" s="254" t="s">
        <v>68</v>
      </c>
      <c r="G14" s="252"/>
      <c r="H14" s="252"/>
      <c r="I14" s="252"/>
      <c r="J14" s="255">
        <v>543392.44000000006</v>
      </c>
      <c r="K14" s="252"/>
      <c r="L14" s="252"/>
      <c r="M14" s="258">
        <f>SUM(M15:M35)</f>
        <v>-100.56120000000001</v>
      </c>
      <c r="N14" s="252"/>
      <c r="O14" s="252"/>
      <c r="P14" s="258">
        <f>SUM(P15:P35)</f>
        <v>543291.88724999991</v>
      </c>
      <c r="Q14" s="344"/>
      <c r="R14" s="153"/>
      <c r="S14" s="153"/>
      <c r="T14" s="153"/>
      <c r="U14" s="343"/>
    </row>
    <row r="15" spans="1:28" s="109" customFormat="1" ht="60" x14ac:dyDescent="0.2">
      <c r="A15" s="97"/>
      <c r="B15" s="116"/>
      <c r="C15" s="117" t="s">
        <v>7</v>
      </c>
      <c r="D15" s="117" t="s">
        <v>69</v>
      </c>
      <c r="E15" s="118" t="s">
        <v>79</v>
      </c>
      <c r="F15" s="119" t="s">
        <v>80</v>
      </c>
      <c r="G15" s="120" t="s">
        <v>72</v>
      </c>
      <c r="H15" s="121">
        <v>140.965</v>
      </c>
      <c r="I15" s="122">
        <v>26.3</v>
      </c>
      <c r="J15" s="122">
        <v>3707.38</v>
      </c>
      <c r="K15" s="85">
        <v>0</v>
      </c>
      <c r="L15" s="86">
        <f>I15</f>
        <v>26.3</v>
      </c>
      <c r="M15" s="277">
        <f>K15*L15</f>
        <v>0</v>
      </c>
      <c r="N15" s="87">
        <f>H15+K15</f>
        <v>140.965</v>
      </c>
      <c r="O15" s="88">
        <f>I15</f>
        <v>26.3</v>
      </c>
      <c r="P15" s="278">
        <f>N15*O15</f>
        <v>3707.3795</v>
      </c>
      <c r="Q15" s="151"/>
      <c r="R15" s="151"/>
      <c r="S15" s="151"/>
      <c r="T15" s="151"/>
      <c r="W15" s="177"/>
    </row>
    <row r="16" spans="1:28" s="109" customFormat="1" ht="60" x14ac:dyDescent="0.2">
      <c r="A16" s="97"/>
      <c r="B16" s="116"/>
      <c r="C16" s="117" t="s">
        <v>8</v>
      </c>
      <c r="D16" s="117" t="s">
        <v>69</v>
      </c>
      <c r="E16" s="118" t="s">
        <v>314</v>
      </c>
      <c r="F16" s="119" t="s">
        <v>315</v>
      </c>
      <c r="G16" s="120" t="s">
        <v>72</v>
      </c>
      <c r="H16" s="121">
        <v>140.965</v>
      </c>
      <c r="I16" s="122">
        <v>519.33000000000004</v>
      </c>
      <c r="J16" s="122">
        <v>73207.350000000006</v>
      </c>
      <c r="K16" s="85">
        <v>0</v>
      </c>
      <c r="L16" s="86">
        <f t="shared" ref="L16:L79" si="0">I16</f>
        <v>519.33000000000004</v>
      </c>
      <c r="M16" s="277">
        <f t="shared" ref="M16:M79" si="1">K16*L16</f>
        <v>0</v>
      </c>
      <c r="N16" s="87">
        <f t="shared" ref="N16:N79" si="2">H16+K16</f>
        <v>140.965</v>
      </c>
      <c r="O16" s="88">
        <f t="shared" ref="O16:O79" si="3">I16</f>
        <v>519.33000000000004</v>
      </c>
      <c r="P16" s="278">
        <f t="shared" ref="P16:P79" si="4">N16*O16</f>
        <v>73207.35345000001</v>
      </c>
      <c r="Q16" s="151"/>
      <c r="R16" s="151"/>
      <c r="S16" s="151"/>
      <c r="T16" s="151"/>
      <c r="W16" s="177"/>
    </row>
    <row r="17" spans="1:26" s="109" customFormat="1" ht="60" x14ac:dyDescent="0.2">
      <c r="A17" s="97"/>
      <c r="B17" s="116"/>
      <c r="C17" s="117" t="s">
        <v>76</v>
      </c>
      <c r="D17" s="117" t="s">
        <v>69</v>
      </c>
      <c r="E17" s="118" t="s">
        <v>316</v>
      </c>
      <c r="F17" s="119" t="s">
        <v>317</v>
      </c>
      <c r="G17" s="120" t="s">
        <v>72</v>
      </c>
      <c r="H17" s="121">
        <v>140.965</v>
      </c>
      <c r="I17" s="122">
        <v>77.599999999999994</v>
      </c>
      <c r="J17" s="122">
        <v>10938.88</v>
      </c>
      <c r="K17" s="85">
        <v>0</v>
      </c>
      <c r="L17" s="86">
        <f t="shared" si="0"/>
        <v>77.599999999999994</v>
      </c>
      <c r="M17" s="277">
        <f t="shared" si="1"/>
        <v>0</v>
      </c>
      <c r="N17" s="87">
        <f t="shared" si="2"/>
        <v>140.965</v>
      </c>
      <c r="O17" s="88">
        <f t="shared" si="3"/>
        <v>77.599999999999994</v>
      </c>
      <c r="P17" s="278">
        <f t="shared" si="4"/>
        <v>10938.884</v>
      </c>
      <c r="Q17" s="151"/>
      <c r="R17" s="151"/>
      <c r="S17" s="151"/>
      <c r="T17" s="151"/>
      <c r="W17" s="177"/>
    </row>
    <row r="18" spans="1:26" s="109" customFormat="1" ht="48" x14ac:dyDescent="0.2">
      <c r="A18" s="97"/>
      <c r="B18" s="116"/>
      <c r="C18" s="117" t="s">
        <v>73</v>
      </c>
      <c r="D18" s="117" t="s">
        <v>69</v>
      </c>
      <c r="E18" s="118" t="s">
        <v>85</v>
      </c>
      <c r="F18" s="119" t="s">
        <v>86</v>
      </c>
      <c r="G18" s="120" t="s">
        <v>72</v>
      </c>
      <c r="H18" s="121">
        <v>269.11500000000001</v>
      </c>
      <c r="I18" s="122">
        <v>55.24</v>
      </c>
      <c r="J18" s="122">
        <v>14865.91</v>
      </c>
      <c r="K18" s="85">
        <v>0</v>
      </c>
      <c r="L18" s="86">
        <f t="shared" si="0"/>
        <v>55.24</v>
      </c>
      <c r="M18" s="277">
        <f t="shared" si="1"/>
        <v>0</v>
      </c>
      <c r="N18" s="87">
        <f t="shared" si="2"/>
        <v>269.11500000000001</v>
      </c>
      <c r="O18" s="88">
        <f t="shared" si="3"/>
        <v>55.24</v>
      </c>
      <c r="P18" s="278">
        <f t="shared" si="4"/>
        <v>14865.912600000001</v>
      </c>
      <c r="Q18" s="151"/>
      <c r="R18" s="151"/>
      <c r="S18" s="151"/>
      <c r="T18" s="151"/>
      <c r="W18" s="177"/>
    </row>
    <row r="19" spans="1:26" s="109" customFormat="1" ht="84" x14ac:dyDescent="0.2">
      <c r="A19" s="97"/>
      <c r="B19" s="116"/>
      <c r="C19" s="117" t="s">
        <v>81</v>
      </c>
      <c r="D19" s="117" t="s">
        <v>69</v>
      </c>
      <c r="E19" s="118" t="s">
        <v>88</v>
      </c>
      <c r="F19" s="119" t="s">
        <v>89</v>
      </c>
      <c r="G19" s="120" t="s">
        <v>61</v>
      </c>
      <c r="H19" s="121">
        <v>5.5</v>
      </c>
      <c r="I19" s="122">
        <v>170.98</v>
      </c>
      <c r="J19" s="122">
        <v>940.39</v>
      </c>
      <c r="K19" s="85">
        <f>ROUND(128.1/128.13*H19-H19,2)</f>
        <v>0</v>
      </c>
      <c r="L19" s="86">
        <f t="shared" si="0"/>
        <v>170.98</v>
      </c>
      <c r="M19" s="277">
        <f t="shared" si="1"/>
        <v>0</v>
      </c>
      <c r="N19" s="87">
        <f t="shared" si="2"/>
        <v>5.5</v>
      </c>
      <c r="O19" s="88">
        <f t="shared" si="3"/>
        <v>170.98</v>
      </c>
      <c r="P19" s="278">
        <f t="shared" si="4"/>
        <v>940.39</v>
      </c>
      <c r="Q19" s="151"/>
      <c r="R19" s="151"/>
      <c r="S19" s="151"/>
      <c r="T19" s="151"/>
    </row>
    <row r="20" spans="1:26" s="109" customFormat="1" ht="84" x14ac:dyDescent="0.2">
      <c r="A20" s="97"/>
      <c r="B20" s="116"/>
      <c r="C20" s="117" t="s">
        <v>84</v>
      </c>
      <c r="D20" s="117" t="s">
        <v>69</v>
      </c>
      <c r="E20" s="118" t="s">
        <v>91</v>
      </c>
      <c r="F20" s="119" t="s">
        <v>92</v>
      </c>
      <c r="G20" s="120" t="s">
        <v>61</v>
      </c>
      <c r="H20" s="121">
        <v>3.3</v>
      </c>
      <c r="I20" s="122">
        <v>147.30000000000001</v>
      </c>
      <c r="J20" s="122">
        <v>486.09</v>
      </c>
      <c r="K20" s="85">
        <f t="shared" ref="K20:K37" si="5">ROUND(128.1/128.13*H20-H20,2)</f>
        <v>0</v>
      </c>
      <c r="L20" s="86">
        <f t="shared" si="0"/>
        <v>147.30000000000001</v>
      </c>
      <c r="M20" s="277">
        <f t="shared" si="1"/>
        <v>0</v>
      </c>
      <c r="N20" s="87">
        <f t="shared" si="2"/>
        <v>3.3</v>
      </c>
      <c r="O20" s="88">
        <f t="shared" si="3"/>
        <v>147.30000000000001</v>
      </c>
      <c r="P20" s="278">
        <f t="shared" si="4"/>
        <v>486.09000000000003</v>
      </c>
      <c r="Q20" s="151"/>
      <c r="R20" s="151"/>
      <c r="S20" s="151"/>
      <c r="T20" s="151"/>
    </row>
    <row r="21" spans="1:26" s="109" customFormat="1" ht="36" x14ac:dyDescent="0.2">
      <c r="A21" s="97"/>
      <c r="B21" s="116"/>
      <c r="C21" s="117" t="s">
        <v>87</v>
      </c>
      <c r="D21" s="117" t="s">
        <v>69</v>
      </c>
      <c r="E21" s="118" t="s">
        <v>94</v>
      </c>
      <c r="F21" s="119" t="s">
        <v>95</v>
      </c>
      <c r="G21" s="120" t="s">
        <v>62</v>
      </c>
      <c r="H21" s="121">
        <v>31.68</v>
      </c>
      <c r="I21" s="122">
        <v>257.77999999999997</v>
      </c>
      <c r="J21" s="122">
        <v>8166.47</v>
      </c>
      <c r="K21" s="85">
        <f t="shared" si="5"/>
        <v>-0.01</v>
      </c>
      <c r="L21" s="86">
        <f t="shared" si="0"/>
        <v>257.77999999999997</v>
      </c>
      <c r="M21" s="277">
        <f t="shared" si="1"/>
        <v>-2.5777999999999999</v>
      </c>
      <c r="N21" s="87">
        <f t="shared" si="2"/>
        <v>31.669999999999998</v>
      </c>
      <c r="O21" s="88">
        <f t="shared" si="3"/>
        <v>257.77999999999997</v>
      </c>
      <c r="P21" s="278">
        <f t="shared" si="4"/>
        <v>8163.8925999999983</v>
      </c>
      <c r="Q21" s="151"/>
      <c r="R21" s="151"/>
      <c r="S21" s="163"/>
      <c r="T21" s="151"/>
      <c r="W21" s="177"/>
    </row>
    <row r="22" spans="1:26" s="109" customFormat="1" ht="48" x14ac:dyDescent="0.2">
      <c r="A22" s="97"/>
      <c r="B22" s="116"/>
      <c r="C22" s="117" t="s">
        <v>90</v>
      </c>
      <c r="D22" s="117" t="s">
        <v>69</v>
      </c>
      <c r="E22" s="118" t="s">
        <v>96</v>
      </c>
      <c r="F22" s="119" t="s">
        <v>97</v>
      </c>
      <c r="G22" s="120" t="s">
        <v>62</v>
      </c>
      <c r="H22" s="121">
        <v>60.34</v>
      </c>
      <c r="I22" s="122">
        <v>234.11</v>
      </c>
      <c r="J22" s="122">
        <v>14126.2</v>
      </c>
      <c r="K22" s="85">
        <f t="shared" si="5"/>
        <v>-0.01</v>
      </c>
      <c r="L22" s="86">
        <f t="shared" si="0"/>
        <v>234.11</v>
      </c>
      <c r="M22" s="277">
        <f t="shared" si="1"/>
        <v>-2.3411000000000004</v>
      </c>
      <c r="N22" s="87">
        <f t="shared" si="2"/>
        <v>60.330000000000005</v>
      </c>
      <c r="O22" s="88">
        <f t="shared" si="3"/>
        <v>234.11</v>
      </c>
      <c r="P22" s="278">
        <f t="shared" si="4"/>
        <v>14123.856300000001</v>
      </c>
      <c r="Q22" s="151"/>
      <c r="R22" s="151"/>
      <c r="S22" s="163"/>
      <c r="T22" s="151"/>
      <c r="W22" s="177"/>
    </row>
    <row r="23" spans="1:26" s="109" customFormat="1" ht="48" x14ac:dyDescent="0.2">
      <c r="A23" s="97"/>
      <c r="B23" s="116"/>
      <c r="C23" s="117" t="s">
        <v>93</v>
      </c>
      <c r="D23" s="117" t="s">
        <v>69</v>
      </c>
      <c r="E23" s="118" t="s">
        <v>98</v>
      </c>
      <c r="F23" s="119" t="s">
        <v>99</v>
      </c>
      <c r="G23" s="120" t="s">
        <v>62</v>
      </c>
      <c r="H23" s="121">
        <v>105.59</v>
      </c>
      <c r="I23" s="122">
        <v>257.77999999999997</v>
      </c>
      <c r="J23" s="122">
        <v>27218.99</v>
      </c>
      <c r="K23" s="85">
        <f t="shared" si="5"/>
        <v>-0.02</v>
      </c>
      <c r="L23" s="86">
        <f t="shared" si="0"/>
        <v>257.77999999999997</v>
      </c>
      <c r="M23" s="277">
        <f t="shared" si="1"/>
        <v>-5.1555999999999997</v>
      </c>
      <c r="N23" s="87">
        <f t="shared" si="2"/>
        <v>105.57000000000001</v>
      </c>
      <c r="O23" s="88">
        <f t="shared" si="3"/>
        <v>257.77999999999997</v>
      </c>
      <c r="P23" s="278">
        <f t="shared" si="4"/>
        <v>27213.834599999998</v>
      </c>
      <c r="Q23" s="151"/>
      <c r="R23" s="151"/>
      <c r="S23" s="163"/>
      <c r="T23" s="151"/>
      <c r="W23" s="177"/>
    </row>
    <row r="24" spans="1:26" s="109" customFormat="1" ht="48" x14ac:dyDescent="0.2">
      <c r="A24" s="97"/>
      <c r="B24" s="116"/>
      <c r="C24" s="117" t="s">
        <v>26</v>
      </c>
      <c r="D24" s="117" t="s">
        <v>69</v>
      </c>
      <c r="E24" s="118" t="s">
        <v>100</v>
      </c>
      <c r="F24" s="119" t="s">
        <v>101</v>
      </c>
      <c r="G24" s="120" t="s">
        <v>62</v>
      </c>
      <c r="H24" s="121">
        <v>135.76</v>
      </c>
      <c r="I24" s="122">
        <v>315.64999999999998</v>
      </c>
      <c r="J24" s="122">
        <v>42852.639999999999</v>
      </c>
      <c r="K24" s="85">
        <f t="shared" si="5"/>
        <v>-0.03</v>
      </c>
      <c r="L24" s="86">
        <f t="shared" si="0"/>
        <v>315.64999999999998</v>
      </c>
      <c r="M24" s="277">
        <f t="shared" si="1"/>
        <v>-9.4694999999999983</v>
      </c>
      <c r="N24" s="87">
        <f t="shared" si="2"/>
        <v>135.72999999999999</v>
      </c>
      <c r="O24" s="88">
        <f t="shared" si="3"/>
        <v>315.64999999999998</v>
      </c>
      <c r="P24" s="278">
        <f t="shared" si="4"/>
        <v>42843.174499999994</v>
      </c>
      <c r="Q24" s="151"/>
      <c r="R24" s="151"/>
      <c r="S24" s="163"/>
      <c r="T24" s="151"/>
      <c r="W24" s="177"/>
    </row>
    <row r="25" spans="1:26" s="109" customFormat="1" ht="36" x14ac:dyDescent="0.2">
      <c r="A25" s="97"/>
      <c r="B25" s="116"/>
      <c r="C25" s="117" t="s">
        <v>28</v>
      </c>
      <c r="D25" s="117" t="s">
        <v>69</v>
      </c>
      <c r="E25" s="118" t="s">
        <v>102</v>
      </c>
      <c r="F25" s="119" t="s">
        <v>103</v>
      </c>
      <c r="G25" s="120" t="s">
        <v>72</v>
      </c>
      <c r="H25" s="121">
        <v>593.91</v>
      </c>
      <c r="I25" s="122">
        <v>69.709999999999994</v>
      </c>
      <c r="J25" s="122">
        <v>41401.47</v>
      </c>
      <c r="K25" s="85">
        <f t="shared" si="5"/>
        <v>-0.14000000000000001</v>
      </c>
      <c r="L25" s="86">
        <f t="shared" si="0"/>
        <v>69.709999999999994</v>
      </c>
      <c r="M25" s="277">
        <f t="shared" si="1"/>
        <v>-9.7593999999999994</v>
      </c>
      <c r="N25" s="87">
        <f t="shared" si="2"/>
        <v>593.77</v>
      </c>
      <c r="O25" s="88">
        <f t="shared" si="3"/>
        <v>69.709999999999994</v>
      </c>
      <c r="P25" s="278">
        <f t="shared" si="4"/>
        <v>41391.706699999995</v>
      </c>
      <c r="Q25" s="151"/>
      <c r="R25" s="151"/>
      <c r="S25" s="163"/>
      <c r="T25" s="151"/>
      <c r="W25" s="177"/>
    </row>
    <row r="26" spans="1:26" s="109" customFormat="1" ht="48" x14ac:dyDescent="0.2">
      <c r="A26" s="97"/>
      <c r="B26" s="116"/>
      <c r="C26" s="117" t="s">
        <v>30</v>
      </c>
      <c r="D26" s="117" t="s">
        <v>69</v>
      </c>
      <c r="E26" s="118" t="s">
        <v>104</v>
      </c>
      <c r="F26" s="119" t="s">
        <v>105</v>
      </c>
      <c r="G26" s="120" t="s">
        <v>72</v>
      </c>
      <c r="H26" s="121">
        <v>593.91</v>
      </c>
      <c r="I26" s="122">
        <v>80.23</v>
      </c>
      <c r="J26" s="122">
        <v>47649.4</v>
      </c>
      <c r="K26" s="85">
        <f t="shared" si="5"/>
        <v>-0.14000000000000001</v>
      </c>
      <c r="L26" s="86">
        <f t="shared" si="0"/>
        <v>80.23</v>
      </c>
      <c r="M26" s="277">
        <f t="shared" si="1"/>
        <v>-11.232200000000002</v>
      </c>
      <c r="N26" s="87">
        <f t="shared" si="2"/>
        <v>593.77</v>
      </c>
      <c r="O26" s="88">
        <f t="shared" si="3"/>
        <v>80.23</v>
      </c>
      <c r="P26" s="278">
        <f t="shared" si="4"/>
        <v>47638.167099999999</v>
      </c>
      <c r="Q26" s="151"/>
      <c r="R26" s="151"/>
      <c r="S26" s="163"/>
      <c r="T26" s="151"/>
      <c r="W26" s="177"/>
    </row>
    <row r="27" spans="1:26" s="109" customFormat="1" ht="48" x14ac:dyDescent="0.2">
      <c r="A27" s="97"/>
      <c r="B27" s="116"/>
      <c r="C27" s="117" t="s">
        <v>32</v>
      </c>
      <c r="D27" s="117" t="s">
        <v>69</v>
      </c>
      <c r="E27" s="118" t="s">
        <v>106</v>
      </c>
      <c r="F27" s="119" t="s">
        <v>107</v>
      </c>
      <c r="G27" s="120" t="s">
        <v>62</v>
      </c>
      <c r="H27" s="121">
        <v>181.02</v>
      </c>
      <c r="I27" s="122">
        <v>13.15</v>
      </c>
      <c r="J27" s="122">
        <v>2380.41</v>
      </c>
      <c r="K27" s="85">
        <f t="shared" si="5"/>
        <v>-0.04</v>
      </c>
      <c r="L27" s="86">
        <f t="shared" si="0"/>
        <v>13.15</v>
      </c>
      <c r="M27" s="277">
        <f t="shared" si="1"/>
        <v>-0.52600000000000002</v>
      </c>
      <c r="N27" s="87">
        <f t="shared" si="2"/>
        <v>180.98000000000002</v>
      </c>
      <c r="O27" s="88">
        <f t="shared" si="3"/>
        <v>13.15</v>
      </c>
      <c r="P27" s="278">
        <f t="shared" si="4"/>
        <v>2379.8870000000002</v>
      </c>
      <c r="Q27" s="151"/>
      <c r="R27" s="151"/>
      <c r="S27" s="163"/>
      <c r="T27" s="151"/>
      <c r="W27" s="177"/>
    </row>
    <row r="28" spans="1:26" s="109" customFormat="1" ht="48" x14ac:dyDescent="0.2">
      <c r="A28" s="97"/>
      <c r="B28" s="116"/>
      <c r="C28" s="117" t="s">
        <v>34</v>
      </c>
      <c r="D28" s="117" t="s">
        <v>69</v>
      </c>
      <c r="E28" s="118" t="s">
        <v>108</v>
      </c>
      <c r="F28" s="119" t="s">
        <v>109</v>
      </c>
      <c r="G28" s="120" t="s">
        <v>62</v>
      </c>
      <c r="H28" s="121">
        <v>486.19</v>
      </c>
      <c r="I28" s="122">
        <v>185.41</v>
      </c>
      <c r="J28" s="122">
        <v>90144.49</v>
      </c>
      <c r="K28" s="85">
        <f t="shared" si="5"/>
        <v>-0.11</v>
      </c>
      <c r="L28" s="86">
        <f t="shared" si="0"/>
        <v>185.41</v>
      </c>
      <c r="M28" s="277">
        <f t="shared" si="1"/>
        <v>-20.395099999999999</v>
      </c>
      <c r="N28" s="87">
        <f t="shared" si="2"/>
        <v>486.08</v>
      </c>
      <c r="O28" s="88">
        <f t="shared" si="3"/>
        <v>185.41</v>
      </c>
      <c r="P28" s="278">
        <f t="shared" si="4"/>
        <v>90124.092799999999</v>
      </c>
      <c r="Q28" s="151"/>
      <c r="R28" s="151"/>
      <c r="S28" s="163"/>
      <c r="T28" s="151"/>
      <c r="W28" s="177"/>
    </row>
    <row r="29" spans="1:26" s="109" customFormat="1" ht="36" x14ac:dyDescent="0.2">
      <c r="A29" s="97"/>
      <c r="B29" s="116"/>
      <c r="C29" s="117" t="s">
        <v>1</v>
      </c>
      <c r="D29" s="117" t="s">
        <v>69</v>
      </c>
      <c r="E29" s="118" t="s">
        <v>110</v>
      </c>
      <c r="F29" s="119" t="s">
        <v>111</v>
      </c>
      <c r="G29" s="120" t="s">
        <v>62</v>
      </c>
      <c r="H29" s="121">
        <v>301.7</v>
      </c>
      <c r="I29" s="122">
        <v>44.72</v>
      </c>
      <c r="J29" s="122">
        <v>13492.02</v>
      </c>
      <c r="K29" s="85">
        <f t="shared" si="5"/>
        <v>-7.0000000000000007E-2</v>
      </c>
      <c r="L29" s="86">
        <f t="shared" si="0"/>
        <v>44.72</v>
      </c>
      <c r="M29" s="277">
        <f t="shared" si="1"/>
        <v>-3.1304000000000003</v>
      </c>
      <c r="N29" s="87">
        <f t="shared" si="2"/>
        <v>301.63</v>
      </c>
      <c r="O29" s="88">
        <f t="shared" si="3"/>
        <v>44.72</v>
      </c>
      <c r="P29" s="278">
        <f t="shared" si="4"/>
        <v>13488.893599999999</v>
      </c>
      <c r="Q29" s="151"/>
      <c r="R29" s="151"/>
      <c r="S29" s="163"/>
      <c r="T29" s="151"/>
    </row>
    <row r="30" spans="1:26" s="109" customFormat="1" ht="48" x14ac:dyDescent="0.2">
      <c r="A30" s="97"/>
      <c r="B30" s="116"/>
      <c r="C30" s="117" t="s">
        <v>37</v>
      </c>
      <c r="D30" s="117" t="s">
        <v>69</v>
      </c>
      <c r="E30" s="118" t="s">
        <v>112</v>
      </c>
      <c r="F30" s="119" t="s">
        <v>113</v>
      </c>
      <c r="G30" s="120" t="s">
        <v>62</v>
      </c>
      <c r="H30" s="121">
        <v>116.3</v>
      </c>
      <c r="I30" s="122">
        <v>247.39</v>
      </c>
      <c r="J30" s="122">
        <v>28771.46</v>
      </c>
      <c r="K30" s="85">
        <f t="shared" si="5"/>
        <v>-0.03</v>
      </c>
      <c r="L30" s="86">
        <f t="shared" si="0"/>
        <v>247.39</v>
      </c>
      <c r="M30" s="277">
        <f t="shared" si="1"/>
        <v>-7.4216999999999995</v>
      </c>
      <c r="N30" s="87">
        <f t="shared" si="2"/>
        <v>116.27</v>
      </c>
      <c r="O30" s="88">
        <f t="shared" si="3"/>
        <v>247.39</v>
      </c>
      <c r="P30" s="278">
        <f t="shared" si="4"/>
        <v>28764.035299999996</v>
      </c>
      <c r="Q30" s="151"/>
      <c r="R30" s="151"/>
      <c r="S30" s="151"/>
      <c r="T30" s="151"/>
      <c r="Y30" s="327" t="s">
        <v>1112</v>
      </c>
      <c r="Z30" s="335" t="s">
        <v>1008</v>
      </c>
    </row>
    <row r="31" spans="1:26" s="109" customFormat="1" ht="12" x14ac:dyDescent="0.2">
      <c r="A31" s="97"/>
      <c r="B31" s="116"/>
      <c r="C31" s="117" t="s">
        <v>39</v>
      </c>
      <c r="D31" s="117" t="s">
        <v>69</v>
      </c>
      <c r="E31" s="118" t="s">
        <v>115</v>
      </c>
      <c r="F31" s="119" t="s">
        <v>116</v>
      </c>
      <c r="G31" s="120" t="s">
        <v>62</v>
      </c>
      <c r="H31" s="121">
        <v>116.3</v>
      </c>
      <c r="I31" s="122">
        <v>11.84</v>
      </c>
      <c r="J31" s="122">
        <v>1376.99</v>
      </c>
      <c r="K31" s="85">
        <f t="shared" si="5"/>
        <v>-0.03</v>
      </c>
      <c r="L31" s="86">
        <f t="shared" si="0"/>
        <v>11.84</v>
      </c>
      <c r="M31" s="277">
        <f t="shared" si="1"/>
        <v>-0.35519999999999996</v>
      </c>
      <c r="N31" s="87">
        <f t="shared" si="2"/>
        <v>116.27</v>
      </c>
      <c r="O31" s="88">
        <f t="shared" si="3"/>
        <v>11.84</v>
      </c>
      <c r="P31" s="278">
        <f t="shared" si="4"/>
        <v>1376.6368</v>
      </c>
      <c r="Q31" s="151"/>
      <c r="R31" s="151"/>
      <c r="S31" s="151"/>
      <c r="T31" s="151"/>
      <c r="Y31" s="327"/>
      <c r="Z31" s="335"/>
    </row>
    <row r="32" spans="1:26" s="109" customFormat="1" ht="36" x14ac:dyDescent="0.2">
      <c r="A32" s="97"/>
      <c r="B32" s="116"/>
      <c r="C32" s="117" t="s">
        <v>41</v>
      </c>
      <c r="D32" s="117" t="s">
        <v>69</v>
      </c>
      <c r="E32" s="118" t="s">
        <v>118</v>
      </c>
      <c r="F32" s="119" t="s">
        <v>119</v>
      </c>
      <c r="G32" s="120" t="s">
        <v>120</v>
      </c>
      <c r="H32" s="121">
        <v>185.86500000000001</v>
      </c>
      <c r="I32" s="122">
        <v>116</v>
      </c>
      <c r="J32" s="122">
        <v>21560.34</v>
      </c>
      <c r="K32" s="85">
        <f t="shared" si="5"/>
        <v>-0.04</v>
      </c>
      <c r="L32" s="86">
        <f t="shared" si="0"/>
        <v>116</v>
      </c>
      <c r="M32" s="277">
        <f t="shared" si="1"/>
        <v>-4.6399999999999997</v>
      </c>
      <c r="N32" s="87">
        <f t="shared" si="2"/>
        <v>185.82500000000002</v>
      </c>
      <c r="O32" s="88">
        <f t="shared" si="3"/>
        <v>116</v>
      </c>
      <c r="P32" s="278">
        <f t="shared" si="4"/>
        <v>21555.7</v>
      </c>
      <c r="Q32" s="151"/>
      <c r="R32" s="151"/>
      <c r="S32" s="151"/>
      <c r="T32" s="151"/>
      <c r="Y32" s="327"/>
      <c r="Z32" s="335"/>
    </row>
    <row r="33" spans="1:23" s="109" customFormat="1" ht="36" x14ac:dyDescent="0.2">
      <c r="A33" s="97"/>
      <c r="B33" s="116"/>
      <c r="C33" s="117" t="s">
        <v>114</v>
      </c>
      <c r="D33" s="117" t="s">
        <v>69</v>
      </c>
      <c r="E33" s="118" t="s">
        <v>121</v>
      </c>
      <c r="F33" s="119" t="s">
        <v>122</v>
      </c>
      <c r="G33" s="120" t="s">
        <v>62</v>
      </c>
      <c r="H33" s="121">
        <v>184.49</v>
      </c>
      <c r="I33" s="122">
        <v>286.72000000000003</v>
      </c>
      <c r="J33" s="122">
        <v>52896.97</v>
      </c>
      <c r="K33" s="85">
        <f t="shared" si="5"/>
        <v>-0.04</v>
      </c>
      <c r="L33" s="86">
        <f t="shared" si="0"/>
        <v>286.72000000000003</v>
      </c>
      <c r="M33" s="277">
        <f t="shared" si="1"/>
        <v>-11.468800000000002</v>
      </c>
      <c r="N33" s="87">
        <f t="shared" si="2"/>
        <v>184.45000000000002</v>
      </c>
      <c r="O33" s="88">
        <f t="shared" si="3"/>
        <v>286.72000000000003</v>
      </c>
      <c r="P33" s="278">
        <f t="shared" si="4"/>
        <v>52885.504000000008</v>
      </c>
      <c r="Q33" s="151"/>
      <c r="R33" s="151"/>
      <c r="S33" s="151"/>
      <c r="T33" s="151"/>
      <c r="W33" s="177"/>
    </row>
    <row r="34" spans="1:23" s="109" customFormat="1" ht="60" x14ac:dyDescent="0.2">
      <c r="A34" s="97"/>
      <c r="B34" s="116"/>
      <c r="C34" s="117" t="s">
        <v>117</v>
      </c>
      <c r="D34" s="117" t="s">
        <v>69</v>
      </c>
      <c r="E34" s="118" t="s">
        <v>124</v>
      </c>
      <c r="F34" s="119" t="s">
        <v>125</v>
      </c>
      <c r="G34" s="120" t="s">
        <v>62</v>
      </c>
      <c r="H34" s="121">
        <v>71.349999999999994</v>
      </c>
      <c r="I34" s="122">
        <v>318.27999999999997</v>
      </c>
      <c r="J34" s="122">
        <v>22709.279999999999</v>
      </c>
      <c r="K34" s="85">
        <f t="shared" si="5"/>
        <v>-0.02</v>
      </c>
      <c r="L34" s="86">
        <f t="shared" si="0"/>
        <v>318.27999999999997</v>
      </c>
      <c r="M34" s="277">
        <f t="shared" si="1"/>
        <v>-6.3655999999999997</v>
      </c>
      <c r="N34" s="87">
        <f t="shared" si="2"/>
        <v>71.33</v>
      </c>
      <c r="O34" s="88">
        <f t="shared" si="3"/>
        <v>318.27999999999997</v>
      </c>
      <c r="P34" s="278">
        <f t="shared" si="4"/>
        <v>22702.912399999997</v>
      </c>
      <c r="Q34" s="151"/>
      <c r="R34" s="151"/>
      <c r="S34" s="163"/>
      <c r="T34" s="151"/>
      <c r="W34" s="177"/>
    </row>
    <row r="35" spans="1:23" s="109" customFormat="1" ht="12" x14ac:dyDescent="0.2">
      <c r="A35" s="97"/>
      <c r="B35" s="116"/>
      <c r="C35" s="123" t="s">
        <v>0</v>
      </c>
      <c r="D35" s="123" t="s">
        <v>127</v>
      </c>
      <c r="E35" s="124" t="s">
        <v>128</v>
      </c>
      <c r="F35" s="125" t="s">
        <v>129</v>
      </c>
      <c r="G35" s="126" t="s">
        <v>120</v>
      </c>
      <c r="H35" s="127">
        <v>128.43</v>
      </c>
      <c r="I35" s="128">
        <v>190.76</v>
      </c>
      <c r="J35" s="128">
        <v>24499.31</v>
      </c>
      <c r="K35" s="85">
        <f t="shared" si="5"/>
        <v>-0.03</v>
      </c>
      <c r="L35" s="86">
        <f t="shared" si="0"/>
        <v>190.76</v>
      </c>
      <c r="M35" s="277">
        <f t="shared" si="1"/>
        <v>-5.7227999999999994</v>
      </c>
      <c r="N35" s="87">
        <f t="shared" si="2"/>
        <v>128.4</v>
      </c>
      <c r="O35" s="88">
        <f t="shared" si="3"/>
        <v>190.76</v>
      </c>
      <c r="P35" s="278">
        <f t="shared" si="4"/>
        <v>24493.583999999999</v>
      </c>
      <c r="Q35" s="151"/>
      <c r="R35" s="151"/>
      <c r="S35" s="163"/>
      <c r="T35" s="151"/>
      <c r="W35" s="177"/>
    </row>
    <row r="36" spans="1:23" s="110" customFormat="1" ht="12.75" x14ac:dyDescent="0.2">
      <c r="C36" s="245"/>
      <c r="D36" s="246" t="s">
        <v>3</v>
      </c>
      <c r="E36" s="247" t="s">
        <v>76</v>
      </c>
      <c r="F36" s="247" t="s">
        <v>130</v>
      </c>
      <c r="G36" s="245"/>
      <c r="H36" s="245"/>
      <c r="I36" s="245"/>
      <c r="J36" s="248">
        <v>4213.57</v>
      </c>
      <c r="K36" s="243"/>
      <c r="L36" s="244"/>
      <c r="M36" s="279">
        <f>M37</f>
        <v>-0.98640000000000005</v>
      </c>
      <c r="N36" s="290"/>
      <c r="O36" s="244"/>
      <c r="P36" s="279">
        <f>P37</f>
        <v>4212.5856000000003</v>
      </c>
      <c r="Q36" s="109"/>
      <c r="V36" s="109"/>
      <c r="W36" s="177"/>
    </row>
    <row r="37" spans="1:23" s="109" customFormat="1" ht="12" x14ac:dyDescent="0.2">
      <c r="A37" s="97"/>
      <c r="B37" s="116"/>
      <c r="C37" s="117" t="s">
        <v>123</v>
      </c>
      <c r="D37" s="117" t="s">
        <v>69</v>
      </c>
      <c r="E37" s="118" t="s">
        <v>132</v>
      </c>
      <c r="F37" s="119" t="s">
        <v>133</v>
      </c>
      <c r="G37" s="120" t="s">
        <v>61</v>
      </c>
      <c r="H37" s="121">
        <v>128.15</v>
      </c>
      <c r="I37" s="122">
        <v>32.880000000000003</v>
      </c>
      <c r="J37" s="122">
        <v>4213.57</v>
      </c>
      <c r="K37" s="85">
        <f t="shared" si="5"/>
        <v>-0.03</v>
      </c>
      <c r="L37" s="86">
        <f t="shared" si="0"/>
        <v>32.880000000000003</v>
      </c>
      <c r="M37" s="277">
        <f t="shared" si="1"/>
        <v>-0.98640000000000005</v>
      </c>
      <c r="N37" s="87">
        <f t="shared" si="2"/>
        <v>128.12</v>
      </c>
      <c r="O37" s="88">
        <f t="shared" si="3"/>
        <v>32.880000000000003</v>
      </c>
      <c r="P37" s="278">
        <f t="shared" si="4"/>
        <v>4212.5856000000003</v>
      </c>
      <c r="W37" s="177"/>
    </row>
    <row r="38" spans="1:23" s="110" customFormat="1" ht="12.75" x14ac:dyDescent="0.2">
      <c r="C38" s="245"/>
      <c r="D38" s="246" t="s">
        <v>3</v>
      </c>
      <c r="E38" s="247" t="s">
        <v>73</v>
      </c>
      <c r="F38" s="247" t="s">
        <v>134</v>
      </c>
      <c r="G38" s="245"/>
      <c r="H38" s="245"/>
      <c r="I38" s="245"/>
      <c r="J38" s="248">
        <v>6555.08</v>
      </c>
      <c r="K38" s="243"/>
      <c r="L38" s="244"/>
      <c r="M38" s="279">
        <f>SUM(M39:M40)</f>
        <v>0</v>
      </c>
      <c r="N38" s="290"/>
      <c r="O38" s="244"/>
      <c r="P38" s="279">
        <f>SUM(P39:P40)</f>
        <v>6555.08</v>
      </c>
      <c r="Q38" s="109"/>
      <c r="W38" s="177"/>
    </row>
    <row r="39" spans="1:23" s="109" customFormat="1" ht="24" x14ac:dyDescent="0.2">
      <c r="A39" s="97"/>
      <c r="B39" s="116"/>
      <c r="C39" s="117" t="s">
        <v>126</v>
      </c>
      <c r="D39" s="117" t="s">
        <v>69</v>
      </c>
      <c r="E39" s="118" t="s">
        <v>136</v>
      </c>
      <c r="F39" s="119" t="s">
        <v>137</v>
      </c>
      <c r="G39" s="120" t="s">
        <v>138</v>
      </c>
      <c r="H39" s="121">
        <v>14</v>
      </c>
      <c r="I39" s="122">
        <v>122.32</v>
      </c>
      <c r="J39" s="122">
        <v>1712.48</v>
      </c>
      <c r="K39" s="85">
        <v>0</v>
      </c>
      <c r="L39" s="86">
        <f t="shared" si="0"/>
        <v>122.32</v>
      </c>
      <c r="M39" s="277">
        <f t="shared" si="1"/>
        <v>0</v>
      </c>
      <c r="N39" s="87">
        <f t="shared" si="2"/>
        <v>14</v>
      </c>
      <c r="O39" s="88">
        <f t="shared" si="3"/>
        <v>122.32</v>
      </c>
      <c r="P39" s="278">
        <f t="shared" si="4"/>
        <v>1712.48</v>
      </c>
      <c r="W39" s="177"/>
    </row>
    <row r="40" spans="1:23" s="109" customFormat="1" ht="12" x14ac:dyDescent="0.2">
      <c r="A40" s="97"/>
      <c r="B40" s="116"/>
      <c r="C40" s="123" t="s">
        <v>131</v>
      </c>
      <c r="D40" s="123" t="s">
        <v>127</v>
      </c>
      <c r="E40" s="124" t="s">
        <v>146</v>
      </c>
      <c r="F40" s="125" t="s">
        <v>147</v>
      </c>
      <c r="G40" s="126" t="s">
        <v>138</v>
      </c>
      <c r="H40" s="127">
        <v>14</v>
      </c>
      <c r="I40" s="128">
        <v>345.9</v>
      </c>
      <c r="J40" s="128">
        <v>4842.6000000000004</v>
      </c>
      <c r="K40" s="85">
        <v>0</v>
      </c>
      <c r="L40" s="86">
        <f t="shared" si="0"/>
        <v>345.9</v>
      </c>
      <c r="M40" s="277">
        <f t="shared" si="1"/>
        <v>0</v>
      </c>
      <c r="N40" s="87">
        <f t="shared" si="2"/>
        <v>14</v>
      </c>
      <c r="O40" s="88">
        <f t="shared" si="3"/>
        <v>345.9</v>
      </c>
      <c r="P40" s="278">
        <f t="shared" si="4"/>
        <v>4842.5999999999995</v>
      </c>
      <c r="W40" s="177"/>
    </row>
    <row r="41" spans="1:23" s="110" customFormat="1" ht="12.75" x14ac:dyDescent="0.2">
      <c r="C41" s="245"/>
      <c r="D41" s="246" t="s">
        <v>3</v>
      </c>
      <c r="E41" s="247" t="s">
        <v>81</v>
      </c>
      <c r="F41" s="247" t="s">
        <v>154</v>
      </c>
      <c r="G41" s="245"/>
      <c r="H41" s="245"/>
      <c r="I41" s="245"/>
      <c r="J41" s="248">
        <v>298033.19</v>
      </c>
      <c r="K41" s="243"/>
      <c r="L41" s="244"/>
      <c r="M41" s="279">
        <f>SUM(M42:M47)</f>
        <v>0</v>
      </c>
      <c r="N41" s="290"/>
      <c r="O41" s="244"/>
      <c r="P41" s="279">
        <f>SUM(P42:P47)</f>
        <v>298033.20085000002</v>
      </c>
      <c r="Q41" s="109"/>
      <c r="W41" s="177"/>
    </row>
    <row r="42" spans="1:23" s="109" customFormat="1" ht="24" x14ac:dyDescent="0.2">
      <c r="A42" s="97"/>
      <c r="B42" s="116"/>
      <c r="C42" s="117" t="s">
        <v>135</v>
      </c>
      <c r="D42" s="117" t="s">
        <v>69</v>
      </c>
      <c r="E42" s="118" t="s">
        <v>162</v>
      </c>
      <c r="F42" s="119" t="s">
        <v>163</v>
      </c>
      <c r="G42" s="120" t="s">
        <v>72</v>
      </c>
      <c r="H42" s="121">
        <v>140.965</v>
      </c>
      <c r="I42" s="122">
        <v>155.66999999999999</v>
      </c>
      <c r="J42" s="122">
        <v>21944.02</v>
      </c>
      <c r="K42" s="85">
        <v>0</v>
      </c>
      <c r="L42" s="86">
        <f t="shared" si="0"/>
        <v>155.66999999999999</v>
      </c>
      <c r="M42" s="277">
        <f t="shared" si="1"/>
        <v>0</v>
      </c>
      <c r="N42" s="87">
        <f t="shared" si="2"/>
        <v>140.965</v>
      </c>
      <c r="O42" s="88">
        <f t="shared" si="3"/>
        <v>155.66999999999999</v>
      </c>
      <c r="P42" s="278">
        <f t="shared" si="4"/>
        <v>21944.021549999998</v>
      </c>
      <c r="W42" s="177"/>
    </row>
    <row r="43" spans="1:23" s="109" customFormat="1" ht="56.25" x14ac:dyDescent="0.2">
      <c r="A43" s="97"/>
      <c r="B43" s="116"/>
      <c r="C43" s="117" t="s">
        <v>139</v>
      </c>
      <c r="D43" s="117" t="s">
        <v>69</v>
      </c>
      <c r="E43" s="118" t="s">
        <v>325</v>
      </c>
      <c r="F43" s="119" t="s">
        <v>326</v>
      </c>
      <c r="G43" s="120" t="s">
        <v>72</v>
      </c>
      <c r="H43" s="121">
        <v>140.965</v>
      </c>
      <c r="I43" s="122">
        <v>420.19</v>
      </c>
      <c r="J43" s="122">
        <v>59232.08</v>
      </c>
      <c r="K43" s="85">
        <v>0</v>
      </c>
      <c r="L43" s="86">
        <f t="shared" si="0"/>
        <v>420.19</v>
      </c>
      <c r="M43" s="277">
        <f t="shared" si="1"/>
        <v>0</v>
      </c>
      <c r="N43" s="87">
        <f t="shared" si="2"/>
        <v>140.965</v>
      </c>
      <c r="O43" s="88">
        <f t="shared" si="3"/>
        <v>420.19</v>
      </c>
      <c r="P43" s="278">
        <f t="shared" si="4"/>
        <v>59232.083350000001</v>
      </c>
      <c r="R43" s="150" t="s">
        <v>1028</v>
      </c>
      <c r="S43" s="148" t="s">
        <v>1036</v>
      </c>
      <c r="T43" s="109" t="s">
        <v>1052</v>
      </c>
    </row>
    <row r="44" spans="1:23" s="109" customFormat="1" ht="36" x14ac:dyDescent="0.2">
      <c r="A44" s="97"/>
      <c r="B44" s="116"/>
      <c r="C44" s="117" t="s">
        <v>142</v>
      </c>
      <c r="D44" s="117" t="s">
        <v>69</v>
      </c>
      <c r="E44" s="118" t="s">
        <v>327</v>
      </c>
      <c r="F44" s="119" t="s">
        <v>328</v>
      </c>
      <c r="G44" s="120" t="s">
        <v>72</v>
      </c>
      <c r="H44" s="121">
        <v>140.965</v>
      </c>
      <c r="I44" s="122">
        <v>315.11</v>
      </c>
      <c r="J44" s="122">
        <v>44419.48</v>
      </c>
      <c r="K44" s="85">
        <v>0</v>
      </c>
      <c r="L44" s="86">
        <f t="shared" si="0"/>
        <v>315.11</v>
      </c>
      <c r="M44" s="277">
        <f t="shared" si="1"/>
        <v>0</v>
      </c>
      <c r="N44" s="87">
        <f t="shared" si="2"/>
        <v>140.965</v>
      </c>
      <c r="O44" s="88">
        <f t="shared" si="3"/>
        <v>315.11</v>
      </c>
      <c r="P44" s="278">
        <f t="shared" si="4"/>
        <v>44419.48115</v>
      </c>
      <c r="Q44" s="178" t="s">
        <v>1014</v>
      </c>
    </row>
    <row r="45" spans="1:23" s="109" customFormat="1" ht="30.75" customHeight="1" x14ac:dyDescent="0.2">
      <c r="A45" s="97"/>
      <c r="B45" s="116"/>
      <c r="C45" s="117" t="s">
        <v>145</v>
      </c>
      <c r="D45" s="117" t="s">
        <v>69</v>
      </c>
      <c r="E45" s="118" t="s">
        <v>168</v>
      </c>
      <c r="F45" s="119" t="s">
        <v>169</v>
      </c>
      <c r="G45" s="120" t="s">
        <v>72</v>
      </c>
      <c r="H45" s="121">
        <v>269.11500000000001</v>
      </c>
      <c r="I45" s="122">
        <v>18.04</v>
      </c>
      <c r="J45" s="122">
        <v>4854.83</v>
      </c>
      <c r="K45" s="85">
        <v>0</v>
      </c>
      <c r="L45" s="86">
        <f t="shared" si="0"/>
        <v>18.04</v>
      </c>
      <c r="M45" s="277">
        <f t="shared" si="1"/>
        <v>0</v>
      </c>
      <c r="N45" s="87">
        <f t="shared" si="2"/>
        <v>269.11500000000001</v>
      </c>
      <c r="O45" s="88">
        <f t="shared" si="3"/>
        <v>18.04</v>
      </c>
      <c r="P45" s="278">
        <f t="shared" si="4"/>
        <v>4854.8346000000001</v>
      </c>
      <c r="R45" s="150" t="s">
        <v>1028</v>
      </c>
      <c r="S45" s="148" t="s">
        <v>1036</v>
      </c>
      <c r="T45" s="109" t="s">
        <v>1050</v>
      </c>
    </row>
    <row r="46" spans="1:23" s="109" customFormat="1" ht="48" x14ac:dyDescent="0.2">
      <c r="A46" s="97"/>
      <c r="B46" s="116"/>
      <c r="C46" s="117" t="s">
        <v>148</v>
      </c>
      <c r="D46" s="117" t="s">
        <v>69</v>
      </c>
      <c r="E46" s="118" t="s">
        <v>329</v>
      </c>
      <c r="F46" s="119" t="s">
        <v>330</v>
      </c>
      <c r="G46" s="120" t="s">
        <v>72</v>
      </c>
      <c r="H46" s="121">
        <v>269.11500000000001</v>
      </c>
      <c r="I46" s="122">
        <v>396.71</v>
      </c>
      <c r="J46" s="122">
        <v>106760.61</v>
      </c>
      <c r="K46" s="85">
        <v>0</v>
      </c>
      <c r="L46" s="86">
        <f t="shared" si="0"/>
        <v>396.71</v>
      </c>
      <c r="M46" s="277">
        <f t="shared" si="1"/>
        <v>0</v>
      </c>
      <c r="N46" s="87">
        <f t="shared" si="2"/>
        <v>269.11500000000001</v>
      </c>
      <c r="O46" s="88">
        <f t="shared" si="3"/>
        <v>396.71</v>
      </c>
      <c r="P46" s="278">
        <f t="shared" si="4"/>
        <v>106760.61164999999</v>
      </c>
      <c r="Q46" s="151"/>
    </row>
    <row r="47" spans="1:23" s="109" customFormat="1" ht="46.5" customHeight="1" x14ac:dyDescent="0.2">
      <c r="A47" s="97"/>
      <c r="B47" s="116"/>
      <c r="C47" s="117" t="s">
        <v>151</v>
      </c>
      <c r="D47" s="117" t="s">
        <v>69</v>
      </c>
      <c r="E47" s="118" t="s">
        <v>331</v>
      </c>
      <c r="F47" s="119" t="s">
        <v>332</v>
      </c>
      <c r="G47" s="120" t="s">
        <v>72</v>
      </c>
      <c r="H47" s="121">
        <v>140.965</v>
      </c>
      <c r="I47" s="122">
        <v>431.47</v>
      </c>
      <c r="J47" s="122">
        <v>60822.17</v>
      </c>
      <c r="K47" s="85">
        <v>0</v>
      </c>
      <c r="L47" s="86">
        <f t="shared" si="0"/>
        <v>431.47</v>
      </c>
      <c r="M47" s="277">
        <f t="shared" si="1"/>
        <v>0</v>
      </c>
      <c r="N47" s="87">
        <f t="shared" si="2"/>
        <v>140.965</v>
      </c>
      <c r="O47" s="88">
        <f t="shared" si="3"/>
        <v>431.47</v>
      </c>
      <c r="P47" s="278">
        <f t="shared" si="4"/>
        <v>60822.168550000002</v>
      </c>
      <c r="Q47" s="151"/>
      <c r="R47" s="150" t="s">
        <v>1028</v>
      </c>
      <c r="S47" s="148" t="s">
        <v>1036</v>
      </c>
      <c r="T47" s="109" t="s">
        <v>1053</v>
      </c>
    </row>
    <row r="48" spans="1:23" s="110" customFormat="1" ht="12.75" x14ac:dyDescent="0.2">
      <c r="C48" s="224"/>
      <c r="D48" s="225" t="s">
        <v>3</v>
      </c>
      <c r="E48" s="226" t="s">
        <v>90</v>
      </c>
      <c r="F48" s="226" t="s">
        <v>182</v>
      </c>
      <c r="G48" s="224"/>
      <c r="H48" s="224"/>
      <c r="I48" s="224"/>
      <c r="J48" s="227">
        <v>529453.55000000005</v>
      </c>
      <c r="K48" s="281"/>
      <c r="L48" s="282"/>
      <c r="M48" s="279">
        <f>SUM(M49:M64)</f>
        <v>-48.650099999999995</v>
      </c>
      <c r="N48" s="290"/>
      <c r="O48" s="244"/>
      <c r="P48" s="279">
        <f>SUM(P49:P64)</f>
        <v>529404.89774000004</v>
      </c>
      <c r="Q48" s="151"/>
    </row>
    <row r="49" spans="1:24" s="109" customFormat="1" ht="36" x14ac:dyDescent="0.2">
      <c r="A49" s="97"/>
      <c r="B49" s="116"/>
      <c r="C49" s="117" t="s">
        <v>155</v>
      </c>
      <c r="D49" s="117" t="s">
        <v>69</v>
      </c>
      <c r="E49" s="118" t="s">
        <v>184</v>
      </c>
      <c r="F49" s="119" t="s">
        <v>185</v>
      </c>
      <c r="G49" s="120" t="s">
        <v>61</v>
      </c>
      <c r="H49" s="121">
        <v>128.15</v>
      </c>
      <c r="I49" s="122">
        <v>552.39</v>
      </c>
      <c r="J49" s="122">
        <v>70788.78</v>
      </c>
      <c r="K49" s="85">
        <f t="shared" ref="K49:K50" si="6">ROUND(128.1/128.13*H49-H49,2)</f>
        <v>-0.03</v>
      </c>
      <c r="L49" s="86">
        <f t="shared" si="0"/>
        <v>552.39</v>
      </c>
      <c r="M49" s="277">
        <f t="shared" si="1"/>
        <v>-16.5717</v>
      </c>
      <c r="N49" s="87">
        <f t="shared" si="2"/>
        <v>128.12</v>
      </c>
      <c r="O49" s="88">
        <f t="shared" si="3"/>
        <v>552.39</v>
      </c>
      <c r="P49" s="278">
        <f t="shared" si="4"/>
        <v>70772.2068</v>
      </c>
      <c r="Q49" s="151"/>
    </row>
    <row r="50" spans="1:24" s="109" customFormat="1" ht="24" x14ac:dyDescent="0.2">
      <c r="A50" s="97"/>
      <c r="B50" s="116"/>
      <c r="C50" s="123" t="s">
        <v>158</v>
      </c>
      <c r="D50" s="123" t="s">
        <v>127</v>
      </c>
      <c r="E50" s="124" t="s">
        <v>187</v>
      </c>
      <c r="F50" s="125" t="s">
        <v>188</v>
      </c>
      <c r="G50" s="126" t="s">
        <v>61</v>
      </c>
      <c r="H50" s="127">
        <v>130.072</v>
      </c>
      <c r="I50" s="128">
        <v>1060.07</v>
      </c>
      <c r="J50" s="128">
        <v>137885.43</v>
      </c>
      <c r="K50" s="85">
        <f t="shared" si="6"/>
        <v>-0.03</v>
      </c>
      <c r="L50" s="86">
        <f t="shared" si="0"/>
        <v>1060.07</v>
      </c>
      <c r="M50" s="277">
        <f t="shared" si="1"/>
        <v>-31.802099999999996</v>
      </c>
      <c r="N50" s="87">
        <f t="shared" si="2"/>
        <v>130.042</v>
      </c>
      <c r="O50" s="88">
        <f t="shared" si="3"/>
        <v>1060.07</v>
      </c>
      <c r="P50" s="278">
        <f t="shared" si="4"/>
        <v>137853.62294</v>
      </c>
      <c r="Q50" s="151"/>
    </row>
    <row r="51" spans="1:24" s="109" customFormat="1" ht="36" x14ac:dyDescent="0.2">
      <c r="A51" s="97"/>
      <c r="B51" s="116"/>
      <c r="C51" s="117" t="s">
        <v>161</v>
      </c>
      <c r="D51" s="117" t="s">
        <v>69</v>
      </c>
      <c r="E51" s="118" t="s">
        <v>202</v>
      </c>
      <c r="F51" s="119" t="s">
        <v>203</v>
      </c>
      <c r="G51" s="120" t="s">
        <v>138</v>
      </c>
      <c r="H51" s="121">
        <v>5</v>
      </c>
      <c r="I51" s="122">
        <v>260.41000000000003</v>
      </c>
      <c r="J51" s="122">
        <v>1302.05</v>
      </c>
      <c r="K51" s="85">
        <v>0</v>
      </c>
      <c r="L51" s="86">
        <f t="shared" si="0"/>
        <v>260.41000000000003</v>
      </c>
      <c r="M51" s="277">
        <f t="shared" si="1"/>
        <v>0</v>
      </c>
      <c r="N51" s="87">
        <f t="shared" si="2"/>
        <v>5</v>
      </c>
      <c r="O51" s="88">
        <f t="shared" si="3"/>
        <v>260.41000000000003</v>
      </c>
      <c r="P51" s="278">
        <f t="shared" si="4"/>
        <v>1302.0500000000002</v>
      </c>
      <c r="Q51" s="151"/>
    </row>
    <row r="52" spans="1:24" s="109" customFormat="1" ht="36" x14ac:dyDescent="0.2">
      <c r="A52" s="97"/>
      <c r="B52" s="116"/>
      <c r="C52" s="123" t="s">
        <v>164</v>
      </c>
      <c r="D52" s="123" t="s">
        <v>127</v>
      </c>
      <c r="E52" s="124" t="s">
        <v>205</v>
      </c>
      <c r="F52" s="125" t="s">
        <v>206</v>
      </c>
      <c r="G52" s="126" t="s">
        <v>138</v>
      </c>
      <c r="H52" s="127">
        <v>5.0000000000000098</v>
      </c>
      <c r="I52" s="128">
        <v>1801.85</v>
      </c>
      <c r="J52" s="128">
        <v>9009.25</v>
      </c>
      <c r="K52" s="85">
        <v>0</v>
      </c>
      <c r="L52" s="86">
        <f t="shared" si="0"/>
        <v>1801.85</v>
      </c>
      <c r="M52" s="277">
        <f t="shared" si="1"/>
        <v>0</v>
      </c>
      <c r="N52" s="87">
        <f t="shared" si="2"/>
        <v>5.0000000000000098</v>
      </c>
      <c r="O52" s="88">
        <f t="shared" si="3"/>
        <v>1801.85</v>
      </c>
      <c r="P52" s="278">
        <f t="shared" si="4"/>
        <v>9009.2500000000164</v>
      </c>
      <c r="Q52" s="151"/>
    </row>
    <row r="53" spans="1:24" s="109" customFormat="1" ht="25.5" customHeight="1" x14ac:dyDescent="0.2">
      <c r="A53" s="97"/>
      <c r="B53" s="116"/>
      <c r="C53" s="117" t="s">
        <v>167</v>
      </c>
      <c r="D53" s="117" t="s">
        <v>69</v>
      </c>
      <c r="E53" s="118" t="s">
        <v>211</v>
      </c>
      <c r="F53" s="119" t="s">
        <v>212</v>
      </c>
      <c r="G53" s="120" t="s">
        <v>213</v>
      </c>
      <c r="H53" s="121">
        <v>3</v>
      </c>
      <c r="I53" s="122">
        <v>2564.6799999999998</v>
      </c>
      <c r="J53" s="122">
        <v>7694.04</v>
      </c>
      <c r="K53" s="85">
        <f t="shared" ref="K53" si="7">ROUND(128.1/128.13*H53-H53,2)</f>
        <v>0</v>
      </c>
      <c r="L53" s="86">
        <f t="shared" si="0"/>
        <v>2564.6799999999998</v>
      </c>
      <c r="M53" s="277">
        <f t="shared" si="1"/>
        <v>0</v>
      </c>
      <c r="N53" s="87">
        <f t="shared" si="2"/>
        <v>3</v>
      </c>
      <c r="O53" s="88">
        <f t="shared" si="3"/>
        <v>2564.6799999999998</v>
      </c>
      <c r="P53" s="278">
        <f t="shared" si="4"/>
        <v>7694.0399999999991</v>
      </c>
      <c r="Q53" s="152"/>
      <c r="R53" s="150" t="s">
        <v>1027</v>
      </c>
      <c r="S53" s="150" t="s">
        <v>1038</v>
      </c>
      <c r="T53" s="183" t="s">
        <v>1051</v>
      </c>
    </row>
    <row r="54" spans="1:24" s="109" customFormat="1" ht="24" x14ac:dyDescent="0.2">
      <c r="A54" s="97"/>
      <c r="B54" s="116"/>
      <c r="C54" s="117" t="s">
        <v>170</v>
      </c>
      <c r="D54" s="117" t="s">
        <v>69</v>
      </c>
      <c r="E54" s="118" t="s">
        <v>215</v>
      </c>
      <c r="F54" s="119" t="s">
        <v>216</v>
      </c>
      <c r="G54" s="120" t="s">
        <v>138</v>
      </c>
      <c r="H54" s="121">
        <v>7</v>
      </c>
      <c r="I54" s="122">
        <v>2016.23</v>
      </c>
      <c r="J54" s="122">
        <v>14113.61</v>
      </c>
      <c r="K54" s="85">
        <v>0</v>
      </c>
      <c r="L54" s="86">
        <f t="shared" si="0"/>
        <v>2016.23</v>
      </c>
      <c r="M54" s="277">
        <f t="shared" si="1"/>
        <v>0</v>
      </c>
      <c r="N54" s="87">
        <f t="shared" si="2"/>
        <v>7</v>
      </c>
      <c r="O54" s="88">
        <f t="shared" si="3"/>
        <v>2016.23</v>
      </c>
      <c r="P54" s="278">
        <f t="shared" si="4"/>
        <v>14113.61</v>
      </c>
      <c r="Q54" s="151"/>
    </row>
    <row r="55" spans="1:24" s="109" customFormat="1" ht="24" x14ac:dyDescent="0.2">
      <c r="A55" s="97"/>
      <c r="B55" s="116"/>
      <c r="C55" s="123" t="s">
        <v>173</v>
      </c>
      <c r="D55" s="123" t="s">
        <v>127</v>
      </c>
      <c r="E55" s="124" t="s">
        <v>221</v>
      </c>
      <c r="F55" s="125" t="s">
        <v>222</v>
      </c>
      <c r="G55" s="126" t="s">
        <v>138</v>
      </c>
      <c r="H55" s="127">
        <v>7</v>
      </c>
      <c r="I55" s="128">
        <v>14898.16</v>
      </c>
      <c r="J55" s="128">
        <v>104287.12</v>
      </c>
      <c r="K55" s="85">
        <v>0</v>
      </c>
      <c r="L55" s="86">
        <f t="shared" si="0"/>
        <v>14898.16</v>
      </c>
      <c r="M55" s="277">
        <f t="shared" si="1"/>
        <v>0</v>
      </c>
      <c r="N55" s="87">
        <f t="shared" si="2"/>
        <v>7</v>
      </c>
      <c r="O55" s="88">
        <f t="shared" si="3"/>
        <v>14898.16</v>
      </c>
      <c r="P55" s="278">
        <f t="shared" si="4"/>
        <v>104287.12</v>
      </c>
      <c r="Q55" s="151"/>
    </row>
    <row r="56" spans="1:24" s="109" customFormat="1" ht="24" x14ac:dyDescent="0.2">
      <c r="A56" s="97"/>
      <c r="B56" s="116"/>
      <c r="C56" s="123" t="s">
        <v>176</v>
      </c>
      <c r="D56" s="123" t="s">
        <v>127</v>
      </c>
      <c r="E56" s="124" t="s">
        <v>224</v>
      </c>
      <c r="F56" s="125" t="s">
        <v>225</v>
      </c>
      <c r="G56" s="126" t="s">
        <v>138</v>
      </c>
      <c r="H56" s="127">
        <v>7</v>
      </c>
      <c r="I56" s="128">
        <v>1530.92</v>
      </c>
      <c r="J56" s="128">
        <v>10716.44</v>
      </c>
      <c r="K56" s="85">
        <v>0</v>
      </c>
      <c r="L56" s="86">
        <f t="shared" si="0"/>
        <v>1530.92</v>
      </c>
      <c r="M56" s="277">
        <f t="shared" si="1"/>
        <v>0</v>
      </c>
      <c r="N56" s="87">
        <f t="shared" si="2"/>
        <v>7</v>
      </c>
      <c r="O56" s="88">
        <f t="shared" si="3"/>
        <v>1530.92</v>
      </c>
      <c r="P56" s="278">
        <f t="shared" si="4"/>
        <v>10716.44</v>
      </c>
      <c r="Q56" s="151"/>
    </row>
    <row r="57" spans="1:24" s="109" customFormat="1" ht="24" x14ac:dyDescent="0.2">
      <c r="A57" s="97"/>
      <c r="B57" s="116"/>
      <c r="C57" s="123" t="s">
        <v>179</v>
      </c>
      <c r="D57" s="123" t="s">
        <v>127</v>
      </c>
      <c r="E57" s="124" t="s">
        <v>233</v>
      </c>
      <c r="F57" s="125" t="s">
        <v>310</v>
      </c>
      <c r="G57" s="126" t="s">
        <v>138</v>
      </c>
      <c r="H57" s="127">
        <v>7</v>
      </c>
      <c r="I57" s="128">
        <v>2648.85</v>
      </c>
      <c r="J57" s="128">
        <v>18541.95</v>
      </c>
      <c r="K57" s="85">
        <v>0</v>
      </c>
      <c r="L57" s="86">
        <f t="shared" si="0"/>
        <v>2648.85</v>
      </c>
      <c r="M57" s="277">
        <f t="shared" si="1"/>
        <v>0</v>
      </c>
      <c r="N57" s="87">
        <f t="shared" si="2"/>
        <v>7</v>
      </c>
      <c r="O57" s="88">
        <f t="shared" si="3"/>
        <v>2648.85</v>
      </c>
      <c r="P57" s="278">
        <f t="shared" si="4"/>
        <v>18541.95</v>
      </c>
      <c r="Q57" s="151"/>
    </row>
    <row r="58" spans="1:24" s="109" customFormat="1" ht="24" x14ac:dyDescent="0.2">
      <c r="A58" s="97"/>
      <c r="B58" s="116"/>
      <c r="C58" s="123" t="s">
        <v>183</v>
      </c>
      <c r="D58" s="123" t="s">
        <v>127</v>
      </c>
      <c r="E58" s="124" t="s">
        <v>236</v>
      </c>
      <c r="F58" s="125" t="s">
        <v>237</v>
      </c>
      <c r="G58" s="126" t="s">
        <v>138</v>
      </c>
      <c r="H58" s="127">
        <v>14</v>
      </c>
      <c r="I58" s="128">
        <v>211.75</v>
      </c>
      <c r="J58" s="128">
        <v>2964.5</v>
      </c>
      <c r="K58" s="85">
        <v>0</v>
      </c>
      <c r="L58" s="86">
        <f t="shared" si="0"/>
        <v>211.75</v>
      </c>
      <c r="M58" s="277">
        <f t="shared" si="1"/>
        <v>0</v>
      </c>
      <c r="N58" s="87">
        <f t="shared" si="2"/>
        <v>14</v>
      </c>
      <c r="O58" s="88">
        <f t="shared" si="3"/>
        <v>211.75</v>
      </c>
      <c r="P58" s="278">
        <f t="shared" si="4"/>
        <v>2964.5</v>
      </c>
      <c r="Q58" s="151"/>
    </row>
    <row r="59" spans="1:24" s="109" customFormat="1" ht="36" x14ac:dyDescent="0.2">
      <c r="A59" s="97"/>
      <c r="B59" s="116"/>
      <c r="C59" s="117" t="s">
        <v>186</v>
      </c>
      <c r="D59" s="117" t="s">
        <v>69</v>
      </c>
      <c r="E59" s="118" t="s">
        <v>239</v>
      </c>
      <c r="F59" s="119" t="s">
        <v>240</v>
      </c>
      <c r="G59" s="120" t="s">
        <v>138</v>
      </c>
      <c r="H59" s="121">
        <v>7</v>
      </c>
      <c r="I59" s="122">
        <v>5935.59</v>
      </c>
      <c r="J59" s="122">
        <v>41549.129999999997</v>
      </c>
      <c r="K59" s="85">
        <v>0</v>
      </c>
      <c r="L59" s="86">
        <f t="shared" si="0"/>
        <v>5935.59</v>
      </c>
      <c r="M59" s="277">
        <f t="shared" si="1"/>
        <v>0</v>
      </c>
      <c r="N59" s="87">
        <f t="shared" si="2"/>
        <v>7</v>
      </c>
      <c r="O59" s="88">
        <f t="shared" si="3"/>
        <v>5935.59</v>
      </c>
      <c r="P59" s="278">
        <f t="shared" si="4"/>
        <v>41549.130000000005</v>
      </c>
      <c r="Q59" s="151"/>
    </row>
    <row r="60" spans="1:24" s="109" customFormat="1" ht="24" x14ac:dyDescent="0.2">
      <c r="A60" s="97"/>
      <c r="B60" s="116"/>
      <c r="C60" s="117" t="s">
        <v>189</v>
      </c>
      <c r="D60" s="117" t="s">
        <v>69</v>
      </c>
      <c r="E60" s="118" t="s">
        <v>242</v>
      </c>
      <c r="F60" s="119" t="s">
        <v>243</v>
      </c>
      <c r="G60" s="120" t="s">
        <v>138</v>
      </c>
      <c r="H60" s="121">
        <v>7</v>
      </c>
      <c r="I60" s="122">
        <v>485.32</v>
      </c>
      <c r="J60" s="122">
        <v>3397.24</v>
      </c>
      <c r="K60" s="85">
        <v>0</v>
      </c>
      <c r="L60" s="86">
        <f t="shared" si="0"/>
        <v>485.32</v>
      </c>
      <c r="M60" s="277">
        <f t="shared" si="1"/>
        <v>0</v>
      </c>
      <c r="N60" s="87">
        <f t="shared" si="2"/>
        <v>7</v>
      </c>
      <c r="O60" s="88">
        <f t="shared" si="3"/>
        <v>485.32</v>
      </c>
      <c r="P60" s="278">
        <f t="shared" si="4"/>
        <v>3397.24</v>
      </c>
      <c r="Q60" s="151"/>
    </row>
    <row r="61" spans="1:24" s="109" customFormat="1" ht="12" x14ac:dyDescent="0.2">
      <c r="A61" s="97"/>
      <c r="B61" s="116"/>
      <c r="C61" s="123" t="s">
        <v>192</v>
      </c>
      <c r="D61" s="123" t="s">
        <v>127</v>
      </c>
      <c r="E61" s="124" t="s">
        <v>311</v>
      </c>
      <c r="F61" s="125" t="s">
        <v>312</v>
      </c>
      <c r="G61" s="126" t="s">
        <v>138</v>
      </c>
      <c r="H61" s="127">
        <v>1</v>
      </c>
      <c r="I61" s="128">
        <v>6510.34</v>
      </c>
      <c r="J61" s="128">
        <v>6510.34</v>
      </c>
      <c r="K61" s="85">
        <v>0</v>
      </c>
      <c r="L61" s="86">
        <f t="shared" si="0"/>
        <v>6510.34</v>
      </c>
      <c r="M61" s="277">
        <f t="shared" si="1"/>
        <v>0</v>
      </c>
      <c r="N61" s="87">
        <f t="shared" si="2"/>
        <v>1</v>
      </c>
      <c r="O61" s="88">
        <f t="shared" si="3"/>
        <v>6510.34</v>
      </c>
      <c r="P61" s="278">
        <f t="shared" si="4"/>
        <v>6510.34</v>
      </c>
      <c r="Q61" s="151"/>
    </row>
    <row r="62" spans="1:24" s="109" customFormat="1" ht="24" x14ac:dyDescent="0.2">
      <c r="A62" s="97"/>
      <c r="B62" s="116"/>
      <c r="C62" s="123" t="s">
        <v>195</v>
      </c>
      <c r="D62" s="123" t="s">
        <v>127</v>
      </c>
      <c r="E62" s="124" t="s">
        <v>245</v>
      </c>
      <c r="F62" s="125" t="s">
        <v>246</v>
      </c>
      <c r="G62" s="126" t="s">
        <v>138</v>
      </c>
      <c r="H62" s="127">
        <v>6</v>
      </c>
      <c r="I62" s="128">
        <v>6510.34</v>
      </c>
      <c r="J62" s="128">
        <v>39062.04</v>
      </c>
      <c r="K62" s="85">
        <v>0</v>
      </c>
      <c r="L62" s="86">
        <f t="shared" si="0"/>
        <v>6510.34</v>
      </c>
      <c r="M62" s="277">
        <f t="shared" si="1"/>
        <v>0</v>
      </c>
      <c r="N62" s="87">
        <f t="shared" si="2"/>
        <v>6</v>
      </c>
      <c r="O62" s="88">
        <f t="shared" si="3"/>
        <v>6510.34</v>
      </c>
      <c r="P62" s="278">
        <f t="shared" si="4"/>
        <v>39062.04</v>
      </c>
      <c r="Q62" s="151"/>
    </row>
    <row r="63" spans="1:24" s="109" customFormat="1" ht="24" x14ac:dyDescent="0.2">
      <c r="A63" s="97"/>
      <c r="B63" s="116"/>
      <c r="C63" s="117" t="s">
        <v>198</v>
      </c>
      <c r="D63" s="117" t="s">
        <v>69</v>
      </c>
      <c r="E63" s="118" t="s">
        <v>254</v>
      </c>
      <c r="F63" s="119" t="s">
        <v>255</v>
      </c>
      <c r="G63" s="120" t="s">
        <v>62</v>
      </c>
      <c r="H63" s="121">
        <v>19.760000000000002</v>
      </c>
      <c r="I63" s="122">
        <v>3059.28</v>
      </c>
      <c r="J63" s="122">
        <v>60451.37</v>
      </c>
      <c r="K63" s="85">
        <f t="shared" ref="K63:K64" si="8">ROUND(128.1/128.13*H63-H63,2)</f>
        <v>0</v>
      </c>
      <c r="L63" s="86">
        <f t="shared" si="0"/>
        <v>3059.28</v>
      </c>
      <c r="M63" s="277">
        <f t="shared" si="1"/>
        <v>0</v>
      </c>
      <c r="N63" s="87">
        <f t="shared" si="2"/>
        <v>19.760000000000002</v>
      </c>
      <c r="O63" s="88">
        <f t="shared" si="3"/>
        <v>3059.28</v>
      </c>
      <c r="P63" s="278">
        <f t="shared" si="4"/>
        <v>60451.372800000012</v>
      </c>
      <c r="Q63" s="151"/>
      <c r="X63" s="150" t="s">
        <v>1080</v>
      </c>
    </row>
    <row r="64" spans="1:24" s="109" customFormat="1" ht="22.5" x14ac:dyDescent="0.2">
      <c r="A64" s="97"/>
      <c r="B64" s="116"/>
      <c r="C64" s="117" t="s">
        <v>201</v>
      </c>
      <c r="D64" s="117" t="s">
        <v>69</v>
      </c>
      <c r="E64" s="118" t="s">
        <v>266</v>
      </c>
      <c r="F64" s="119" t="s">
        <v>267</v>
      </c>
      <c r="G64" s="120" t="s">
        <v>61</v>
      </c>
      <c r="H64" s="121">
        <v>128.15</v>
      </c>
      <c r="I64" s="122">
        <v>9.2100000000000009</v>
      </c>
      <c r="J64" s="122">
        <v>1180.26</v>
      </c>
      <c r="K64" s="85">
        <f t="shared" si="8"/>
        <v>-0.03</v>
      </c>
      <c r="L64" s="86">
        <f t="shared" si="0"/>
        <v>9.2100000000000009</v>
      </c>
      <c r="M64" s="277">
        <f t="shared" si="1"/>
        <v>-0.27629999999999999</v>
      </c>
      <c r="N64" s="87">
        <f t="shared" si="2"/>
        <v>128.12</v>
      </c>
      <c r="O64" s="88">
        <f t="shared" si="3"/>
        <v>9.2100000000000009</v>
      </c>
      <c r="P64" s="278">
        <f t="shared" si="4"/>
        <v>1179.9852000000001</v>
      </c>
      <c r="Q64" s="151"/>
      <c r="X64" s="150" t="s">
        <v>1080</v>
      </c>
    </row>
    <row r="65" spans="1:27" s="110" customFormat="1" ht="12.75" x14ac:dyDescent="0.2">
      <c r="C65" s="245"/>
      <c r="D65" s="246" t="s">
        <v>3</v>
      </c>
      <c r="E65" s="247" t="s">
        <v>93</v>
      </c>
      <c r="F65" s="247" t="s">
        <v>268</v>
      </c>
      <c r="G65" s="245"/>
      <c r="H65" s="245"/>
      <c r="I65" s="245"/>
      <c r="J65" s="248">
        <v>46244.450000000004</v>
      </c>
      <c r="K65" s="243"/>
      <c r="L65" s="244"/>
      <c r="M65" s="279">
        <f>SUM(M66:M71)</f>
        <v>0</v>
      </c>
      <c r="N65" s="290"/>
      <c r="O65" s="244"/>
      <c r="P65" s="279">
        <f>SUM(P66:P71)</f>
        <v>46244.446000000004</v>
      </c>
      <c r="Q65" s="151"/>
    </row>
    <row r="66" spans="1:27" s="109" customFormat="1" ht="48" x14ac:dyDescent="0.2">
      <c r="A66" s="97"/>
      <c r="B66" s="116"/>
      <c r="C66" s="117" t="s">
        <v>204</v>
      </c>
      <c r="D66" s="117" t="s">
        <v>69</v>
      </c>
      <c r="E66" s="118" t="s">
        <v>270</v>
      </c>
      <c r="F66" s="119" t="s">
        <v>271</v>
      </c>
      <c r="G66" s="120" t="s">
        <v>61</v>
      </c>
      <c r="H66" s="121">
        <v>11</v>
      </c>
      <c r="I66" s="122">
        <v>87.65</v>
      </c>
      <c r="J66" s="122">
        <v>964.15</v>
      </c>
      <c r="K66" s="85">
        <v>0</v>
      </c>
      <c r="L66" s="86"/>
      <c r="M66" s="277">
        <f t="shared" si="1"/>
        <v>0</v>
      </c>
      <c r="N66" s="87">
        <f t="shared" si="2"/>
        <v>11</v>
      </c>
      <c r="O66" s="88">
        <f t="shared" si="3"/>
        <v>87.65</v>
      </c>
      <c r="P66" s="278">
        <f t="shared" si="4"/>
        <v>964.15000000000009</v>
      </c>
      <c r="Q66" s="151"/>
    </row>
    <row r="67" spans="1:27" s="109" customFormat="1" ht="36" x14ac:dyDescent="0.2">
      <c r="A67" s="97"/>
      <c r="B67" s="116"/>
      <c r="C67" s="117" t="s">
        <v>207</v>
      </c>
      <c r="D67" s="117" t="s">
        <v>69</v>
      </c>
      <c r="E67" s="118" t="s">
        <v>273</v>
      </c>
      <c r="F67" s="119" t="s">
        <v>274</v>
      </c>
      <c r="G67" s="120" t="s">
        <v>61</v>
      </c>
      <c r="H67" s="121">
        <v>11</v>
      </c>
      <c r="I67" s="122">
        <v>32.22</v>
      </c>
      <c r="J67" s="122">
        <v>354.42</v>
      </c>
      <c r="K67" s="85">
        <v>0</v>
      </c>
      <c r="L67" s="86">
        <f t="shared" si="0"/>
        <v>32.22</v>
      </c>
      <c r="M67" s="277">
        <f t="shared" si="1"/>
        <v>0</v>
      </c>
      <c r="N67" s="87">
        <f t="shared" si="2"/>
        <v>11</v>
      </c>
      <c r="O67" s="88">
        <f t="shared" si="3"/>
        <v>32.22</v>
      </c>
      <c r="P67" s="278">
        <f t="shared" si="4"/>
        <v>354.41999999999996</v>
      </c>
      <c r="Q67" s="151"/>
    </row>
    <row r="68" spans="1:27" s="109" customFormat="1" ht="36" x14ac:dyDescent="0.2">
      <c r="A68" s="97"/>
      <c r="B68" s="116"/>
      <c r="C68" s="117" t="s">
        <v>210</v>
      </c>
      <c r="D68" s="117" t="s">
        <v>69</v>
      </c>
      <c r="E68" s="118" t="s">
        <v>350</v>
      </c>
      <c r="F68" s="119" t="s">
        <v>351</v>
      </c>
      <c r="G68" s="120" t="s">
        <v>61</v>
      </c>
      <c r="H68" s="121">
        <v>256.3</v>
      </c>
      <c r="I68" s="122">
        <v>32.22</v>
      </c>
      <c r="J68" s="122">
        <v>8257.99</v>
      </c>
      <c r="K68" s="85">
        <v>0</v>
      </c>
      <c r="L68" s="86">
        <f t="shared" si="0"/>
        <v>32.22</v>
      </c>
      <c r="M68" s="277">
        <f t="shared" si="1"/>
        <v>0</v>
      </c>
      <c r="N68" s="87">
        <f t="shared" si="2"/>
        <v>256.3</v>
      </c>
      <c r="O68" s="88">
        <f t="shared" si="3"/>
        <v>32.22</v>
      </c>
      <c r="P68" s="278">
        <f t="shared" si="4"/>
        <v>8257.9860000000008</v>
      </c>
      <c r="Q68" s="151"/>
    </row>
    <row r="69" spans="1:27" s="109" customFormat="1" ht="24" x14ac:dyDescent="0.2">
      <c r="A69" s="97"/>
      <c r="B69" s="116"/>
      <c r="C69" s="117" t="s">
        <v>214</v>
      </c>
      <c r="D69" s="117" t="s">
        <v>69</v>
      </c>
      <c r="E69" s="118" t="s">
        <v>276</v>
      </c>
      <c r="F69" s="119" t="s">
        <v>277</v>
      </c>
      <c r="G69" s="120" t="s">
        <v>61</v>
      </c>
      <c r="H69" s="121">
        <v>11</v>
      </c>
      <c r="I69" s="122">
        <v>72.34</v>
      </c>
      <c r="J69" s="122">
        <v>795.74</v>
      </c>
      <c r="K69" s="85">
        <v>0</v>
      </c>
      <c r="L69" s="86">
        <f t="shared" si="0"/>
        <v>72.34</v>
      </c>
      <c r="M69" s="277">
        <f t="shared" si="1"/>
        <v>0</v>
      </c>
      <c r="N69" s="87">
        <f t="shared" si="2"/>
        <v>11</v>
      </c>
      <c r="O69" s="88">
        <f t="shared" si="3"/>
        <v>72.34</v>
      </c>
      <c r="P69" s="278">
        <f t="shared" si="4"/>
        <v>795.74</v>
      </c>
      <c r="Q69" s="151"/>
    </row>
    <row r="70" spans="1:27" s="109" customFormat="1" ht="24" x14ac:dyDescent="0.2">
      <c r="A70" s="97"/>
      <c r="B70" s="116"/>
      <c r="C70" s="117" t="s">
        <v>217</v>
      </c>
      <c r="D70" s="117" t="s">
        <v>69</v>
      </c>
      <c r="E70" s="118" t="s">
        <v>354</v>
      </c>
      <c r="F70" s="119" t="s">
        <v>355</v>
      </c>
      <c r="G70" s="120" t="s">
        <v>61</v>
      </c>
      <c r="H70" s="121">
        <v>256.3</v>
      </c>
      <c r="I70" s="122">
        <v>94.7</v>
      </c>
      <c r="J70" s="122">
        <v>24271.61</v>
      </c>
      <c r="K70" s="85">
        <v>0</v>
      </c>
      <c r="L70" s="86">
        <f t="shared" si="0"/>
        <v>94.7</v>
      </c>
      <c r="M70" s="277">
        <f t="shared" si="1"/>
        <v>0</v>
      </c>
      <c r="N70" s="87">
        <f t="shared" si="2"/>
        <v>256.3</v>
      </c>
      <c r="O70" s="88">
        <f t="shared" si="3"/>
        <v>94.7</v>
      </c>
      <c r="P70" s="278">
        <f t="shared" si="4"/>
        <v>24271.61</v>
      </c>
      <c r="Q70" s="151"/>
    </row>
    <row r="71" spans="1:27" s="109" customFormat="1" ht="48" x14ac:dyDescent="0.2">
      <c r="A71" s="97"/>
      <c r="B71" s="116"/>
      <c r="C71" s="117" t="s">
        <v>220</v>
      </c>
      <c r="D71" s="117" t="s">
        <v>69</v>
      </c>
      <c r="E71" s="118" t="s">
        <v>279</v>
      </c>
      <c r="F71" s="119" t="s">
        <v>280</v>
      </c>
      <c r="G71" s="120" t="s">
        <v>138</v>
      </c>
      <c r="H71" s="121">
        <v>7</v>
      </c>
      <c r="I71" s="122">
        <v>1657.22</v>
      </c>
      <c r="J71" s="122">
        <v>11600.54</v>
      </c>
      <c r="K71" s="85">
        <v>0</v>
      </c>
      <c r="L71" s="86">
        <f t="shared" si="0"/>
        <v>1657.22</v>
      </c>
      <c r="M71" s="277">
        <f t="shared" si="1"/>
        <v>0</v>
      </c>
      <c r="N71" s="87">
        <f t="shared" si="2"/>
        <v>7</v>
      </c>
      <c r="O71" s="88">
        <f t="shared" si="3"/>
        <v>1657.22</v>
      </c>
      <c r="P71" s="278">
        <f t="shared" si="4"/>
        <v>11600.54</v>
      </c>
      <c r="Q71" s="151"/>
    </row>
    <row r="72" spans="1:27" s="110" customFormat="1" ht="12.75" x14ac:dyDescent="0.2">
      <c r="C72" s="245"/>
      <c r="D72" s="246" t="s">
        <v>3</v>
      </c>
      <c r="E72" s="247" t="s">
        <v>281</v>
      </c>
      <c r="F72" s="247" t="s">
        <v>282</v>
      </c>
      <c r="G72" s="245"/>
      <c r="H72" s="245"/>
      <c r="I72" s="245"/>
      <c r="J72" s="248">
        <v>65164.369999999995</v>
      </c>
      <c r="K72" s="243"/>
      <c r="L72" s="244"/>
      <c r="M72" s="279">
        <f>SUM(M73:M77)</f>
        <v>-10.2455</v>
      </c>
      <c r="N72" s="290"/>
      <c r="O72" s="244"/>
      <c r="P72" s="279">
        <f>SUM(P73:P77)</f>
        <v>65154.133379999999</v>
      </c>
      <c r="Q72" s="151"/>
    </row>
    <row r="73" spans="1:27" s="109" customFormat="1" ht="27" customHeight="1" x14ac:dyDescent="0.2">
      <c r="A73" s="97"/>
      <c r="B73" s="116"/>
      <c r="C73" s="117" t="s">
        <v>223</v>
      </c>
      <c r="D73" s="117" t="s">
        <v>69</v>
      </c>
      <c r="E73" s="118" t="s">
        <v>284</v>
      </c>
      <c r="F73" s="119" t="s">
        <v>285</v>
      </c>
      <c r="G73" s="120" t="s">
        <v>120</v>
      </c>
      <c r="H73" s="121">
        <v>106.339</v>
      </c>
      <c r="I73" s="122">
        <v>200.04</v>
      </c>
      <c r="J73" s="122">
        <v>21272.05</v>
      </c>
      <c r="K73" s="85">
        <f t="shared" ref="K73" si="9">ROUND(128.1/128.13*H73-H73,2)</f>
        <v>-0.02</v>
      </c>
      <c r="L73" s="86">
        <f t="shared" si="0"/>
        <v>200.04</v>
      </c>
      <c r="M73" s="277">
        <f t="shared" si="1"/>
        <v>-4.0007999999999999</v>
      </c>
      <c r="N73" s="87">
        <f t="shared" si="2"/>
        <v>106.319</v>
      </c>
      <c r="O73" s="88">
        <f t="shared" si="3"/>
        <v>200.04</v>
      </c>
      <c r="P73" s="278">
        <f t="shared" si="4"/>
        <v>21268.052759999999</v>
      </c>
      <c r="Q73" s="151"/>
    </row>
    <row r="74" spans="1:27" s="109" customFormat="1" ht="48" x14ac:dyDescent="0.2">
      <c r="A74" s="97"/>
      <c r="B74" s="116"/>
      <c r="C74" s="117" t="s">
        <v>226</v>
      </c>
      <c r="D74" s="117" t="s">
        <v>69</v>
      </c>
      <c r="E74" s="118" t="s">
        <v>287</v>
      </c>
      <c r="F74" s="119" t="s">
        <v>288</v>
      </c>
      <c r="G74" s="120" t="s">
        <v>120</v>
      </c>
      <c r="H74" s="121">
        <v>65.459000000000003</v>
      </c>
      <c r="I74" s="122">
        <v>257.77999999999997</v>
      </c>
      <c r="J74" s="122">
        <v>16874.02</v>
      </c>
      <c r="K74" s="85">
        <v>0</v>
      </c>
      <c r="L74" s="86">
        <f t="shared" si="0"/>
        <v>257.77999999999997</v>
      </c>
      <c r="M74" s="277">
        <f t="shared" si="1"/>
        <v>0</v>
      </c>
      <c r="N74" s="87">
        <f t="shared" si="2"/>
        <v>65.459000000000003</v>
      </c>
      <c r="O74" s="88">
        <f t="shared" si="3"/>
        <v>257.77999999999997</v>
      </c>
      <c r="P74" s="278">
        <f t="shared" si="4"/>
        <v>16874.02102</v>
      </c>
      <c r="Q74" s="151"/>
    </row>
    <row r="75" spans="1:27" s="109" customFormat="1" ht="36" x14ac:dyDescent="0.2">
      <c r="A75" s="97"/>
      <c r="B75" s="116"/>
      <c r="C75" s="117" t="s">
        <v>229</v>
      </c>
      <c r="D75" s="117" t="s">
        <v>69</v>
      </c>
      <c r="E75" s="118" t="s">
        <v>290</v>
      </c>
      <c r="F75" s="119" t="s">
        <v>119</v>
      </c>
      <c r="G75" s="120" t="s">
        <v>120</v>
      </c>
      <c r="H75" s="121">
        <v>40.880000000000003</v>
      </c>
      <c r="I75" s="122">
        <v>154.66999999999999</v>
      </c>
      <c r="J75" s="122">
        <v>6322.91</v>
      </c>
      <c r="K75" s="85">
        <f t="shared" ref="K75:K77" si="10">ROUND(128.1/128.13*H75-H75,2)</f>
        <v>-0.01</v>
      </c>
      <c r="L75" s="86">
        <f t="shared" si="0"/>
        <v>154.66999999999999</v>
      </c>
      <c r="M75" s="277">
        <f t="shared" si="1"/>
        <v>-1.5467</v>
      </c>
      <c r="N75" s="87">
        <f t="shared" si="2"/>
        <v>40.870000000000005</v>
      </c>
      <c r="O75" s="88">
        <f t="shared" si="3"/>
        <v>154.66999999999999</v>
      </c>
      <c r="P75" s="278">
        <f t="shared" si="4"/>
        <v>6321.3629000000001</v>
      </c>
      <c r="Q75" s="151"/>
      <c r="AA75" s="148" t="s">
        <v>1137</v>
      </c>
    </row>
    <row r="76" spans="1:27" s="109" customFormat="1" ht="36" x14ac:dyDescent="0.2">
      <c r="A76" s="97"/>
      <c r="B76" s="116"/>
      <c r="C76" s="117" t="s">
        <v>232</v>
      </c>
      <c r="D76" s="117" t="s">
        <v>69</v>
      </c>
      <c r="E76" s="118" t="s">
        <v>361</v>
      </c>
      <c r="F76" s="119" t="s">
        <v>362</v>
      </c>
      <c r="G76" s="120" t="s">
        <v>120</v>
      </c>
      <c r="H76" s="121">
        <v>88.102999999999994</v>
      </c>
      <c r="I76" s="122">
        <v>80.23</v>
      </c>
      <c r="J76" s="122">
        <v>7068.5</v>
      </c>
      <c r="K76" s="85">
        <f t="shared" si="10"/>
        <v>-0.02</v>
      </c>
      <c r="L76" s="86">
        <f t="shared" si="0"/>
        <v>80.23</v>
      </c>
      <c r="M76" s="277">
        <f t="shared" si="1"/>
        <v>-1.6046</v>
      </c>
      <c r="N76" s="87">
        <f t="shared" si="2"/>
        <v>88.082999999999998</v>
      </c>
      <c r="O76" s="88">
        <f t="shared" si="3"/>
        <v>80.23</v>
      </c>
      <c r="P76" s="278">
        <f t="shared" si="4"/>
        <v>7066.8990899999999</v>
      </c>
      <c r="Q76" s="151"/>
    </row>
    <row r="77" spans="1:27" s="109" customFormat="1" ht="36" x14ac:dyDescent="0.2">
      <c r="A77" s="97"/>
      <c r="B77" s="116"/>
      <c r="C77" s="117" t="s">
        <v>235</v>
      </c>
      <c r="D77" s="117" t="s">
        <v>69</v>
      </c>
      <c r="E77" s="118" t="s">
        <v>364</v>
      </c>
      <c r="F77" s="119" t="s">
        <v>365</v>
      </c>
      <c r="G77" s="120" t="s">
        <v>120</v>
      </c>
      <c r="H77" s="121">
        <v>88.102999999999994</v>
      </c>
      <c r="I77" s="122">
        <v>154.66999999999999</v>
      </c>
      <c r="J77" s="122">
        <v>13626.89</v>
      </c>
      <c r="K77" s="85">
        <f t="shared" si="10"/>
        <v>-0.02</v>
      </c>
      <c r="L77" s="86">
        <f t="shared" si="0"/>
        <v>154.66999999999999</v>
      </c>
      <c r="M77" s="277">
        <f t="shared" si="1"/>
        <v>-3.0933999999999999</v>
      </c>
      <c r="N77" s="87">
        <f t="shared" si="2"/>
        <v>88.082999999999998</v>
      </c>
      <c r="O77" s="88">
        <f t="shared" si="3"/>
        <v>154.66999999999999</v>
      </c>
      <c r="P77" s="278">
        <f t="shared" si="4"/>
        <v>13623.797609999998</v>
      </c>
      <c r="Q77" s="151"/>
    </row>
    <row r="78" spans="1:27" s="110" customFormat="1" ht="12.75" x14ac:dyDescent="0.2">
      <c r="C78" s="245"/>
      <c r="D78" s="246" t="s">
        <v>3</v>
      </c>
      <c r="E78" s="247" t="s">
        <v>291</v>
      </c>
      <c r="F78" s="247" t="s">
        <v>292</v>
      </c>
      <c r="G78" s="245"/>
      <c r="H78" s="245"/>
      <c r="I78" s="245"/>
      <c r="J78" s="248">
        <v>7398.05</v>
      </c>
      <c r="K78" s="243"/>
      <c r="L78" s="244"/>
      <c r="M78" s="279">
        <f>M79</f>
        <v>-2.2884000000000002</v>
      </c>
      <c r="N78" s="290"/>
      <c r="O78" s="244"/>
      <c r="P78" s="279">
        <f>P79</f>
        <v>7395.7655400000003</v>
      </c>
      <c r="Q78" s="151"/>
    </row>
    <row r="79" spans="1:27" s="109" customFormat="1" ht="32.25" customHeight="1" x14ac:dyDescent="0.2">
      <c r="A79" s="97"/>
      <c r="B79" s="116"/>
      <c r="C79" s="117" t="s">
        <v>238</v>
      </c>
      <c r="D79" s="117" t="s">
        <v>69</v>
      </c>
      <c r="E79" s="118" t="s">
        <v>294</v>
      </c>
      <c r="F79" s="119" t="s">
        <v>295</v>
      </c>
      <c r="G79" s="120" t="s">
        <v>120</v>
      </c>
      <c r="H79" s="121">
        <v>64.656999999999996</v>
      </c>
      <c r="I79" s="122">
        <v>114.42</v>
      </c>
      <c r="J79" s="122">
        <v>7398.05</v>
      </c>
      <c r="K79" s="85">
        <f t="shared" ref="K79" si="11">ROUND(128.1/128.13*H79-H79,2)</f>
        <v>-0.02</v>
      </c>
      <c r="L79" s="86">
        <f t="shared" si="0"/>
        <v>114.42</v>
      </c>
      <c r="M79" s="277">
        <f t="shared" si="1"/>
        <v>-2.2884000000000002</v>
      </c>
      <c r="N79" s="87">
        <f t="shared" si="2"/>
        <v>64.637</v>
      </c>
      <c r="O79" s="88">
        <f t="shared" si="3"/>
        <v>114.42</v>
      </c>
      <c r="P79" s="278">
        <f t="shared" si="4"/>
        <v>7395.7655400000003</v>
      </c>
      <c r="Q79" s="151"/>
      <c r="X79" s="150" t="s">
        <v>1080</v>
      </c>
    </row>
    <row r="80" spans="1:27" s="109" customFormat="1" ht="6" customHeight="1" x14ac:dyDescent="0.2">
      <c r="A80" s="97"/>
      <c r="B80" s="97"/>
      <c r="C80" s="97"/>
      <c r="D80" s="97"/>
      <c r="E80" s="97"/>
      <c r="F80" s="97"/>
      <c r="G80" s="97"/>
      <c r="H80" s="97"/>
      <c r="I80" s="97"/>
      <c r="J80" s="97"/>
      <c r="Q80" s="151"/>
      <c r="X80" s="152"/>
    </row>
    <row r="81" spans="4:16" ht="12.75" x14ac:dyDescent="0.2">
      <c r="D81" s="89"/>
      <c r="E81" s="141" t="str">
        <f>CONCATENATE("CELKEM ",C12)</f>
        <v>CELKEM 10 - SO 01.J - Stoka A.4</v>
      </c>
      <c r="F81" s="90"/>
      <c r="G81" s="90"/>
      <c r="H81" s="91"/>
      <c r="I81" s="90"/>
      <c r="J81" s="92">
        <v>1500454.7</v>
      </c>
      <c r="K81" s="94"/>
      <c r="L81" s="92"/>
      <c r="M81" s="147">
        <f>M78+M72+M65+M48+M41+M38+M36+M14</f>
        <v>-162.73160000000001</v>
      </c>
      <c r="N81" s="147"/>
      <c r="O81" s="147"/>
      <c r="P81" s="147">
        <f t="shared" ref="P81" si="12">P78+P72+P65+P48+P41+P38+P36+P14</f>
        <v>1500291.9963599998</v>
      </c>
    </row>
    <row r="82" spans="4:16" x14ac:dyDescent="0.2">
      <c r="I82" s="95"/>
    </row>
    <row r="83" spans="4:16" ht="14.25" x14ac:dyDescent="0.2">
      <c r="E83" s="58" t="s">
        <v>994</v>
      </c>
      <c r="F83" s="58"/>
      <c r="H83" s="96"/>
      <c r="J83" s="161"/>
      <c r="K83" s="58" t="s">
        <v>995</v>
      </c>
    </row>
  </sheetData>
  <protectedRanges>
    <protectedRange password="CCAA" sqref="K8" name="Oblast1_1_1_1"/>
    <protectedRange password="CCAA" sqref="D11:H11" name="Oblast1_2_1"/>
    <protectedRange password="CCAA" sqref="D9:H10" name="Oblast1_2_1_1"/>
  </protectedRanges>
  <autoFilter ref="C10:P79" xr:uid="{06DE5730-EED0-4B93-8C3C-AD4C5A92B68E}"/>
  <mergeCells count="6">
    <mergeCell ref="Z30:Z32"/>
    <mergeCell ref="Y30:Y32"/>
    <mergeCell ref="U11:U14"/>
    <mergeCell ref="Q12:Q14"/>
    <mergeCell ref="K9:M9"/>
    <mergeCell ref="N9:P9"/>
  </mergeCells>
  <pageMargins left="0.39370078740157483" right="0.39370078740157483" top="0.39370078740157483" bottom="0.39370078740157483" header="0" footer="0"/>
  <pageSetup paperSize="9" scale="52" fitToHeight="0" orientation="portrait" r:id="rId1"/>
  <headerFooter>
    <oddFooter>&amp;CStrana &amp;P z &amp;N</oddFooter>
  </headerFooter>
  <rowBreaks count="1" manualBreakCount="1">
    <brk id="47" min="1" max="15" man="1"/>
  </rowBreaks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AD83"/>
  <sheetViews>
    <sheetView showGridLines="0" view="pageBreakPreview" topLeftCell="A27" zoomScale="85" zoomScaleNormal="100" zoomScaleSheetLayoutView="85" workbookViewId="0">
      <selection activeCell="J83" sqref="J83"/>
    </sheetView>
  </sheetViews>
  <sheetFormatPr defaultColWidth="9.33203125" defaultRowHeight="11.25" x14ac:dyDescent="0.2"/>
  <cols>
    <col min="1" max="1" width="8.33203125" style="60" customWidth="1"/>
    <col min="2" max="2" width="1.6640625" style="60" customWidth="1"/>
    <col min="3" max="3" width="4.1640625" style="60" customWidth="1"/>
    <col min="4" max="4" width="4.33203125" style="60" customWidth="1"/>
    <col min="5" max="5" width="17.1640625" style="60" customWidth="1"/>
    <col min="6" max="6" width="50.83203125" style="60" customWidth="1"/>
    <col min="7" max="7" width="7" style="60" customWidth="1"/>
    <col min="8" max="8" width="11.5" style="60" customWidth="1"/>
    <col min="9" max="9" width="12.33203125" style="60" customWidth="1"/>
    <col min="10" max="10" width="17.5" style="60" customWidth="1"/>
    <col min="11" max="14" width="14.83203125" style="60" customWidth="1"/>
    <col min="15" max="15" width="21.6640625" style="60" bestFit="1" customWidth="1"/>
    <col min="16" max="16" width="21" style="60" bestFit="1" customWidth="1"/>
    <col min="17" max="17" width="24.33203125" style="60" bestFit="1" customWidth="1"/>
    <col min="18" max="18" width="29.33203125" style="60" bestFit="1" customWidth="1"/>
    <col min="19" max="19" width="37.1640625" style="60" bestFit="1" customWidth="1"/>
    <col min="20" max="20" width="23.1640625" style="60" bestFit="1" customWidth="1"/>
    <col min="21" max="21" width="87.6640625" style="60" bestFit="1" customWidth="1"/>
    <col min="22" max="23" width="0" style="60" hidden="1" customWidth="1"/>
    <col min="24" max="24" width="20.5" style="60" bestFit="1" customWidth="1"/>
    <col min="25" max="26" width="0" style="60" hidden="1" customWidth="1"/>
    <col min="27" max="27" width="11.1640625" style="60" bestFit="1" customWidth="1"/>
    <col min="28" max="28" width="22.33203125" style="60" bestFit="1" customWidth="1"/>
    <col min="29" max="29" width="9.33203125" style="60"/>
    <col min="30" max="30" width="34.1640625" style="60" bestFit="1" customWidth="1"/>
    <col min="31" max="16384" width="9.33203125" style="60"/>
  </cols>
  <sheetData>
    <row r="1" spans="1:27" ht="18.95" customHeight="1" x14ac:dyDescent="0.2">
      <c r="F1" s="3"/>
      <c r="G1" s="4"/>
      <c r="H1" s="1"/>
      <c r="J1" s="61"/>
    </row>
    <row r="2" spans="1:27" s="1" customFormat="1" ht="18" customHeight="1" x14ac:dyDescent="0.2">
      <c r="E2" s="2"/>
      <c r="F2" s="3" t="s">
        <v>979</v>
      </c>
      <c r="G2" s="4" t="s">
        <v>1058</v>
      </c>
      <c r="I2" s="5"/>
      <c r="J2" s="63"/>
      <c r="K2" s="10"/>
      <c r="L2" s="11"/>
      <c r="M2" s="11"/>
      <c r="N2" s="64"/>
    </row>
    <row r="3" spans="1:27" s="1" customFormat="1" ht="18" customHeight="1" x14ac:dyDescent="0.2">
      <c r="E3" s="2"/>
      <c r="F3" s="3" t="s">
        <v>980</v>
      </c>
      <c r="G3" s="4" t="str">
        <f>+'Rekapitulace stavby'!D2</f>
        <v>ÚHERCE, výstavba kanalizace - UZNATELNÉ NÁKLADY - doměrky</v>
      </c>
      <c r="H3" s="2"/>
      <c r="I3" s="5"/>
      <c r="J3" s="63"/>
      <c r="K3" s="10"/>
      <c r="L3" s="11"/>
      <c r="M3" s="11"/>
      <c r="N3" s="64"/>
    </row>
    <row r="4" spans="1:27" s="2" customFormat="1" ht="18" customHeight="1" x14ac:dyDescent="0.2">
      <c r="F4" s="12" t="s">
        <v>981</v>
      </c>
      <c r="G4" s="13" t="str">
        <f>'[1]VRN 01'!G5</f>
        <v>VRI/SOD/2020/Ži</v>
      </c>
      <c r="I4" s="5"/>
      <c r="J4" s="65"/>
      <c r="K4" s="18"/>
      <c r="L4" s="19"/>
      <c r="M4" s="19"/>
      <c r="N4" s="66"/>
    </row>
    <row r="5" spans="1:27" s="2" customFormat="1" ht="18" customHeight="1" x14ac:dyDescent="0.2">
      <c r="F5" s="12" t="s">
        <v>983</v>
      </c>
      <c r="G5" s="13" t="s">
        <v>1001</v>
      </c>
      <c r="I5" s="5"/>
      <c r="J5" s="65"/>
      <c r="K5" s="18"/>
      <c r="L5" s="19"/>
      <c r="M5" s="19"/>
      <c r="N5" s="66"/>
    </row>
    <row r="6" spans="1:27" s="2" customFormat="1" ht="18" customHeight="1" x14ac:dyDescent="0.2">
      <c r="F6" s="3" t="s">
        <v>984</v>
      </c>
      <c r="G6" s="13" t="str">
        <f>'[1]VRN 01'!G7</f>
        <v>Vododvody a kanalizace Mladá Boleslav, a.s.</v>
      </c>
      <c r="I6" s="5"/>
      <c r="J6" s="65"/>
      <c r="K6" s="18"/>
      <c r="L6" s="19"/>
      <c r="M6" s="19"/>
      <c r="N6" s="66"/>
    </row>
    <row r="7" spans="1:27" s="2" customFormat="1" ht="18" customHeight="1" x14ac:dyDescent="0.2">
      <c r="F7" s="3" t="s">
        <v>986</v>
      </c>
      <c r="G7" s="20" t="str">
        <f>'[1]VRN 01'!G8</f>
        <v>VCES a.s.</v>
      </c>
      <c r="H7" s="67"/>
      <c r="I7" s="5"/>
      <c r="J7" s="65"/>
      <c r="K7" s="18"/>
      <c r="L7" s="19"/>
      <c r="M7" s="19"/>
      <c r="N7" s="66"/>
    </row>
    <row r="8" spans="1:27" s="68" customFormat="1" ht="18" customHeight="1" x14ac:dyDescent="0.2">
      <c r="D8" s="69"/>
      <c r="F8" s="3"/>
      <c r="G8" s="20"/>
      <c r="H8" s="67"/>
      <c r="K8" s="72" t="s">
        <v>996</v>
      </c>
      <c r="L8" s="73" t="str">
        <f>+$C$12</f>
        <v>11 - SO 01.J - Stoka A.4.1</v>
      </c>
      <c r="M8" s="73"/>
      <c r="O8" s="74"/>
    </row>
    <row r="9" spans="1:27" s="75" customFormat="1" ht="12.75" x14ac:dyDescent="0.2">
      <c r="C9" s="76"/>
      <c r="D9" s="77"/>
      <c r="E9" s="77"/>
      <c r="F9" s="77"/>
      <c r="G9" s="77"/>
      <c r="H9" s="77"/>
      <c r="I9" s="78"/>
      <c r="J9" s="79"/>
      <c r="K9" s="332" t="s">
        <v>1266</v>
      </c>
      <c r="L9" s="332"/>
      <c r="M9" s="332"/>
      <c r="N9" s="339" t="s">
        <v>1267</v>
      </c>
      <c r="O9" s="339"/>
      <c r="P9" s="340"/>
    </row>
    <row r="10" spans="1:27" s="75" customFormat="1" ht="12.75" x14ac:dyDescent="0.2">
      <c r="C10" s="80"/>
      <c r="D10" s="81" t="s">
        <v>997</v>
      </c>
      <c r="E10" s="81" t="s">
        <v>976</v>
      </c>
      <c r="F10" s="81" t="s">
        <v>977</v>
      </c>
      <c r="G10" s="81" t="s">
        <v>64</v>
      </c>
      <c r="H10" s="82" t="s">
        <v>65</v>
      </c>
      <c r="I10" s="83" t="s">
        <v>998</v>
      </c>
      <c r="J10" s="84" t="s">
        <v>978</v>
      </c>
      <c r="K10" s="218" t="s">
        <v>999</v>
      </c>
      <c r="L10" s="219" t="s">
        <v>1260</v>
      </c>
      <c r="M10" s="220" t="s">
        <v>978</v>
      </c>
      <c r="N10" s="263" t="s">
        <v>1264</v>
      </c>
      <c r="O10" s="264" t="s">
        <v>1260</v>
      </c>
      <c r="P10" s="265" t="s">
        <v>978</v>
      </c>
      <c r="Q10" s="157" t="s">
        <v>1012</v>
      </c>
      <c r="R10" s="157" t="s">
        <v>1019</v>
      </c>
      <c r="U10" s="157" t="s">
        <v>1081</v>
      </c>
      <c r="X10" s="157" t="s">
        <v>1132</v>
      </c>
      <c r="AA10" s="75" t="s">
        <v>1211</v>
      </c>
    </row>
    <row r="11" spans="1:27" s="75" customFormat="1" ht="24" customHeight="1" x14ac:dyDescent="0.2">
      <c r="D11" s="133"/>
      <c r="E11" s="133"/>
      <c r="F11" s="133"/>
      <c r="G11" s="133"/>
      <c r="H11" s="134"/>
      <c r="I11" s="135"/>
      <c r="J11" s="136"/>
      <c r="K11" s="137"/>
      <c r="L11" s="138"/>
      <c r="M11" s="138"/>
      <c r="N11" s="139"/>
      <c r="O11" s="140"/>
      <c r="P11" s="140"/>
    </row>
    <row r="12" spans="1:27" s="109" customFormat="1" ht="15.75" x14ac:dyDescent="0.25">
      <c r="A12" s="97"/>
      <c r="B12" s="97"/>
      <c r="C12" s="98" t="s">
        <v>379</v>
      </c>
      <c r="D12" s="97"/>
      <c r="E12" s="97"/>
      <c r="F12" s="97"/>
      <c r="G12" s="97"/>
      <c r="H12" s="97"/>
      <c r="I12" s="97"/>
      <c r="J12" s="99">
        <v>287137.71999999986</v>
      </c>
    </row>
    <row r="13" spans="1:27" s="110" customFormat="1" ht="15" x14ac:dyDescent="0.2">
      <c r="D13" s="111" t="s">
        <v>3</v>
      </c>
      <c r="E13" s="112" t="s">
        <v>66</v>
      </c>
      <c r="F13" s="112" t="s">
        <v>67</v>
      </c>
      <c r="J13" s="113">
        <v>287137.71999999986</v>
      </c>
      <c r="U13" s="329" t="s">
        <v>1082</v>
      </c>
    </row>
    <row r="14" spans="1:27" s="110" customFormat="1" ht="12.75" x14ac:dyDescent="0.2">
      <c r="C14" s="252"/>
      <c r="D14" s="253" t="s">
        <v>3</v>
      </c>
      <c r="E14" s="254" t="s">
        <v>7</v>
      </c>
      <c r="F14" s="254" t="s">
        <v>68</v>
      </c>
      <c r="G14" s="252"/>
      <c r="H14" s="252"/>
      <c r="I14" s="252"/>
      <c r="J14" s="255">
        <v>134121.60999999999</v>
      </c>
      <c r="K14" s="252"/>
      <c r="L14" s="252"/>
      <c r="M14" s="258">
        <f>SUM(M15:M35)</f>
        <v>-152.57190000000003</v>
      </c>
      <c r="N14" s="252"/>
      <c r="O14" s="252"/>
      <c r="P14" s="258">
        <f>SUM(P15:P35)</f>
        <v>133969.02822000001</v>
      </c>
      <c r="U14" s="329"/>
    </row>
    <row r="15" spans="1:27" s="109" customFormat="1" ht="60" x14ac:dyDescent="0.2">
      <c r="A15" s="97"/>
      <c r="B15" s="116"/>
      <c r="C15" s="117" t="s">
        <v>7</v>
      </c>
      <c r="D15" s="117" t="s">
        <v>69</v>
      </c>
      <c r="E15" s="118" t="s">
        <v>77</v>
      </c>
      <c r="F15" s="119" t="s">
        <v>78</v>
      </c>
      <c r="G15" s="120" t="s">
        <v>72</v>
      </c>
      <c r="H15" s="121">
        <v>25.949000000000002</v>
      </c>
      <c r="I15" s="122">
        <v>21.04</v>
      </c>
      <c r="J15" s="122">
        <v>545.97</v>
      </c>
      <c r="K15" s="85">
        <v>0</v>
      </c>
      <c r="L15" s="86">
        <f>I15</f>
        <v>21.04</v>
      </c>
      <c r="M15" s="277">
        <f>K15*L15</f>
        <v>0</v>
      </c>
      <c r="N15" s="87">
        <f>H15+K15</f>
        <v>25.949000000000002</v>
      </c>
      <c r="O15" s="88">
        <f>I15</f>
        <v>21.04</v>
      </c>
      <c r="P15" s="288">
        <f>N15*O15</f>
        <v>545.96695999999997</v>
      </c>
    </row>
    <row r="16" spans="1:27" s="109" customFormat="1" ht="60" x14ac:dyDescent="0.2">
      <c r="A16" s="97"/>
      <c r="B16" s="116"/>
      <c r="C16" s="117" t="s">
        <v>8</v>
      </c>
      <c r="D16" s="117" t="s">
        <v>69</v>
      </c>
      <c r="E16" s="118" t="s">
        <v>79</v>
      </c>
      <c r="F16" s="119" t="s">
        <v>80</v>
      </c>
      <c r="G16" s="120" t="s">
        <v>72</v>
      </c>
      <c r="H16" s="121">
        <v>10.625999999999999</v>
      </c>
      <c r="I16" s="122">
        <v>26.3</v>
      </c>
      <c r="J16" s="122">
        <v>279.45999999999998</v>
      </c>
      <c r="K16" s="85">
        <v>0</v>
      </c>
      <c r="L16" s="86">
        <f t="shared" ref="L16:L79" si="0">I16</f>
        <v>26.3</v>
      </c>
      <c r="M16" s="277">
        <f t="shared" ref="M16:M79" si="1">K16*L16</f>
        <v>0</v>
      </c>
      <c r="N16" s="87">
        <f t="shared" ref="N16:N79" si="2">H16+K16</f>
        <v>10.625999999999999</v>
      </c>
      <c r="O16" s="88">
        <f t="shared" ref="O16:O79" si="3">I16</f>
        <v>26.3</v>
      </c>
      <c r="P16" s="288">
        <f t="shared" ref="P16:P79" si="4">N16*O16</f>
        <v>279.46379999999999</v>
      </c>
    </row>
    <row r="17" spans="1:17" s="109" customFormat="1" ht="60" x14ac:dyDescent="0.2">
      <c r="A17" s="97"/>
      <c r="B17" s="116"/>
      <c r="C17" s="117" t="s">
        <v>76</v>
      </c>
      <c r="D17" s="117" t="s">
        <v>69</v>
      </c>
      <c r="E17" s="118" t="s">
        <v>314</v>
      </c>
      <c r="F17" s="119" t="s">
        <v>315</v>
      </c>
      <c r="G17" s="120" t="s">
        <v>72</v>
      </c>
      <c r="H17" s="121">
        <v>10.625999999999999</v>
      </c>
      <c r="I17" s="122">
        <v>519.33000000000004</v>
      </c>
      <c r="J17" s="122">
        <v>5518.4</v>
      </c>
      <c r="K17" s="85">
        <v>0</v>
      </c>
      <c r="L17" s="86">
        <f t="shared" si="0"/>
        <v>519.33000000000004</v>
      </c>
      <c r="M17" s="277">
        <f t="shared" si="1"/>
        <v>0</v>
      </c>
      <c r="N17" s="87">
        <f t="shared" si="2"/>
        <v>10.625999999999999</v>
      </c>
      <c r="O17" s="88">
        <f t="shared" si="3"/>
        <v>519.33000000000004</v>
      </c>
      <c r="P17" s="288">
        <f t="shared" si="4"/>
        <v>5518.4005800000004</v>
      </c>
    </row>
    <row r="18" spans="1:17" s="109" customFormat="1" ht="60" x14ac:dyDescent="0.2">
      <c r="A18" s="97"/>
      <c r="B18" s="116"/>
      <c r="C18" s="117" t="s">
        <v>73</v>
      </c>
      <c r="D18" s="117" t="s">
        <v>69</v>
      </c>
      <c r="E18" s="118" t="s">
        <v>316</v>
      </c>
      <c r="F18" s="119" t="s">
        <v>317</v>
      </c>
      <c r="G18" s="120" t="s">
        <v>72</v>
      </c>
      <c r="H18" s="121">
        <v>10.625999999999999</v>
      </c>
      <c r="I18" s="122">
        <v>77.599999999999994</v>
      </c>
      <c r="J18" s="122">
        <v>824.58</v>
      </c>
      <c r="K18" s="85">
        <v>0</v>
      </c>
      <c r="L18" s="86">
        <f t="shared" si="0"/>
        <v>77.599999999999994</v>
      </c>
      <c r="M18" s="277">
        <f t="shared" si="1"/>
        <v>0</v>
      </c>
      <c r="N18" s="87">
        <f t="shared" si="2"/>
        <v>10.625999999999999</v>
      </c>
      <c r="O18" s="88">
        <f t="shared" si="3"/>
        <v>77.599999999999994</v>
      </c>
      <c r="P18" s="288">
        <f t="shared" si="4"/>
        <v>824.57759999999985</v>
      </c>
    </row>
    <row r="19" spans="1:17" s="109" customFormat="1" ht="48" x14ac:dyDescent="0.2">
      <c r="A19" s="97"/>
      <c r="B19" s="116"/>
      <c r="C19" s="117" t="s">
        <v>81</v>
      </c>
      <c r="D19" s="117" t="s">
        <v>69</v>
      </c>
      <c r="E19" s="118" t="s">
        <v>85</v>
      </c>
      <c r="F19" s="119" t="s">
        <v>86</v>
      </c>
      <c r="G19" s="120" t="s">
        <v>72</v>
      </c>
      <c r="H19" s="121">
        <v>20.286000000000001</v>
      </c>
      <c r="I19" s="122">
        <v>55.24</v>
      </c>
      <c r="J19" s="122">
        <v>1120.5999999999999</v>
      </c>
      <c r="K19" s="85">
        <v>0</v>
      </c>
      <c r="L19" s="86">
        <f t="shared" si="0"/>
        <v>55.24</v>
      </c>
      <c r="M19" s="277">
        <f t="shared" si="1"/>
        <v>0</v>
      </c>
      <c r="N19" s="87">
        <f t="shared" si="2"/>
        <v>20.286000000000001</v>
      </c>
      <c r="O19" s="88">
        <f t="shared" si="3"/>
        <v>55.24</v>
      </c>
      <c r="P19" s="288">
        <f t="shared" si="4"/>
        <v>1120.5986400000002</v>
      </c>
    </row>
    <row r="20" spans="1:17" s="109" customFormat="1" ht="84" x14ac:dyDescent="0.2">
      <c r="A20" s="97"/>
      <c r="B20" s="116"/>
      <c r="C20" s="117" t="s">
        <v>84</v>
      </c>
      <c r="D20" s="117" t="s">
        <v>69</v>
      </c>
      <c r="E20" s="118" t="s">
        <v>88</v>
      </c>
      <c r="F20" s="119" t="s">
        <v>89</v>
      </c>
      <c r="G20" s="120" t="s">
        <v>61</v>
      </c>
      <c r="H20" s="121">
        <v>2.2000000000000002</v>
      </c>
      <c r="I20" s="122">
        <v>170.98</v>
      </c>
      <c r="J20" s="122">
        <v>376.16</v>
      </c>
      <c r="K20" s="85">
        <f>ROUND(33.2/33.24*H20-H20,2)</f>
        <v>0</v>
      </c>
      <c r="L20" s="86">
        <f t="shared" si="0"/>
        <v>170.98</v>
      </c>
      <c r="M20" s="277">
        <f t="shared" si="1"/>
        <v>0</v>
      </c>
      <c r="N20" s="87">
        <f t="shared" si="2"/>
        <v>2.2000000000000002</v>
      </c>
      <c r="O20" s="88">
        <f t="shared" si="3"/>
        <v>170.98</v>
      </c>
      <c r="P20" s="288">
        <f t="shared" si="4"/>
        <v>376.15600000000001</v>
      </c>
    </row>
    <row r="21" spans="1:17" s="109" customFormat="1" ht="36" x14ac:dyDescent="0.2">
      <c r="A21" s="97"/>
      <c r="B21" s="116"/>
      <c r="C21" s="117" t="s">
        <v>87</v>
      </c>
      <c r="D21" s="117" t="s">
        <v>69</v>
      </c>
      <c r="E21" s="118" t="s">
        <v>94</v>
      </c>
      <c r="F21" s="119" t="s">
        <v>95</v>
      </c>
      <c r="G21" s="120" t="s">
        <v>62</v>
      </c>
      <c r="H21" s="121">
        <v>8.36</v>
      </c>
      <c r="I21" s="122">
        <v>257.77999999999997</v>
      </c>
      <c r="J21" s="122">
        <v>2155.04</v>
      </c>
      <c r="K21" s="85">
        <f t="shared" ref="K21:K37" si="5">ROUND(33.2/33.24*H21-H21,2)</f>
        <v>-0.01</v>
      </c>
      <c r="L21" s="86">
        <f t="shared" si="0"/>
        <v>257.77999999999997</v>
      </c>
      <c r="M21" s="277">
        <f t="shared" si="1"/>
        <v>-2.5777999999999999</v>
      </c>
      <c r="N21" s="87">
        <f t="shared" si="2"/>
        <v>8.35</v>
      </c>
      <c r="O21" s="88">
        <f t="shared" si="3"/>
        <v>257.77999999999997</v>
      </c>
      <c r="P21" s="288">
        <f t="shared" si="4"/>
        <v>2152.4629999999997</v>
      </c>
    </row>
    <row r="22" spans="1:17" s="109" customFormat="1" ht="48" x14ac:dyDescent="0.2">
      <c r="A22" s="97"/>
      <c r="B22" s="116"/>
      <c r="C22" s="117" t="s">
        <v>90</v>
      </c>
      <c r="D22" s="117" t="s">
        <v>69</v>
      </c>
      <c r="E22" s="118" t="s">
        <v>96</v>
      </c>
      <c r="F22" s="119" t="s">
        <v>97</v>
      </c>
      <c r="G22" s="120" t="s">
        <v>62</v>
      </c>
      <c r="H22" s="121">
        <v>17.59</v>
      </c>
      <c r="I22" s="122">
        <v>234.11</v>
      </c>
      <c r="J22" s="122">
        <v>4117.99</v>
      </c>
      <c r="K22" s="85">
        <f t="shared" si="5"/>
        <v>-0.02</v>
      </c>
      <c r="L22" s="86">
        <f t="shared" si="0"/>
        <v>234.11</v>
      </c>
      <c r="M22" s="277">
        <f t="shared" si="1"/>
        <v>-4.6822000000000008</v>
      </c>
      <c r="N22" s="87">
        <f t="shared" si="2"/>
        <v>17.57</v>
      </c>
      <c r="O22" s="88">
        <f t="shared" si="3"/>
        <v>234.11</v>
      </c>
      <c r="P22" s="288">
        <f t="shared" si="4"/>
        <v>4113.3127000000004</v>
      </c>
    </row>
    <row r="23" spans="1:17" s="109" customFormat="1" ht="48" x14ac:dyDescent="0.2">
      <c r="A23" s="97"/>
      <c r="B23" s="116"/>
      <c r="C23" s="117" t="s">
        <v>93</v>
      </c>
      <c r="D23" s="117" t="s">
        <v>69</v>
      </c>
      <c r="E23" s="118" t="s">
        <v>98</v>
      </c>
      <c r="F23" s="119" t="s">
        <v>99</v>
      </c>
      <c r="G23" s="120" t="s">
        <v>62</v>
      </c>
      <c r="H23" s="121">
        <v>30.79</v>
      </c>
      <c r="I23" s="122">
        <v>257.77999999999997</v>
      </c>
      <c r="J23" s="122">
        <v>7937.05</v>
      </c>
      <c r="K23" s="85">
        <f t="shared" si="5"/>
        <v>-0.04</v>
      </c>
      <c r="L23" s="86">
        <f t="shared" si="0"/>
        <v>257.77999999999997</v>
      </c>
      <c r="M23" s="277">
        <f t="shared" si="1"/>
        <v>-10.311199999999999</v>
      </c>
      <c r="N23" s="87">
        <f t="shared" si="2"/>
        <v>30.75</v>
      </c>
      <c r="O23" s="88">
        <f t="shared" si="3"/>
        <v>257.77999999999997</v>
      </c>
      <c r="P23" s="288">
        <f t="shared" si="4"/>
        <v>7926.7349999999988</v>
      </c>
      <c r="Q23" s="150"/>
    </row>
    <row r="24" spans="1:17" s="109" customFormat="1" ht="48" x14ac:dyDescent="0.2">
      <c r="A24" s="97"/>
      <c r="B24" s="116"/>
      <c r="C24" s="117" t="s">
        <v>26</v>
      </c>
      <c r="D24" s="117" t="s">
        <v>69</v>
      </c>
      <c r="E24" s="118" t="s">
        <v>100</v>
      </c>
      <c r="F24" s="119" t="s">
        <v>101</v>
      </c>
      <c r="G24" s="120" t="s">
        <v>62</v>
      </c>
      <c r="H24" s="121">
        <v>39.58</v>
      </c>
      <c r="I24" s="122">
        <v>315.64999999999998</v>
      </c>
      <c r="J24" s="122">
        <v>12493.43</v>
      </c>
      <c r="K24" s="85">
        <f t="shared" si="5"/>
        <v>-0.05</v>
      </c>
      <c r="L24" s="86">
        <f t="shared" si="0"/>
        <v>315.64999999999998</v>
      </c>
      <c r="M24" s="277">
        <f t="shared" si="1"/>
        <v>-15.782499999999999</v>
      </c>
      <c r="N24" s="87">
        <f t="shared" si="2"/>
        <v>39.53</v>
      </c>
      <c r="O24" s="88">
        <f t="shared" si="3"/>
        <v>315.64999999999998</v>
      </c>
      <c r="P24" s="288">
        <f t="shared" si="4"/>
        <v>12477.6445</v>
      </c>
      <c r="Q24" s="150"/>
    </row>
    <row r="25" spans="1:17" s="109" customFormat="1" ht="36" x14ac:dyDescent="0.2">
      <c r="A25" s="97"/>
      <c r="B25" s="116"/>
      <c r="C25" s="117" t="s">
        <v>28</v>
      </c>
      <c r="D25" s="117" t="s">
        <v>69</v>
      </c>
      <c r="E25" s="118" t="s">
        <v>102</v>
      </c>
      <c r="F25" s="119" t="s">
        <v>103</v>
      </c>
      <c r="G25" s="120" t="s">
        <v>72</v>
      </c>
      <c r="H25" s="121">
        <v>161.18</v>
      </c>
      <c r="I25" s="122">
        <v>69.709999999999994</v>
      </c>
      <c r="J25" s="122">
        <v>11235.86</v>
      </c>
      <c r="K25" s="85">
        <f t="shared" si="5"/>
        <v>-0.19</v>
      </c>
      <c r="L25" s="86">
        <f t="shared" si="0"/>
        <v>69.709999999999994</v>
      </c>
      <c r="M25" s="277">
        <f t="shared" si="1"/>
        <v>-13.244899999999999</v>
      </c>
      <c r="N25" s="87">
        <f t="shared" si="2"/>
        <v>160.99</v>
      </c>
      <c r="O25" s="88">
        <f t="shared" si="3"/>
        <v>69.709999999999994</v>
      </c>
      <c r="P25" s="288">
        <f t="shared" si="4"/>
        <v>11222.6129</v>
      </c>
    </row>
    <row r="26" spans="1:17" s="109" customFormat="1" ht="48" x14ac:dyDescent="0.2">
      <c r="A26" s="97"/>
      <c r="B26" s="116"/>
      <c r="C26" s="117" t="s">
        <v>30</v>
      </c>
      <c r="D26" s="117" t="s">
        <v>69</v>
      </c>
      <c r="E26" s="118" t="s">
        <v>104</v>
      </c>
      <c r="F26" s="119" t="s">
        <v>105</v>
      </c>
      <c r="G26" s="120" t="s">
        <v>72</v>
      </c>
      <c r="H26" s="121">
        <v>161.18</v>
      </c>
      <c r="I26" s="122">
        <v>80.23</v>
      </c>
      <c r="J26" s="122">
        <v>12931.47</v>
      </c>
      <c r="K26" s="85">
        <f t="shared" si="5"/>
        <v>-0.19</v>
      </c>
      <c r="L26" s="86">
        <f t="shared" si="0"/>
        <v>80.23</v>
      </c>
      <c r="M26" s="277">
        <f t="shared" si="1"/>
        <v>-15.2437</v>
      </c>
      <c r="N26" s="87">
        <f t="shared" si="2"/>
        <v>160.99</v>
      </c>
      <c r="O26" s="88">
        <f t="shared" si="3"/>
        <v>80.23</v>
      </c>
      <c r="P26" s="288">
        <f t="shared" si="4"/>
        <v>12916.227700000001</v>
      </c>
    </row>
    <row r="27" spans="1:17" s="109" customFormat="1" ht="48" x14ac:dyDescent="0.2">
      <c r="A27" s="97"/>
      <c r="B27" s="116"/>
      <c r="C27" s="117" t="s">
        <v>32</v>
      </c>
      <c r="D27" s="117" t="s">
        <v>69</v>
      </c>
      <c r="E27" s="118" t="s">
        <v>106</v>
      </c>
      <c r="F27" s="119" t="s">
        <v>107</v>
      </c>
      <c r="G27" s="120" t="s">
        <v>62</v>
      </c>
      <c r="H27" s="121">
        <v>52.776000000000003</v>
      </c>
      <c r="I27" s="122">
        <v>13.15</v>
      </c>
      <c r="J27" s="122">
        <v>694</v>
      </c>
      <c r="K27" s="85">
        <f t="shared" si="5"/>
        <v>-0.06</v>
      </c>
      <c r="L27" s="86">
        <f t="shared" si="0"/>
        <v>13.15</v>
      </c>
      <c r="M27" s="277">
        <f t="shared" si="1"/>
        <v>-0.78900000000000003</v>
      </c>
      <c r="N27" s="87">
        <f t="shared" si="2"/>
        <v>52.716000000000001</v>
      </c>
      <c r="O27" s="88">
        <f t="shared" si="3"/>
        <v>13.15</v>
      </c>
      <c r="P27" s="288">
        <f t="shared" si="4"/>
        <v>693.21540000000005</v>
      </c>
    </row>
    <row r="28" spans="1:17" s="109" customFormat="1" ht="48" x14ac:dyDescent="0.2">
      <c r="A28" s="97"/>
      <c r="B28" s="116"/>
      <c r="C28" s="117" t="s">
        <v>34</v>
      </c>
      <c r="D28" s="117" t="s">
        <v>69</v>
      </c>
      <c r="E28" s="118" t="s">
        <v>108</v>
      </c>
      <c r="F28" s="119" t="s">
        <v>109</v>
      </c>
      <c r="G28" s="120" t="s">
        <v>62</v>
      </c>
      <c r="H28" s="121">
        <v>146.78</v>
      </c>
      <c r="I28" s="122">
        <v>186.81</v>
      </c>
      <c r="J28" s="122">
        <v>27419.97</v>
      </c>
      <c r="K28" s="85">
        <f t="shared" si="5"/>
        <v>-0.18</v>
      </c>
      <c r="L28" s="86">
        <f t="shared" si="0"/>
        <v>186.81</v>
      </c>
      <c r="M28" s="277">
        <f t="shared" si="1"/>
        <v>-33.625799999999998</v>
      </c>
      <c r="N28" s="87">
        <f t="shared" si="2"/>
        <v>146.6</v>
      </c>
      <c r="O28" s="88">
        <f t="shared" si="3"/>
        <v>186.81</v>
      </c>
      <c r="P28" s="288">
        <f t="shared" si="4"/>
        <v>27386.345999999998</v>
      </c>
    </row>
    <row r="29" spans="1:17" s="109" customFormat="1" ht="36" x14ac:dyDescent="0.2">
      <c r="A29" s="97"/>
      <c r="B29" s="116"/>
      <c r="C29" s="117" t="s">
        <v>1</v>
      </c>
      <c r="D29" s="117" t="s">
        <v>69</v>
      </c>
      <c r="E29" s="118" t="s">
        <v>110</v>
      </c>
      <c r="F29" s="119" t="s">
        <v>111</v>
      </c>
      <c r="G29" s="120" t="s">
        <v>62</v>
      </c>
      <c r="H29" s="121">
        <v>87.96</v>
      </c>
      <c r="I29" s="122">
        <v>44.72</v>
      </c>
      <c r="J29" s="122">
        <v>3933.57</v>
      </c>
      <c r="K29" s="85">
        <f t="shared" si="5"/>
        <v>-0.11</v>
      </c>
      <c r="L29" s="86">
        <f t="shared" si="0"/>
        <v>44.72</v>
      </c>
      <c r="M29" s="277">
        <f t="shared" si="1"/>
        <v>-4.9192</v>
      </c>
      <c r="N29" s="87">
        <f t="shared" si="2"/>
        <v>87.85</v>
      </c>
      <c r="O29" s="88">
        <f t="shared" si="3"/>
        <v>44.72</v>
      </c>
      <c r="P29" s="288">
        <f t="shared" si="4"/>
        <v>3928.6519999999996</v>
      </c>
    </row>
    <row r="30" spans="1:17" s="109" customFormat="1" ht="48" x14ac:dyDescent="0.2">
      <c r="A30" s="97"/>
      <c r="B30" s="116"/>
      <c r="C30" s="117" t="s">
        <v>37</v>
      </c>
      <c r="D30" s="117" t="s">
        <v>69</v>
      </c>
      <c r="E30" s="118" t="s">
        <v>112</v>
      </c>
      <c r="F30" s="119" t="s">
        <v>113</v>
      </c>
      <c r="G30" s="120" t="s">
        <v>62</v>
      </c>
      <c r="H30" s="121">
        <v>29.2</v>
      </c>
      <c r="I30" s="122">
        <v>247.39</v>
      </c>
      <c r="J30" s="122">
        <v>7223.79</v>
      </c>
      <c r="K30" s="85">
        <f t="shared" si="5"/>
        <v>-0.04</v>
      </c>
      <c r="L30" s="86">
        <f t="shared" si="0"/>
        <v>247.39</v>
      </c>
      <c r="M30" s="277">
        <f t="shared" si="1"/>
        <v>-9.8956</v>
      </c>
      <c r="N30" s="87">
        <f t="shared" si="2"/>
        <v>29.16</v>
      </c>
      <c r="O30" s="88">
        <f t="shared" si="3"/>
        <v>247.39</v>
      </c>
      <c r="P30" s="288">
        <f t="shared" si="4"/>
        <v>7213.8923999999997</v>
      </c>
    </row>
    <row r="31" spans="1:17" s="109" customFormat="1" ht="12" x14ac:dyDescent="0.2">
      <c r="A31" s="97"/>
      <c r="B31" s="116"/>
      <c r="C31" s="117" t="s">
        <v>39</v>
      </c>
      <c r="D31" s="117" t="s">
        <v>69</v>
      </c>
      <c r="E31" s="118" t="s">
        <v>115</v>
      </c>
      <c r="F31" s="119" t="s">
        <v>116</v>
      </c>
      <c r="G31" s="120" t="s">
        <v>62</v>
      </c>
      <c r="H31" s="121">
        <v>29.2</v>
      </c>
      <c r="I31" s="122">
        <v>11.84</v>
      </c>
      <c r="J31" s="122">
        <v>345.73</v>
      </c>
      <c r="K31" s="85">
        <f t="shared" si="5"/>
        <v>-0.04</v>
      </c>
      <c r="L31" s="86">
        <f t="shared" si="0"/>
        <v>11.84</v>
      </c>
      <c r="M31" s="277">
        <f t="shared" si="1"/>
        <v>-0.47360000000000002</v>
      </c>
      <c r="N31" s="87">
        <f t="shared" si="2"/>
        <v>29.16</v>
      </c>
      <c r="O31" s="88">
        <f t="shared" si="3"/>
        <v>11.84</v>
      </c>
      <c r="P31" s="288">
        <f t="shared" si="4"/>
        <v>345.25439999999998</v>
      </c>
    </row>
    <row r="32" spans="1:17" s="109" customFormat="1" ht="36" x14ac:dyDescent="0.2">
      <c r="A32" s="97"/>
      <c r="B32" s="116"/>
      <c r="C32" s="117" t="s">
        <v>41</v>
      </c>
      <c r="D32" s="117" t="s">
        <v>69</v>
      </c>
      <c r="E32" s="118" t="s">
        <v>118</v>
      </c>
      <c r="F32" s="119" t="s">
        <v>119</v>
      </c>
      <c r="G32" s="120" t="s">
        <v>120</v>
      </c>
      <c r="H32" s="121">
        <v>46.665999999999997</v>
      </c>
      <c r="I32" s="122">
        <v>116</v>
      </c>
      <c r="J32" s="122">
        <v>5413.26</v>
      </c>
      <c r="K32" s="85">
        <f t="shared" si="5"/>
        <v>-0.06</v>
      </c>
      <c r="L32" s="86">
        <f t="shared" si="0"/>
        <v>116</v>
      </c>
      <c r="M32" s="277">
        <f t="shared" si="1"/>
        <v>-6.96</v>
      </c>
      <c r="N32" s="87">
        <f t="shared" si="2"/>
        <v>46.605999999999995</v>
      </c>
      <c r="O32" s="88">
        <f t="shared" si="3"/>
        <v>116</v>
      </c>
      <c r="P32" s="288">
        <f t="shared" si="4"/>
        <v>5406.2959999999994</v>
      </c>
    </row>
    <row r="33" spans="1:20" s="109" customFormat="1" ht="36" x14ac:dyDescent="0.2">
      <c r="A33" s="97"/>
      <c r="B33" s="116"/>
      <c r="C33" s="117" t="s">
        <v>114</v>
      </c>
      <c r="D33" s="117" t="s">
        <v>69</v>
      </c>
      <c r="E33" s="118" t="s">
        <v>121</v>
      </c>
      <c r="F33" s="119" t="s">
        <v>122</v>
      </c>
      <c r="G33" s="120" t="s">
        <v>62</v>
      </c>
      <c r="H33" s="121">
        <v>58.82</v>
      </c>
      <c r="I33" s="122">
        <v>286.72000000000003</v>
      </c>
      <c r="J33" s="122">
        <v>16864.87</v>
      </c>
      <c r="K33" s="85">
        <f t="shared" si="5"/>
        <v>-7.0000000000000007E-2</v>
      </c>
      <c r="L33" s="86">
        <f t="shared" si="0"/>
        <v>286.72000000000003</v>
      </c>
      <c r="M33" s="277">
        <f t="shared" si="1"/>
        <v>-20.070400000000003</v>
      </c>
      <c r="N33" s="87">
        <f t="shared" si="2"/>
        <v>58.75</v>
      </c>
      <c r="O33" s="88">
        <f t="shared" si="3"/>
        <v>286.72000000000003</v>
      </c>
      <c r="P33" s="288">
        <f t="shared" si="4"/>
        <v>16844.800000000003</v>
      </c>
    </row>
    <row r="34" spans="1:20" s="109" customFormat="1" ht="60" x14ac:dyDescent="0.2">
      <c r="A34" s="97"/>
      <c r="B34" s="116"/>
      <c r="C34" s="117" t="s">
        <v>117</v>
      </c>
      <c r="D34" s="117" t="s">
        <v>69</v>
      </c>
      <c r="E34" s="118" t="s">
        <v>124</v>
      </c>
      <c r="F34" s="119" t="s">
        <v>125</v>
      </c>
      <c r="G34" s="120" t="s">
        <v>62</v>
      </c>
      <c r="H34" s="121">
        <v>19.18</v>
      </c>
      <c r="I34" s="122">
        <v>318.27999999999997</v>
      </c>
      <c r="J34" s="122">
        <v>6104.61</v>
      </c>
      <c r="K34" s="85">
        <f t="shared" si="5"/>
        <v>-0.02</v>
      </c>
      <c r="L34" s="86">
        <f t="shared" si="0"/>
        <v>318.27999999999997</v>
      </c>
      <c r="M34" s="277">
        <f t="shared" si="1"/>
        <v>-6.3655999999999997</v>
      </c>
      <c r="N34" s="87">
        <f t="shared" si="2"/>
        <v>19.16</v>
      </c>
      <c r="O34" s="88">
        <f t="shared" si="3"/>
        <v>318.27999999999997</v>
      </c>
      <c r="P34" s="288">
        <f t="shared" si="4"/>
        <v>6098.2447999999995</v>
      </c>
    </row>
    <row r="35" spans="1:20" s="109" customFormat="1" ht="12" x14ac:dyDescent="0.2">
      <c r="A35" s="97"/>
      <c r="B35" s="116"/>
      <c r="C35" s="123" t="s">
        <v>0</v>
      </c>
      <c r="D35" s="123" t="s">
        <v>127</v>
      </c>
      <c r="E35" s="124" t="s">
        <v>128</v>
      </c>
      <c r="F35" s="125" t="s">
        <v>129</v>
      </c>
      <c r="G35" s="126" t="s">
        <v>120</v>
      </c>
      <c r="H35" s="127">
        <v>34.524000000000001</v>
      </c>
      <c r="I35" s="128">
        <v>190.76</v>
      </c>
      <c r="J35" s="128">
        <v>6585.8</v>
      </c>
      <c r="K35" s="85">
        <f t="shared" si="5"/>
        <v>-0.04</v>
      </c>
      <c r="L35" s="86">
        <f t="shared" si="0"/>
        <v>190.76</v>
      </c>
      <c r="M35" s="277">
        <f t="shared" si="1"/>
        <v>-7.6303999999999998</v>
      </c>
      <c r="N35" s="87">
        <f t="shared" si="2"/>
        <v>34.484000000000002</v>
      </c>
      <c r="O35" s="88">
        <f t="shared" si="3"/>
        <v>190.76</v>
      </c>
      <c r="P35" s="288">
        <f t="shared" si="4"/>
        <v>6578.1678400000001</v>
      </c>
    </row>
    <row r="36" spans="1:20" s="110" customFormat="1" ht="12.75" x14ac:dyDescent="0.2">
      <c r="C36" s="245"/>
      <c r="D36" s="246" t="s">
        <v>3</v>
      </c>
      <c r="E36" s="247" t="s">
        <v>76</v>
      </c>
      <c r="F36" s="247" t="s">
        <v>130</v>
      </c>
      <c r="G36" s="245"/>
      <c r="H36" s="245"/>
      <c r="I36" s="245"/>
      <c r="J36" s="248">
        <v>1092.93</v>
      </c>
      <c r="K36" s="243"/>
      <c r="L36" s="244"/>
      <c r="M36" s="279">
        <f>M37</f>
        <v>-1.3152000000000001</v>
      </c>
      <c r="N36" s="280"/>
      <c r="O36" s="244"/>
      <c r="P36" s="289">
        <f>P37</f>
        <v>1091.6160000000002</v>
      </c>
    </row>
    <row r="37" spans="1:20" s="109" customFormat="1" ht="12" x14ac:dyDescent="0.2">
      <c r="A37" s="97"/>
      <c r="B37" s="116"/>
      <c r="C37" s="117" t="s">
        <v>123</v>
      </c>
      <c r="D37" s="117" t="s">
        <v>69</v>
      </c>
      <c r="E37" s="118" t="s">
        <v>132</v>
      </c>
      <c r="F37" s="119" t="s">
        <v>133</v>
      </c>
      <c r="G37" s="120" t="s">
        <v>61</v>
      </c>
      <c r="H37" s="121">
        <v>33.24</v>
      </c>
      <c r="I37" s="122">
        <v>32.880000000000003</v>
      </c>
      <c r="J37" s="122">
        <v>1092.93</v>
      </c>
      <c r="K37" s="85">
        <f t="shared" si="5"/>
        <v>-0.04</v>
      </c>
      <c r="L37" s="86">
        <f t="shared" si="0"/>
        <v>32.880000000000003</v>
      </c>
      <c r="M37" s="277">
        <f t="shared" si="1"/>
        <v>-1.3152000000000001</v>
      </c>
      <c r="N37" s="87">
        <f t="shared" si="2"/>
        <v>33.200000000000003</v>
      </c>
      <c r="O37" s="88">
        <f t="shared" si="3"/>
        <v>32.880000000000003</v>
      </c>
      <c r="P37" s="288">
        <f t="shared" si="4"/>
        <v>1091.6160000000002</v>
      </c>
    </row>
    <row r="38" spans="1:20" s="110" customFormat="1" ht="12.75" x14ac:dyDescent="0.2">
      <c r="C38" s="245"/>
      <c r="D38" s="246" t="s">
        <v>3</v>
      </c>
      <c r="E38" s="247" t="s">
        <v>73</v>
      </c>
      <c r="F38" s="247" t="s">
        <v>134</v>
      </c>
      <c r="G38" s="245"/>
      <c r="H38" s="245"/>
      <c r="I38" s="245"/>
      <c r="J38" s="248">
        <v>936.43999999999994</v>
      </c>
      <c r="K38" s="243">
        <v>0</v>
      </c>
      <c r="L38" s="244">
        <f t="shared" si="0"/>
        <v>0</v>
      </c>
      <c r="M38" s="279">
        <f>SUM(M39:M40)</f>
        <v>0</v>
      </c>
      <c r="N38" s="280">
        <f t="shared" si="2"/>
        <v>0</v>
      </c>
      <c r="O38" s="244">
        <f t="shared" si="3"/>
        <v>0</v>
      </c>
      <c r="P38" s="279">
        <f>SUM(P39:P40)</f>
        <v>936.43999999999994</v>
      </c>
    </row>
    <row r="39" spans="1:20" s="109" customFormat="1" ht="24" x14ac:dyDescent="0.2">
      <c r="A39" s="97"/>
      <c r="B39" s="116"/>
      <c r="C39" s="117" t="s">
        <v>126</v>
      </c>
      <c r="D39" s="117" t="s">
        <v>69</v>
      </c>
      <c r="E39" s="118" t="s">
        <v>136</v>
      </c>
      <c r="F39" s="119" t="s">
        <v>137</v>
      </c>
      <c r="G39" s="120" t="s">
        <v>138</v>
      </c>
      <c r="H39" s="121">
        <v>2</v>
      </c>
      <c r="I39" s="122">
        <v>122.32</v>
      </c>
      <c r="J39" s="122">
        <v>244.64</v>
      </c>
      <c r="K39" s="85">
        <v>0</v>
      </c>
      <c r="L39" s="86">
        <f t="shared" si="0"/>
        <v>122.32</v>
      </c>
      <c r="M39" s="277">
        <f t="shared" si="1"/>
        <v>0</v>
      </c>
      <c r="N39" s="87">
        <f t="shared" si="2"/>
        <v>2</v>
      </c>
      <c r="O39" s="88">
        <f t="shared" si="3"/>
        <v>122.32</v>
      </c>
      <c r="P39" s="288">
        <f t="shared" si="4"/>
        <v>244.64</v>
      </c>
    </row>
    <row r="40" spans="1:20" s="109" customFormat="1" ht="12" x14ac:dyDescent="0.2">
      <c r="A40" s="97"/>
      <c r="B40" s="116"/>
      <c r="C40" s="123" t="s">
        <v>131</v>
      </c>
      <c r="D40" s="123" t="s">
        <v>127</v>
      </c>
      <c r="E40" s="124" t="s">
        <v>146</v>
      </c>
      <c r="F40" s="125" t="s">
        <v>147</v>
      </c>
      <c r="G40" s="126" t="s">
        <v>138</v>
      </c>
      <c r="H40" s="127">
        <v>2</v>
      </c>
      <c r="I40" s="128">
        <v>345.9</v>
      </c>
      <c r="J40" s="128">
        <v>691.8</v>
      </c>
      <c r="K40" s="85">
        <v>0</v>
      </c>
      <c r="L40" s="86">
        <f t="shared" si="0"/>
        <v>345.9</v>
      </c>
      <c r="M40" s="277">
        <f t="shared" si="1"/>
        <v>0</v>
      </c>
      <c r="N40" s="87">
        <f t="shared" si="2"/>
        <v>2</v>
      </c>
      <c r="O40" s="88">
        <f t="shared" si="3"/>
        <v>345.9</v>
      </c>
      <c r="P40" s="288">
        <f t="shared" si="4"/>
        <v>691.8</v>
      </c>
    </row>
    <row r="41" spans="1:20" s="110" customFormat="1" ht="12.75" x14ac:dyDescent="0.2">
      <c r="C41" s="245"/>
      <c r="D41" s="246" t="s">
        <v>3</v>
      </c>
      <c r="E41" s="247" t="s">
        <v>81</v>
      </c>
      <c r="F41" s="247" t="s">
        <v>154</v>
      </c>
      <c r="G41" s="245"/>
      <c r="H41" s="245"/>
      <c r="I41" s="245"/>
      <c r="J41" s="248">
        <v>29004.239999999998</v>
      </c>
      <c r="K41" s="243"/>
      <c r="L41" s="244"/>
      <c r="M41" s="279">
        <f>SUM(M42:M48)</f>
        <v>0</v>
      </c>
      <c r="N41" s="280"/>
      <c r="O41" s="244"/>
      <c r="P41" s="279">
        <f>SUM(P42:P48)</f>
        <v>29004.235470000003</v>
      </c>
    </row>
    <row r="42" spans="1:20" s="109" customFormat="1" ht="24" x14ac:dyDescent="0.2">
      <c r="A42" s="97"/>
      <c r="B42" s="116"/>
      <c r="C42" s="117" t="s">
        <v>135</v>
      </c>
      <c r="D42" s="117" t="s">
        <v>69</v>
      </c>
      <c r="E42" s="118" t="s">
        <v>159</v>
      </c>
      <c r="F42" s="119" t="s">
        <v>160</v>
      </c>
      <c r="G42" s="120" t="s">
        <v>72</v>
      </c>
      <c r="H42" s="121">
        <v>25.949000000000002</v>
      </c>
      <c r="I42" s="122">
        <v>251.97</v>
      </c>
      <c r="J42" s="122">
        <v>6538.37</v>
      </c>
      <c r="K42" s="85">
        <v>0</v>
      </c>
      <c r="L42" s="86">
        <f t="shared" si="0"/>
        <v>251.97</v>
      </c>
      <c r="M42" s="277">
        <f t="shared" si="1"/>
        <v>0</v>
      </c>
      <c r="N42" s="87">
        <f t="shared" si="2"/>
        <v>25.949000000000002</v>
      </c>
      <c r="O42" s="88">
        <f t="shared" si="3"/>
        <v>251.97</v>
      </c>
      <c r="P42" s="288">
        <f t="shared" si="4"/>
        <v>6538.3695299999999</v>
      </c>
      <c r="Q42" s="148"/>
    </row>
    <row r="43" spans="1:20" s="109" customFormat="1" ht="24" x14ac:dyDescent="0.2">
      <c r="A43" s="97"/>
      <c r="B43" s="116"/>
      <c r="C43" s="117" t="s">
        <v>139</v>
      </c>
      <c r="D43" s="117" t="s">
        <v>69</v>
      </c>
      <c r="E43" s="118" t="s">
        <v>162</v>
      </c>
      <c r="F43" s="119" t="s">
        <v>163</v>
      </c>
      <c r="G43" s="120" t="s">
        <v>72</v>
      </c>
      <c r="H43" s="121">
        <v>10.625999999999999</v>
      </c>
      <c r="I43" s="122">
        <v>155.66999999999999</v>
      </c>
      <c r="J43" s="122">
        <v>1654.15</v>
      </c>
      <c r="K43" s="85">
        <v>0</v>
      </c>
      <c r="L43" s="86">
        <f t="shared" si="0"/>
        <v>155.66999999999999</v>
      </c>
      <c r="M43" s="277">
        <f t="shared" si="1"/>
        <v>0</v>
      </c>
      <c r="N43" s="87">
        <f t="shared" si="2"/>
        <v>10.625999999999999</v>
      </c>
      <c r="O43" s="88">
        <f t="shared" si="3"/>
        <v>155.66999999999999</v>
      </c>
      <c r="P43" s="288">
        <f t="shared" si="4"/>
        <v>1654.1494199999997</v>
      </c>
      <c r="Q43" s="148"/>
    </row>
    <row r="44" spans="1:20" s="109" customFormat="1" ht="48" x14ac:dyDescent="0.2">
      <c r="A44" s="97"/>
      <c r="B44" s="116"/>
      <c r="C44" s="117" t="s">
        <v>142</v>
      </c>
      <c r="D44" s="117" t="s">
        <v>69</v>
      </c>
      <c r="E44" s="118" t="s">
        <v>325</v>
      </c>
      <c r="F44" s="119" t="s">
        <v>326</v>
      </c>
      <c r="G44" s="120" t="s">
        <v>72</v>
      </c>
      <c r="H44" s="121">
        <v>10.625999999999999</v>
      </c>
      <c r="I44" s="122">
        <v>420.19</v>
      </c>
      <c r="J44" s="122">
        <v>4464.9399999999996</v>
      </c>
      <c r="K44" s="85">
        <v>0</v>
      </c>
      <c r="L44" s="86">
        <f t="shared" si="0"/>
        <v>420.19</v>
      </c>
      <c r="M44" s="277">
        <f t="shared" si="1"/>
        <v>0</v>
      </c>
      <c r="N44" s="87">
        <f t="shared" si="2"/>
        <v>10.625999999999999</v>
      </c>
      <c r="O44" s="88">
        <f t="shared" si="3"/>
        <v>420.19</v>
      </c>
      <c r="P44" s="288">
        <f t="shared" si="4"/>
        <v>4464.93894</v>
      </c>
      <c r="Q44" s="148"/>
      <c r="R44" s="150" t="s">
        <v>1028</v>
      </c>
      <c r="S44" s="148" t="s">
        <v>1036</v>
      </c>
      <c r="T44" s="109" t="s">
        <v>1048</v>
      </c>
    </row>
    <row r="45" spans="1:20" s="109" customFormat="1" ht="36" x14ac:dyDescent="0.2">
      <c r="A45" s="97"/>
      <c r="B45" s="116"/>
      <c r="C45" s="117" t="s">
        <v>145</v>
      </c>
      <c r="D45" s="117" t="s">
        <v>69</v>
      </c>
      <c r="E45" s="118" t="s">
        <v>327</v>
      </c>
      <c r="F45" s="119" t="s">
        <v>328</v>
      </c>
      <c r="G45" s="120" t="s">
        <v>72</v>
      </c>
      <c r="H45" s="121">
        <v>10.625999999999999</v>
      </c>
      <c r="I45" s="122">
        <v>315.11</v>
      </c>
      <c r="J45" s="122">
        <v>3348.36</v>
      </c>
      <c r="K45" s="85">
        <v>0</v>
      </c>
      <c r="L45" s="86">
        <f t="shared" si="0"/>
        <v>315.11</v>
      </c>
      <c r="M45" s="277">
        <f t="shared" si="1"/>
        <v>0</v>
      </c>
      <c r="N45" s="87">
        <f t="shared" si="2"/>
        <v>10.625999999999999</v>
      </c>
      <c r="O45" s="88">
        <f t="shared" si="3"/>
        <v>315.11</v>
      </c>
      <c r="P45" s="288">
        <f t="shared" si="4"/>
        <v>3348.3588599999998</v>
      </c>
      <c r="R45" s="182" t="s">
        <v>1013</v>
      </c>
    </row>
    <row r="46" spans="1:20" s="109" customFormat="1" ht="24" x14ac:dyDescent="0.2">
      <c r="A46" s="97"/>
      <c r="B46" s="116"/>
      <c r="C46" s="117" t="s">
        <v>148</v>
      </c>
      <c r="D46" s="117" t="s">
        <v>69</v>
      </c>
      <c r="E46" s="118" t="s">
        <v>168</v>
      </c>
      <c r="F46" s="119" t="s">
        <v>169</v>
      </c>
      <c r="G46" s="120" t="s">
        <v>72</v>
      </c>
      <c r="H46" s="121">
        <v>20.286000000000001</v>
      </c>
      <c r="I46" s="122">
        <v>18.04</v>
      </c>
      <c r="J46" s="122">
        <v>365.96</v>
      </c>
      <c r="K46" s="85">
        <v>0</v>
      </c>
      <c r="L46" s="86">
        <f t="shared" si="0"/>
        <v>18.04</v>
      </c>
      <c r="M46" s="277">
        <f t="shared" si="1"/>
        <v>0</v>
      </c>
      <c r="N46" s="87">
        <f t="shared" si="2"/>
        <v>20.286000000000001</v>
      </c>
      <c r="O46" s="88">
        <f t="shared" si="3"/>
        <v>18.04</v>
      </c>
      <c r="P46" s="288">
        <f t="shared" si="4"/>
        <v>365.95944000000003</v>
      </c>
      <c r="R46" s="150" t="s">
        <v>1028</v>
      </c>
      <c r="S46" s="148" t="s">
        <v>1036</v>
      </c>
      <c r="T46" s="109" t="s">
        <v>1049</v>
      </c>
    </row>
    <row r="47" spans="1:20" s="109" customFormat="1" ht="48" x14ac:dyDescent="0.2">
      <c r="A47" s="97"/>
      <c r="B47" s="116"/>
      <c r="C47" s="117" t="s">
        <v>151</v>
      </c>
      <c r="D47" s="117" t="s">
        <v>69</v>
      </c>
      <c r="E47" s="118" t="s">
        <v>329</v>
      </c>
      <c r="F47" s="119" t="s">
        <v>330</v>
      </c>
      <c r="G47" s="120" t="s">
        <v>72</v>
      </c>
      <c r="H47" s="121">
        <v>20.286000000000001</v>
      </c>
      <c r="I47" s="122">
        <v>396.71</v>
      </c>
      <c r="J47" s="122">
        <v>8047.66</v>
      </c>
      <c r="K47" s="85">
        <v>0</v>
      </c>
      <c r="L47" s="86">
        <f t="shared" si="0"/>
        <v>396.71</v>
      </c>
      <c r="M47" s="277">
        <f t="shared" si="1"/>
        <v>0</v>
      </c>
      <c r="N47" s="87">
        <f t="shared" si="2"/>
        <v>20.286000000000001</v>
      </c>
      <c r="O47" s="88">
        <f t="shared" si="3"/>
        <v>396.71</v>
      </c>
      <c r="P47" s="288">
        <f t="shared" si="4"/>
        <v>8047.65906</v>
      </c>
    </row>
    <row r="48" spans="1:20" s="109" customFormat="1" ht="36" x14ac:dyDescent="0.2">
      <c r="A48" s="97"/>
      <c r="B48" s="116"/>
      <c r="C48" s="117" t="s">
        <v>155</v>
      </c>
      <c r="D48" s="117" t="s">
        <v>69</v>
      </c>
      <c r="E48" s="118" t="s">
        <v>331</v>
      </c>
      <c r="F48" s="119" t="s">
        <v>332</v>
      </c>
      <c r="G48" s="120" t="s">
        <v>72</v>
      </c>
      <c r="H48" s="121">
        <v>10.625999999999999</v>
      </c>
      <c r="I48" s="122">
        <v>431.47</v>
      </c>
      <c r="J48" s="122">
        <v>4584.8</v>
      </c>
      <c r="K48" s="85">
        <v>0</v>
      </c>
      <c r="L48" s="86">
        <f t="shared" si="0"/>
        <v>431.47</v>
      </c>
      <c r="M48" s="277">
        <f t="shared" si="1"/>
        <v>0</v>
      </c>
      <c r="N48" s="87">
        <f t="shared" si="2"/>
        <v>10.625999999999999</v>
      </c>
      <c r="O48" s="88">
        <f t="shared" si="3"/>
        <v>431.47</v>
      </c>
      <c r="P48" s="288">
        <f t="shared" si="4"/>
        <v>4584.8002200000001</v>
      </c>
      <c r="R48" s="150" t="s">
        <v>1028</v>
      </c>
      <c r="S48" s="148" t="s">
        <v>1036</v>
      </c>
      <c r="T48" s="109" t="s">
        <v>1050</v>
      </c>
    </row>
    <row r="49" spans="1:19" s="110" customFormat="1" ht="12.75" x14ac:dyDescent="0.2">
      <c r="C49" s="245"/>
      <c r="D49" s="246" t="s">
        <v>3</v>
      </c>
      <c r="E49" s="247" t="s">
        <v>90</v>
      </c>
      <c r="F49" s="247" t="s">
        <v>182</v>
      </c>
      <c r="G49" s="245"/>
      <c r="H49" s="245"/>
      <c r="I49" s="245"/>
      <c r="J49" s="248">
        <v>108656.23</v>
      </c>
      <c r="K49" s="243"/>
      <c r="L49" s="244"/>
      <c r="M49" s="279">
        <f>SUM(M50:M64)</f>
        <v>-95.459600000000009</v>
      </c>
      <c r="N49" s="280"/>
      <c r="O49" s="244"/>
      <c r="P49" s="279">
        <f>SUM(P50:P64)</f>
        <v>108560.77613</v>
      </c>
    </row>
    <row r="50" spans="1:19" s="109" customFormat="1" ht="36" x14ac:dyDescent="0.2">
      <c r="A50" s="97"/>
      <c r="B50" s="116"/>
      <c r="C50" s="117" t="s">
        <v>158</v>
      </c>
      <c r="D50" s="117" t="s">
        <v>69</v>
      </c>
      <c r="E50" s="118" t="s">
        <v>184</v>
      </c>
      <c r="F50" s="119" t="s">
        <v>185</v>
      </c>
      <c r="G50" s="120" t="s">
        <v>61</v>
      </c>
      <c r="H50" s="121">
        <v>33.24</v>
      </c>
      <c r="I50" s="122">
        <v>552.39</v>
      </c>
      <c r="J50" s="122">
        <v>18361.439999999999</v>
      </c>
      <c r="K50" s="85">
        <f t="shared" ref="K50:K51" si="6">ROUND(33.2/33.24*H50-H50,2)</f>
        <v>-0.04</v>
      </c>
      <c r="L50" s="86">
        <f t="shared" si="0"/>
        <v>552.39</v>
      </c>
      <c r="M50" s="277">
        <f t="shared" si="1"/>
        <v>-22.095600000000001</v>
      </c>
      <c r="N50" s="87">
        <f t="shared" si="2"/>
        <v>33.200000000000003</v>
      </c>
      <c r="O50" s="88">
        <f t="shared" si="3"/>
        <v>552.39</v>
      </c>
      <c r="P50" s="288">
        <f t="shared" si="4"/>
        <v>18339.348000000002</v>
      </c>
      <c r="Q50" s="150"/>
    </row>
    <row r="51" spans="1:19" s="109" customFormat="1" ht="24" x14ac:dyDescent="0.2">
      <c r="A51" s="97"/>
      <c r="B51" s="116"/>
      <c r="C51" s="123" t="s">
        <v>161</v>
      </c>
      <c r="D51" s="123" t="s">
        <v>127</v>
      </c>
      <c r="E51" s="124" t="s">
        <v>187</v>
      </c>
      <c r="F51" s="125" t="s">
        <v>188</v>
      </c>
      <c r="G51" s="126" t="s">
        <v>61</v>
      </c>
      <c r="H51" s="127">
        <v>33.738999999999997</v>
      </c>
      <c r="I51" s="128">
        <v>1060.07</v>
      </c>
      <c r="J51" s="128">
        <v>35765.699999999997</v>
      </c>
      <c r="K51" s="85">
        <f t="shared" si="6"/>
        <v>-0.04</v>
      </c>
      <c r="L51" s="86">
        <f t="shared" si="0"/>
        <v>1060.07</v>
      </c>
      <c r="M51" s="277">
        <f t="shared" si="1"/>
        <v>-42.402799999999999</v>
      </c>
      <c r="N51" s="87">
        <f t="shared" si="2"/>
        <v>33.698999999999998</v>
      </c>
      <c r="O51" s="88">
        <f t="shared" si="3"/>
        <v>1060.07</v>
      </c>
      <c r="P51" s="288">
        <f t="shared" si="4"/>
        <v>35723.298929999997</v>
      </c>
      <c r="Q51" s="150"/>
    </row>
    <row r="52" spans="1:19" s="109" customFormat="1" ht="36" x14ac:dyDescent="0.2">
      <c r="A52" s="97"/>
      <c r="B52" s="116"/>
      <c r="C52" s="117" t="s">
        <v>164</v>
      </c>
      <c r="D52" s="117" t="s">
        <v>69</v>
      </c>
      <c r="E52" s="118" t="s">
        <v>202</v>
      </c>
      <c r="F52" s="119" t="s">
        <v>203</v>
      </c>
      <c r="G52" s="120" t="s">
        <v>138</v>
      </c>
      <c r="H52" s="121">
        <v>2</v>
      </c>
      <c r="I52" s="122">
        <v>260.41000000000003</v>
      </c>
      <c r="J52" s="122">
        <v>520.82000000000005</v>
      </c>
      <c r="K52" s="85">
        <v>0</v>
      </c>
      <c r="L52" s="86">
        <f t="shared" si="0"/>
        <v>260.41000000000003</v>
      </c>
      <c r="M52" s="277">
        <f t="shared" si="1"/>
        <v>0</v>
      </c>
      <c r="N52" s="87">
        <f t="shared" si="2"/>
        <v>2</v>
      </c>
      <c r="O52" s="88">
        <f t="shared" si="3"/>
        <v>260.41000000000003</v>
      </c>
      <c r="P52" s="288">
        <f t="shared" si="4"/>
        <v>520.82000000000005</v>
      </c>
    </row>
    <row r="53" spans="1:19" s="109" customFormat="1" ht="36" x14ac:dyDescent="0.2">
      <c r="A53" s="97"/>
      <c r="B53" s="116"/>
      <c r="C53" s="123" t="s">
        <v>167</v>
      </c>
      <c r="D53" s="123" t="s">
        <v>127</v>
      </c>
      <c r="E53" s="124" t="s">
        <v>205</v>
      </c>
      <c r="F53" s="125" t="s">
        <v>206</v>
      </c>
      <c r="G53" s="126" t="s">
        <v>138</v>
      </c>
      <c r="H53" s="127">
        <v>2</v>
      </c>
      <c r="I53" s="128">
        <v>1801.85</v>
      </c>
      <c r="J53" s="128">
        <v>3603.7</v>
      </c>
      <c r="K53" s="85">
        <v>0</v>
      </c>
      <c r="L53" s="86">
        <f t="shared" si="0"/>
        <v>1801.85</v>
      </c>
      <c r="M53" s="277">
        <f t="shared" si="1"/>
        <v>0</v>
      </c>
      <c r="N53" s="87">
        <f t="shared" si="2"/>
        <v>2</v>
      </c>
      <c r="O53" s="88">
        <f t="shared" si="3"/>
        <v>1801.85</v>
      </c>
      <c r="P53" s="288">
        <f t="shared" si="4"/>
        <v>3603.7</v>
      </c>
    </row>
    <row r="54" spans="1:19" s="109" customFormat="1" ht="24" x14ac:dyDescent="0.2">
      <c r="A54" s="97"/>
      <c r="B54" s="116"/>
      <c r="C54" s="117" t="s">
        <v>170</v>
      </c>
      <c r="D54" s="117" t="s">
        <v>69</v>
      </c>
      <c r="E54" s="118" t="s">
        <v>211</v>
      </c>
      <c r="F54" s="119" t="s">
        <v>212</v>
      </c>
      <c r="G54" s="120" t="s">
        <v>213</v>
      </c>
      <c r="H54" s="121">
        <v>1</v>
      </c>
      <c r="I54" s="122">
        <v>2564.6799999999998</v>
      </c>
      <c r="J54" s="122">
        <v>2564.6799999999998</v>
      </c>
      <c r="K54" s="85">
        <f t="shared" ref="K54" si="7">ROUND(33.2/33.24*H54-H54,2)</f>
        <v>0</v>
      </c>
      <c r="L54" s="86">
        <f t="shared" si="0"/>
        <v>2564.6799999999998</v>
      </c>
      <c r="M54" s="277">
        <f t="shared" si="1"/>
        <v>0</v>
      </c>
      <c r="N54" s="87">
        <f t="shared" si="2"/>
        <v>1</v>
      </c>
      <c r="O54" s="88">
        <f t="shared" si="3"/>
        <v>2564.6799999999998</v>
      </c>
      <c r="P54" s="288">
        <f t="shared" si="4"/>
        <v>2564.6799999999998</v>
      </c>
      <c r="R54" s="181" t="s">
        <v>1029</v>
      </c>
      <c r="S54" s="148" t="s">
        <v>1039</v>
      </c>
    </row>
    <row r="55" spans="1:19" s="109" customFormat="1" ht="24" x14ac:dyDescent="0.2">
      <c r="A55" s="97"/>
      <c r="B55" s="116"/>
      <c r="C55" s="117" t="s">
        <v>173</v>
      </c>
      <c r="D55" s="117" t="s">
        <v>69</v>
      </c>
      <c r="E55" s="118" t="s">
        <v>215</v>
      </c>
      <c r="F55" s="119" t="s">
        <v>216</v>
      </c>
      <c r="G55" s="120" t="s">
        <v>138</v>
      </c>
      <c r="H55" s="121">
        <v>1</v>
      </c>
      <c r="I55" s="122">
        <v>2016.23</v>
      </c>
      <c r="J55" s="122">
        <v>2016.23</v>
      </c>
      <c r="K55" s="85">
        <v>0</v>
      </c>
      <c r="L55" s="86">
        <f t="shared" si="0"/>
        <v>2016.23</v>
      </c>
      <c r="M55" s="277">
        <f t="shared" si="1"/>
        <v>0</v>
      </c>
      <c r="N55" s="87">
        <f t="shared" si="2"/>
        <v>1</v>
      </c>
      <c r="O55" s="88">
        <f t="shared" si="3"/>
        <v>2016.23</v>
      </c>
      <c r="P55" s="288">
        <f t="shared" si="4"/>
        <v>2016.23</v>
      </c>
    </row>
    <row r="56" spans="1:19" s="109" customFormat="1" ht="24" x14ac:dyDescent="0.2">
      <c r="A56" s="97"/>
      <c r="B56" s="116"/>
      <c r="C56" s="123" t="s">
        <v>176</v>
      </c>
      <c r="D56" s="123" t="s">
        <v>127</v>
      </c>
      <c r="E56" s="124" t="s">
        <v>221</v>
      </c>
      <c r="F56" s="125" t="s">
        <v>222</v>
      </c>
      <c r="G56" s="126" t="s">
        <v>138</v>
      </c>
      <c r="H56" s="127">
        <v>1</v>
      </c>
      <c r="I56" s="128">
        <v>14898.16</v>
      </c>
      <c r="J56" s="128">
        <v>14898.16</v>
      </c>
      <c r="K56" s="85">
        <v>0</v>
      </c>
      <c r="L56" s="86">
        <f t="shared" si="0"/>
        <v>14898.16</v>
      </c>
      <c r="M56" s="277">
        <f t="shared" si="1"/>
        <v>0</v>
      </c>
      <c r="N56" s="87">
        <f t="shared" si="2"/>
        <v>1</v>
      </c>
      <c r="O56" s="88">
        <f t="shared" si="3"/>
        <v>14898.16</v>
      </c>
      <c r="P56" s="288">
        <f t="shared" si="4"/>
        <v>14898.16</v>
      </c>
    </row>
    <row r="57" spans="1:19" s="109" customFormat="1" ht="24" x14ac:dyDescent="0.2">
      <c r="A57" s="97"/>
      <c r="B57" s="116"/>
      <c r="C57" s="123" t="s">
        <v>179</v>
      </c>
      <c r="D57" s="123" t="s">
        <v>127</v>
      </c>
      <c r="E57" s="124" t="s">
        <v>224</v>
      </c>
      <c r="F57" s="125" t="s">
        <v>225</v>
      </c>
      <c r="G57" s="126" t="s">
        <v>138</v>
      </c>
      <c r="H57" s="127">
        <v>1</v>
      </c>
      <c r="I57" s="128">
        <v>1530.92</v>
      </c>
      <c r="J57" s="128">
        <v>1530.92</v>
      </c>
      <c r="K57" s="85">
        <v>0</v>
      </c>
      <c r="L57" s="86">
        <f t="shared" si="0"/>
        <v>1530.92</v>
      </c>
      <c r="M57" s="277">
        <f t="shared" si="1"/>
        <v>0</v>
      </c>
      <c r="N57" s="87">
        <f t="shared" si="2"/>
        <v>1</v>
      </c>
      <c r="O57" s="88">
        <f t="shared" si="3"/>
        <v>1530.92</v>
      </c>
      <c r="P57" s="288">
        <f t="shared" si="4"/>
        <v>1530.92</v>
      </c>
    </row>
    <row r="58" spans="1:19" s="109" customFormat="1" ht="24" x14ac:dyDescent="0.2">
      <c r="A58" s="97"/>
      <c r="B58" s="116"/>
      <c r="C58" s="123" t="s">
        <v>183</v>
      </c>
      <c r="D58" s="123" t="s">
        <v>127</v>
      </c>
      <c r="E58" s="124" t="s">
        <v>230</v>
      </c>
      <c r="F58" s="125" t="s">
        <v>231</v>
      </c>
      <c r="G58" s="126" t="s">
        <v>138</v>
      </c>
      <c r="H58" s="127">
        <v>1</v>
      </c>
      <c r="I58" s="128">
        <v>1202.1099999999999</v>
      </c>
      <c r="J58" s="128">
        <v>1202.1099999999999</v>
      </c>
      <c r="K58" s="85">
        <v>0</v>
      </c>
      <c r="L58" s="86">
        <f t="shared" si="0"/>
        <v>1202.1099999999999</v>
      </c>
      <c r="M58" s="277">
        <f t="shared" si="1"/>
        <v>0</v>
      </c>
      <c r="N58" s="87">
        <f t="shared" si="2"/>
        <v>1</v>
      </c>
      <c r="O58" s="88">
        <f t="shared" si="3"/>
        <v>1202.1099999999999</v>
      </c>
      <c r="P58" s="288">
        <f t="shared" si="4"/>
        <v>1202.1099999999999</v>
      </c>
    </row>
    <row r="59" spans="1:19" s="109" customFormat="1" ht="24" x14ac:dyDescent="0.2">
      <c r="A59" s="97"/>
      <c r="B59" s="116"/>
      <c r="C59" s="123" t="s">
        <v>186</v>
      </c>
      <c r="D59" s="123" t="s">
        <v>127</v>
      </c>
      <c r="E59" s="124" t="s">
        <v>236</v>
      </c>
      <c r="F59" s="125" t="s">
        <v>237</v>
      </c>
      <c r="G59" s="126" t="s">
        <v>138</v>
      </c>
      <c r="H59" s="127">
        <v>2</v>
      </c>
      <c r="I59" s="128">
        <v>211.75</v>
      </c>
      <c r="J59" s="128">
        <v>423.5</v>
      </c>
      <c r="K59" s="85">
        <v>0</v>
      </c>
      <c r="L59" s="86">
        <f t="shared" si="0"/>
        <v>211.75</v>
      </c>
      <c r="M59" s="277">
        <f t="shared" si="1"/>
        <v>0</v>
      </c>
      <c r="N59" s="87">
        <f t="shared" si="2"/>
        <v>2</v>
      </c>
      <c r="O59" s="88">
        <f t="shared" si="3"/>
        <v>211.75</v>
      </c>
      <c r="P59" s="288">
        <f t="shared" si="4"/>
        <v>423.5</v>
      </c>
    </row>
    <row r="60" spans="1:19" s="109" customFormat="1" ht="36" x14ac:dyDescent="0.2">
      <c r="A60" s="97"/>
      <c r="B60" s="116"/>
      <c r="C60" s="117" t="s">
        <v>189</v>
      </c>
      <c r="D60" s="117" t="s">
        <v>69</v>
      </c>
      <c r="E60" s="118" t="s">
        <v>239</v>
      </c>
      <c r="F60" s="119" t="s">
        <v>240</v>
      </c>
      <c r="G60" s="120" t="s">
        <v>138</v>
      </c>
      <c r="H60" s="121">
        <v>1</v>
      </c>
      <c r="I60" s="122">
        <v>5935.59</v>
      </c>
      <c r="J60" s="122">
        <v>5935.59</v>
      </c>
      <c r="K60" s="85">
        <v>0</v>
      </c>
      <c r="L60" s="86">
        <f t="shared" si="0"/>
        <v>5935.59</v>
      </c>
      <c r="M60" s="277">
        <f t="shared" si="1"/>
        <v>0</v>
      </c>
      <c r="N60" s="87">
        <f t="shared" si="2"/>
        <v>1</v>
      </c>
      <c r="O60" s="88">
        <f t="shared" si="3"/>
        <v>5935.59</v>
      </c>
      <c r="P60" s="288">
        <f t="shared" si="4"/>
        <v>5935.59</v>
      </c>
    </row>
    <row r="61" spans="1:19" s="109" customFormat="1" ht="24" x14ac:dyDescent="0.2">
      <c r="A61" s="97"/>
      <c r="B61" s="116"/>
      <c r="C61" s="117" t="s">
        <v>192</v>
      </c>
      <c r="D61" s="117" t="s">
        <v>69</v>
      </c>
      <c r="E61" s="118" t="s">
        <v>242</v>
      </c>
      <c r="F61" s="119" t="s">
        <v>243</v>
      </c>
      <c r="G61" s="120" t="s">
        <v>138</v>
      </c>
      <c r="H61" s="121">
        <v>1</v>
      </c>
      <c r="I61" s="122">
        <v>485.32</v>
      </c>
      <c r="J61" s="122">
        <v>485.32</v>
      </c>
      <c r="K61" s="85">
        <v>0</v>
      </c>
      <c r="L61" s="86">
        <f t="shared" si="0"/>
        <v>485.32</v>
      </c>
      <c r="M61" s="277">
        <f t="shared" si="1"/>
        <v>0</v>
      </c>
      <c r="N61" s="87">
        <f t="shared" si="2"/>
        <v>1</v>
      </c>
      <c r="O61" s="88">
        <f t="shared" si="3"/>
        <v>485.32</v>
      </c>
      <c r="P61" s="288">
        <f t="shared" si="4"/>
        <v>485.32</v>
      </c>
    </row>
    <row r="62" spans="1:19" s="109" customFormat="1" ht="12" x14ac:dyDescent="0.2">
      <c r="A62" s="97"/>
      <c r="B62" s="116"/>
      <c r="C62" s="123" t="s">
        <v>195</v>
      </c>
      <c r="D62" s="123" t="s">
        <v>127</v>
      </c>
      <c r="E62" s="124" t="s">
        <v>311</v>
      </c>
      <c r="F62" s="125" t="s">
        <v>312</v>
      </c>
      <c r="G62" s="126" t="s">
        <v>138</v>
      </c>
      <c r="H62" s="127">
        <v>1</v>
      </c>
      <c r="I62" s="128">
        <v>6510.34</v>
      </c>
      <c r="J62" s="128">
        <v>6510.34</v>
      </c>
      <c r="K62" s="85">
        <v>0</v>
      </c>
      <c r="L62" s="86">
        <f t="shared" si="0"/>
        <v>6510.34</v>
      </c>
      <c r="M62" s="277">
        <f t="shared" si="1"/>
        <v>0</v>
      </c>
      <c r="N62" s="87">
        <f t="shared" si="2"/>
        <v>1</v>
      </c>
      <c r="O62" s="88">
        <f t="shared" si="3"/>
        <v>6510.34</v>
      </c>
      <c r="P62" s="288">
        <f t="shared" si="4"/>
        <v>6510.34</v>
      </c>
    </row>
    <row r="63" spans="1:19" s="109" customFormat="1" ht="24" x14ac:dyDescent="0.2">
      <c r="A63" s="97"/>
      <c r="B63" s="116"/>
      <c r="C63" s="117" t="s">
        <v>198</v>
      </c>
      <c r="D63" s="117" t="s">
        <v>69</v>
      </c>
      <c r="E63" s="118" t="s">
        <v>254</v>
      </c>
      <c r="F63" s="119" t="s">
        <v>255</v>
      </c>
      <c r="G63" s="120" t="s">
        <v>62</v>
      </c>
      <c r="H63" s="121">
        <v>4.75</v>
      </c>
      <c r="I63" s="122">
        <v>3059.28</v>
      </c>
      <c r="J63" s="122">
        <v>14531.58</v>
      </c>
      <c r="K63" s="85">
        <f t="shared" ref="K63:K64" si="8">ROUND(33.2/33.24*H63-H63,2)</f>
        <v>-0.01</v>
      </c>
      <c r="L63" s="86">
        <f t="shared" si="0"/>
        <v>3059.28</v>
      </c>
      <c r="M63" s="277">
        <f t="shared" si="1"/>
        <v>-30.592800000000004</v>
      </c>
      <c r="N63" s="87">
        <f t="shared" si="2"/>
        <v>4.74</v>
      </c>
      <c r="O63" s="88">
        <f t="shared" si="3"/>
        <v>3059.28</v>
      </c>
      <c r="P63" s="288">
        <f t="shared" si="4"/>
        <v>14500.987200000001</v>
      </c>
    </row>
    <row r="64" spans="1:19" s="109" customFormat="1" ht="12" x14ac:dyDescent="0.2">
      <c r="A64" s="97"/>
      <c r="B64" s="116"/>
      <c r="C64" s="117" t="s">
        <v>201</v>
      </c>
      <c r="D64" s="117" t="s">
        <v>69</v>
      </c>
      <c r="E64" s="118" t="s">
        <v>266</v>
      </c>
      <c r="F64" s="119" t="s">
        <v>267</v>
      </c>
      <c r="G64" s="120" t="s">
        <v>61</v>
      </c>
      <c r="H64" s="121">
        <v>33.24</v>
      </c>
      <c r="I64" s="122">
        <v>9.2100000000000009</v>
      </c>
      <c r="J64" s="122">
        <v>306.14</v>
      </c>
      <c r="K64" s="85">
        <f t="shared" si="8"/>
        <v>-0.04</v>
      </c>
      <c r="L64" s="86">
        <f t="shared" si="0"/>
        <v>9.2100000000000009</v>
      </c>
      <c r="M64" s="277">
        <f t="shared" si="1"/>
        <v>-0.36840000000000006</v>
      </c>
      <c r="N64" s="87">
        <f t="shared" si="2"/>
        <v>33.200000000000003</v>
      </c>
      <c r="O64" s="88">
        <f t="shared" si="3"/>
        <v>9.2100000000000009</v>
      </c>
      <c r="P64" s="288">
        <f t="shared" si="4"/>
        <v>305.77200000000005</v>
      </c>
    </row>
    <row r="65" spans="1:30" s="110" customFormat="1" ht="12.75" x14ac:dyDescent="0.2">
      <c r="C65" s="245"/>
      <c r="D65" s="246" t="s">
        <v>3</v>
      </c>
      <c r="E65" s="247" t="s">
        <v>93</v>
      </c>
      <c r="F65" s="247" t="s">
        <v>268</v>
      </c>
      <c r="G65" s="245"/>
      <c r="H65" s="245"/>
      <c r="I65" s="245"/>
      <c r="J65" s="248">
        <v>6223.62</v>
      </c>
      <c r="K65" s="243"/>
      <c r="L65" s="244"/>
      <c r="M65" s="279">
        <f>SUM(M66:M71)</f>
        <v>0</v>
      </c>
      <c r="N65" s="280"/>
      <c r="O65" s="244"/>
      <c r="P65" s="279">
        <f>SUM(P66:P71)</f>
        <v>6223.6244000000006</v>
      </c>
    </row>
    <row r="66" spans="1:30" s="109" customFormat="1" ht="48" x14ac:dyDescent="0.2">
      <c r="A66" s="97"/>
      <c r="B66" s="116"/>
      <c r="C66" s="117" t="s">
        <v>204</v>
      </c>
      <c r="D66" s="117" t="s">
        <v>69</v>
      </c>
      <c r="E66" s="118" t="s">
        <v>270</v>
      </c>
      <c r="F66" s="119" t="s">
        <v>271</v>
      </c>
      <c r="G66" s="120" t="s">
        <v>61</v>
      </c>
      <c r="H66" s="121">
        <v>11</v>
      </c>
      <c r="I66" s="122">
        <v>87.65</v>
      </c>
      <c r="J66" s="122">
        <v>964.15</v>
      </c>
      <c r="K66" s="85">
        <v>0</v>
      </c>
      <c r="L66" s="86">
        <f t="shared" si="0"/>
        <v>87.65</v>
      </c>
      <c r="M66" s="277">
        <f t="shared" si="1"/>
        <v>0</v>
      </c>
      <c r="N66" s="87">
        <f t="shared" si="2"/>
        <v>11</v>
      </c>
      <c r="O66" s="88">
        <f t="shared" si="3"/>
        <v>87.65</v>
      </c>
      <c r="P66" s="288">
        <f t="shared" si="4"/>
        <v>964.15000000000009</v>
      </c>
    </row>
    <row r="67" spans="1:30" s="109" customFormat="1" ht="36" x14ac:dyDescent="0.2">
      <c r="A67" s="97"/>
      <c r="B67" s="116"/>
      <c r="C67" s="117" t="s">
        <v>207</v>
      </c>
      <c r="D67" s="117" t="s">
        <v>69</v>
      </c>
      <c r="E67" s="118" t="s">
        <v>273</v>
      </c>
      <c r="F67" s="119" t="s">
        <v>274</v>
      </c>
      <c r="G67" s="120" t="s">
        <v>61</v>
      </c>
      <c r="H67" s="121">
        <v>11</v>
      </c>
      <c r="I67" s="122">
        <v>32.22</v>
      </c>
      <c r="J67" s="122">
        <v>354.42</v>
      </c>
      <c r="K67" s="85">
        <v>0</v>
      </c>
      <c r="L67" s="86">
        <f t="shared" si="0"/>
        <v>32.22</v>
      </c>
      <c r="M67" s="277">
        <f t="shared" si="1"/>
        <v>0</v>
      </c>
      <c r="N67" s="87">
        <f t="shared" si="2"/>
        <v>11</v>
      </c>
      <c r="O67" s="88">
        <f t="shared" si="3"/>
        <v>32.22</v>
      </c>
      <c r="P67" s="288">
        <f t="shared" si="4"/>
        <v>354.41999999999996</v>
      </c>
    </row>
    <row r="68" spans="1:30" s="109" customFormat="1" ht="36" x14ac:dyDescent="0.2">
      <c r="A68" s="97"/>
      <c r="B68" s="116"/>
      <c r="C68" s="117" t="s">
        <v>210</v>
      </c>
      <c r="D68" s="117" t="s">
        <v>69</v>
      </c>
      <c r="E68" s="118" t="s">
        <v>350</v>
      </c>
      <c r="F68" s="119" t="s">
        <v>351</v>
      </c>
      <c r="G68" s="120" t="s">
        <v>61</v>
      </c>
      <c r="H68" s="121">
        <v>19.32</v>
      </c>
      <c r="I68" s="122">
        <v>32.22</v>
      </c>
      <c r="J68" s="122">
        <v>622.49</v>
      </c>
      <c r="K68" s="85">
        <v>0</v>
      </c>
      <c r="L68" s="86">
        <f t="shared" si="0"/>
        <v>32.22</v>
      </c>
      <c r="M68" s="277">
        <f t="shared" si="1"/>
        <v>0</v>
      </c>
      <c r="N68" s="87">
        <f t="shared" si="2"/>
        <v>19.32</v>
      </c>
      <c r="O68" s="88">
        <f t="shared" si="3"/>
        <v>32.22</v>
      </c>
      <c r="P68" s="288">
        <f t="shared" si="4"/>
        <v>622.49040000000002</v>
      </c>
    </row>
    <row r="69" spans="1:30" s="109" customFormat="1" ht="24" x14ac:dyDescent="0.2">
      <c r="A69" s="97"/>
      <c r="B69" s="116"/>
      <c r="C69" s="117" t="s">
        <v>214</v>
      </c>
      <c r="D69" s="117" t="s">
        <v>69</v>
      </c>
      <c r="E69" s="118" t="s">
        <v>276</v>
      </c>
      <c r="F69" s="119" t="s">
        <v>277</v>
      </c>
      <c r="G69" s="120" t="s">
        <v>61</v>
      </c>
      <c r="H69" s="121">
        <v>11</v>
      </c>
      <c r="I69" s="122">
        <v>72.34</v>
      </c>
      <c r="J69" s="122">
        <v>795.74</v>
      </c>
      <c r="K69" s="85">
        <v>0</v>
      </c>
      <c r="L69" s="86">
        <f t="shared" si="0"/>
        <v>72.34</v>
      </c>
      <c r="M69" s="277">
        <f t="shared" si="1"/>
        <v>0</v>
      </c>
      <c r="N69" s="87">
        <f t="shared" si="2"/>
        <v>11</v>
      </c>
      <c r="O69" s="88">
        <f t="shared" si="3"/>
        <v>72.34</v>
      </c>
      <c r="P69" s="288">
        <f t="shared" si="4"/>
        <v>795.74</v>
      </c>
    </row>
    <row r="70" spans="1:30" s="109" customFormat="1" ht="24" x14ac:dyDescent="0.2">
      <c r="A70" s="97"/>
      <c r="B70" s="116"/>
      <c r="C70" s="117" t="s">
        <v>217</v>
      </c>
      <c r="D70" s="117" t="s">
        <v>69</v>
      </c>
      <c r="E70" s="118" t="s">
        <v>354</v>
      </c>
      <c r="F70" s="119" t="s">
        <v>355</v>
      </c>
      <c r="G70" s="120" t="s">
        <v>61</v>
      </c>
      <c r="H70" s="121">
        <v>19.32</v>
      </c>
      <c r="I70" s="122">
        <v>94.7</v>
      </c>
      <c r="J70" s="122">
        <v>1829.6</v>
      </c>
      <c r="K70" s="85">
        <v>0</v>
      </c>
      <c r="L70" s="86">
        <f t="shared" si="0"/>
        <v>94.7</v>
      </c>
      <c r="M70" s="277">
        <f t="shared" si="1"/>
        <v>0</v>
      </c>
      <c r="N70" s="87">
        <f t="shared" si="2"/>
        <v>19.32</v>
      </c>
      <c r="O70" s="88">
        <f t="shared" si="3"/>
        <v>94.7</v>
      </c>
      <c r="P70" s="288">
        <f t="shared" si="4"/>
        <v>1829.604</v>
      </c>
    </row>
    <row r="71" spans="1:30" s="109" customFormat="1" ht="48" x14ac:dyDescent="0.2">
      <c r="A71" s="97"/>
      <c r="B71" s="116"/>
      <c r="C71" s="117" t="s">
        <v>220</v>
      </c>
      <c r="D71" s="117" t="s">
        <v>69</v>
      </c>
      <c r="E71" s="118" t="s">
        <v>279</v>
      </c>
      <c r="F71" s="119" t="s">
        <v>280</v>
      </c>
      <c r="G71" s="120" t="s">
        <v>138</v>
      </c>
      <c r="H71" s="121">
        <v>1</v>
      </c>
      <c r="I71" s="122">
        <v>1657.22</v>
      </c>
      <c r="J71" s="122">
        <v>1657.22</v>
      </c>
      <c r="K71" s="85">
        <v>0</v>
      </c>
      <c r="L71" s="86">
        <f t="shared" si="0"/>
        <v>1657.22</v>
      </c>
      <c r="M71" s="277">
        <f t="shared" si="1"/>
        <v>0</v>
      </c>
      <c r="N71" s="87">
        <f t="shared" si="2"/>
        <v>1</v>
      </c>
      <c r="O71" s="88">
        <f t="shared" si="3"/>
        <v>1657.22</v>
      </c>
      <c r="P71" s="288">
        <f t="shared" si="4"/>
        <v>1657.22</v>
      </c>
    </row>
    <row r="72" spans="1:30" s="110" customFormat="1" ht="12.75" x14ac:dyDescent="0.2">
      <c r="C72" s="245"/>
      <c r="D72" s="246" t="s">
        <v>3</v>
      </c>
      <c r="E72" s="247" t="s">
        <v>281</v>
      </c>
      <c r="F72" s="247" t="s">
        <v>282</v>
      </c>
      <c r="G72" s="245"/>
      <c r="H72" s="245"/>
      <c r="I72" s="245"/>
      <c r="J72" s="248">
        <v>6009.7099999999991</v>
      </c>
      <c r="K72" s="243"/>
      <c r="L72" s="244"/>
      <c r="M72" s="279">
        <f>SUM(M73:M77)</f>
        <v>-7.0143000000000004</v>
      </c>
      <c r="N72" s="280"/>
      <c r="O72" s="244"/>
      <c r="P72" s="279">
        <f>SUM(P73:P77)</f>
        <v>6002.6972500000002</v>
      </c>
    </row>
    <row r="73" spans="1:30" s="109" customFormat="1" ht="36" x14ac:dyDescent="0.2">
      <c r="A73" s="97"/>
      <c r="B73" s="116"/>
      <c r="C73" s="117" t="s">
        <v>223</v>
      </c>
      <c r="D73" s="117" t="s">
        <v>69</v>
      </c>
      <c r="E73" s="118" t="s">
        <v>284</v>
      </c>
      <c r="F73" s="119" t="s">
        <v>285</v>
      </c>
      <c r="G73" s="120" t="s">
        <v>120</v>
      </c>
      <c r="H73" s="121">
        <v>12.688000000000001</v>
      </c>
      <c r="I73" s="122">
        <v>155.93</v>
      </c>
      <c r="J73" s="122">
        <v>1978.44</v>
      </c>
      <c r="K73" s="85">
        <f t="shared" ref="K73" si="9">ROUND(33.2/33.24*H73-H73,2)</f>
        <v>-0.02</v>
      </c>
      <c r="L73" s="86">
        <f t="shared" si="0"/>
        <v>155.93</v>
      </c>
      <c r="M73" s="277">
        <f t="shared" si="1"/>
        <v>-3.1186000000000003</v>
      </c>
      <c r="N73" s="87">
        <f t="shared" si="2"/>
        <v>12.668000000000001</v>
      </c>
      <c r="O73" s="88">
        <f t="shared" si="3"/>
        <v>155.93</v>
      </c>
      <c r="P73" s="288">
        <f t="shared" si="4"/>
        <v>1975.3212400000002</v>
      </c>
      <c r="AA73" s="148" t="s">
        <v>1136</v>
      </c>
      <c r="AB73" s="109" t="s">
        <v>1235</v>
      </c>
      <c r="AD73" s="148" t="s">
        <v>1251</v>
      </c>
    </row>
    <row r="74" spans="1:30" s="109" customFormat="1" ht="48" x14ac:dyDescent="0.2">
      <c r="A74" s="97"/>
      <c r="B74" s="116"/>
      <c r="C74" s="117" t="s">
        <v>226</v>
      </c>
      <c r="D74" s="117" t="s">
        <v>69</v>
      </c>
      <c r="E74" s="118" t="s">
        <v>287</v>
      </c>
      <c r="F74" s="119" t="s">
        <v>288</v>
      </c>
      <c r="G74" s="120" t="s">
        <v>120</v>
      </c>
      <c r="H74" s="121">
        <v>4.9349999999999996</v>
      </c>
      <c r="I74" s="122">
        <v>257.77999999999997</v>
      </c>
      <c r="J74" s="122">
        <v>1272.1400000000001</v>
      </c>
      <c r="K74" s="85">
        <v>0</v>
      </c>
      <c r="L74" s="86">
        <f t="shared" si="0"/>
        <v>257.77999999999997</v>
      </c>
      <c r="M74" s="277">
        <f t="shared" si="1"/>
        <v>0</v>
      </c>
      <c r="N74" s="87">
        <f t="shared" si="2"/>
        <v>4.9349999999999996</v>
      </c>
      <c r="O74" s="88">
        <f t="shared" si="3"/>
        <v>257.77999999999997</v>
      </c>
      <c r="P74" s="288">
        <f t="shared" si="4"/>
        <v>1272.1442999999997</v>
      </c>
    </row>
    <row r="75" spans="1:30" s="109" customFormat="1" ht="36" x14ac:dyDescent="0.2">
      <c r="A75" s="97"/>
      <c r="B75" s="116"/>
      <c r="C75" s="117" t="s">
        <v>229</v>
      </c>
      <c r="D75" s="117" t="s">
        <v>69</v>
      </c>
      <c r="E75" s="118" t="s">
        <v>290</v>
      </c>
      <c r="F75" s="119" t="s">
        <v>119</v>
      </c>
      <c r="G75" s="120" t="s">
        <v>120</v>
      </c>
      <c r="H75" s="121">
        <v>7.7530000000000001</v>
      </c>
      <c r="I75" s="122">
        <v>154.66999999999999</v>
      </c>
      <c r="J75" s="122">
        <v>1199.1600000000001</v>
      </c>
      <c r="K75" s="85">
        <f t="shared" ref="K75:K77" si="10">ROUND(33.2/33.24*H75-H75,2)</f>
        <v>-0.01</v>
      </c>
      <c r="L75" s="86">
        <f t="shared" si="0"/>
        <v>154.66999999999999</v>
      </c>
      <c r="M75" s="277">
        <f t="shared" si="1"/>
        <v>-1.5467</v>
      </c>
      <c r="N75" s="87">
        <f t="shared" si="2"/>
        <v>7.7430000000000003</v>
      </c>
      <c r="O75" s="88">
        <f t="shared" si="3"/>
        <v>154.66999999999999</v>
      </c>
      <c r="P75" s="288">
        <f t="shared" si="4"/>
        <v>1197.6098099999999</v>
      </c>
      <c r="X75" s="148" t="s">
        <v>1137</v>
      </c>
      <c r="AA75" s="148" t="s">
        <v>1136</v>
      </c>
      <c r="AB75" s="109" t="s">
        <v>1236</v>
      </c>
      <c r="AD75" s="148" t="s">
        <v>1251</v>
      </c>
    </row>
    <row r="76" spans="1:30" s="109" customFormat="1" ht="36" x14ac:dyDescent="0.2">
      <c r="A76" s="97"/>
      <c r="B76" s="116"/>
      <c r="C76" s="117" t="s">
        <v>232</v>
      </c>
      <c r="D76" s="117" t="s">
        <v>69</v>
      </c>
      <c r="E76" s="118" t="s">
        <v>361</v>
      </c>
      <c r="F76" s="119" t="s">
        <v>362</v>
      </c>
      <c r="G76" s="120" t="s">
        <v>120</v>
      </c>
      <c r="H76" s="121">
        <v>6.641</v>
      </c>
      <c r="I76" s="122">
        <v>80.23</v>
      </c>
      <c r="J76" s="122">
        <v>532.80999999999995</v>
      </c>
      <c r="K76" s="85">
        <f t="shared" si="10"/>
        <v>-0.01</v>
      </c>
      <c r="L76" s="86">
        <f t="shared" si="0"/>
        <v>80.23</v>
      </c>
      <c r="M76" s="277">
        <f t="shared" si="1"/>
        <v>-0.80230000000000001</v>
      </c>
      <c r="N76" s="87">
        <f t="shared" si="2"/>
        <v>6.6310000000000002</v>
      </c>
      <c r="O76" s="88">
        <f t="shared" si="3"/>
        <v>80.23</v>
      </c>
      <c r="P76" s="288">
        <f t="shared" si="4"/>
        <v>532.00513000000001</v>
      </c>
    </row>
    <row r="77" spans="1:30" s="109" customFormat="1" ht="36" x14ac:dyDescent="0.2">
      <c r="A77" s="97"/>
      <c r="B77" s="116"/>
      <c r="C77" s="117" t="s">
        <v>235</v>
      </c>
      <c r="D77" s="117" t="s">
        <v>69</v>
      </c>
      <c r="E77" s="118" t="s">
        <v>364</v>
      </c>
      <c r="F77" s="119" t="s">
        <v>365</v>
      </c>
      <c r="G77" s="120" t="s">
        <v>120</v>
      </c>
      <c r="H77" s="121">
        <v>6.641</v>
      </c>
      <c r="I77" s="122">
        <v>154.66999999999999</v>
      </c>
      <c r="J77" s="122">
        <v>1027.1600000000001</v>
      </c>
      <c r="K77" s="85">
        <f t="shared" si="10"/>
        <v>-0.01</v>
      </c>
      <c r="L77" s="86">
        <f t="shared" si="0"/>
        <v>154.66999999999999</v>
      </c>
      <c r="M77" s="277">
        <f t="shared" si="1"/>
        <v>-1.5467</v>
      </c>
      <c r="N77" s="87">
        <f t="shared" si="2"/>
        <v>6.6310000000000002</v>
      </c>
      <c r="O77" s="88">
        <f t="shared" si="3"/>
        <v>154.66999999999999</v>
      </c>
      <c r="P77" s="288">
        <f t="shared" si="4"/>
        <v>1025.6167699999999</v>
      </c>
    </row>
    <row r="78" spans="1:30" s="110" customFormat="1" ht="12.75" x14ac:dyDescent="0.2">
      <c r="C78" s="245"/>
      <c r="D78" s="246" t="s">
        <v>3</v>
      </c>
      <c r="E78" s="247" t="s">
        <v>291</v>
      </c>
      <c r="F78" s="247" t="s">
        <v>292</v>
      </c>
      <c r="G78" s="245"/>
      <c r="H78" s="245"/>
      <c r="I78" s="245"/>
      <c r="J78" s="248">
        <v>1092.94</v>
      </c>
      <c r="K78" s="243"/>
      <c r="L78" s="244"/>
      <c r="M78" s="279">
        <f>M79</f>
        <v>-1.1442000000000001</v>
      </c>
      <c r="N78" s="280"/>
      <c r="O78" s="244"/>
      <c r="P78" s="289">
        <f>P79</f>
        <v>1091.79564</v>
      </c>
    </row>
    <row r="79" spans="1:30" s="109" customFormat="1" ht="36" x14ac:dyDescent="0.2">
      <c r="A79" s="97"/>
      <c r="B79" s="116"/>
      <c r="C79" s="117" t="s">
        <v>238</v>
      </c>
      <c r="D79" s="117" t="s">
        <v>69</v>
      </c>
      <c r="E79" s="118" t="s">
        <v>294</v>
      </c>
      <c r="F79" s="119" t="s">
        <v>295</v>
      </c>
      <c r="G79" s="120" t="s">
        <v>120</v>
      </c>
      <c r="H79" s="121">
        <v>9.5519999999999996</v>
      </c>
      <c r="I79" s="122">
        <v>114.42</v>
      </c>
      <c r="J79" s="122">
        <v>1092.94</v>
      </c>
      <c r="K79" s="85">
        <f t="shared" ref="K79" si="11">ROUND(33.2/33.24*H79-H79,2)</f>
        <v>-0.01</v>
      </c>
      <c r="L79" s="86">
        <f t="shared" si="0"/>
        <v>114.42</v>
      </c>
      <c r="M79" s="277">
        <f t="shared" si="1"/>
        <v>-1.1442000000000001</v>
      </c>
      <c r="N79" s="87">
        <f t="shared" si="2"/>
        <v>9.5419999999999998</v>
      </c>
      <c r="O79" s="88">
        <f t="shared" si="3"/>
        <v>114.42</v>
      </c>
      <c r="P79" s="288">
        <f t="shared" si="4"/>
        <v>1091.79564</v>
      </c>
    </row>
    <row r="80" spans="1:30" s="109" customFormat="1" x14ac:dyDescent="0.2">
      <c r="A80" s="97"/>
      <c r="B80" s="97"/>
      <c r="C80" s="97"/>
      <c r="D80" s="97"/>
      <c r="E80" s="97"/>
      <c r="F80" s="97"/>
      <c r="G80" s="97"/>
      <c r="H80" s="97"/>
      <c r="I80" s="97"/>
      <c r="J80" s="97"/>
    </row>
    <row r="81" spans="4:16" ht="18" customHeight="1" x14ac:dyDescent="0.2">
      <c r="D81" s="89"/>
      <c r="E81" s="141" t="str">
        <f>CONCATENATE("CELKEM ",C$12)</f>
        <v>CELKEM 11 - SO 01.J - Stoka A.4.1</v>
      </c>
      <c r="F81" s="90"/>
      <c r="G81" s="90"/>
      <c r="H81" s="91"/>
      <c r="I81" s="90"/>
      <c r="J81" s="92">
        <v>287137.71999999997</v>
      </c>
      <c r="K81" s="94"/>
      <c r="L81" s="92"/>
      <c r="M81" s="147">
        <f>M78+M72+M65+M49+M41+M38+M36+M14</f>
        <v>-257.50520000000006</v>
      </c>
      <c r="N81" s="147"/>
      <c r="O81" s="147"/>
      <c r="P81" s="147">
        <f t="shared" ref="P81" si="12">P78+P72+P65+P49+P41+P38+P36+P14</f>
        <v>286880.21311000001</v>
      </c>
    </row>
    <row r="82" spans="4:16" x14ac:dyDescent="0.2">
      <c r="I82" s="95"/>
    </row>
    <row r="83" spans="4:16" ht="14.25" x14ac:dyDescent="0.2">
      <c r="E83" s="58" t="s">
        <v>994</v>
      </c>
      <c r="F83" s="58"/>
      <c r="H83" s="96"/>
      <c r="J83" s="161"/>
      <c r="K83" s="58" t="s">
        <v>995</v>
      </c>
    </row>
  </sheetData>
  <protectedRanges>
    <protectedRange password="CCAA" sqref="K8" name="Oblast1_1_1_1"/>
    <protectedRange password="CCAA" sqref="D11:H11" name="Oblast1_2_1"/>
    <protectedRange password="CCAA" sqref="D9:H10" name="Oblast1_2_1_1"/>
  </protectedRanges>
  <autoFilter ref="C10:P79" xr:uid="{F6CEB61F-B645-46EA-AF60-773587C4A71F}"/>
  <mergeCells count="3">
    <mergeCell ref="K9:M9"/>
    <mergeCell ref="N9:P9"/>
    <mergeCell ref="U13:U14"/>
  </mergeCells>
  <pageMargins left="0.39370078740157483" right="0.39370078740157483" top="0.39370078740157483" bottom="0.39370078740157483" header="0" footer="0"/>
  <pageSetup paperSize="9" scale="52" fitToHeight="0" orientation="portrait" r:id="rId1"/>
  <headerFooter>
    <oddFooter>&amp;CStrana &amp;P z &amp;N</oddFooter>
  </headerFooter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A1:U76"/>
  <sheetViews>
    <sheetView showGridLines="0" view="pageBreakPreview" topLeftCell="A54" zoomScale="80" zoomScaleNormal="85" zoomScaleSheetLayoutView="80" workbookViewId="0">
      <selection activeCell="M72" sqref="M72"/>
    </sheetView>
  </sheetViews>
  <sheetFormatPr defaultColWidth="9.33203125" defaultRowHeight="11.25" x14ac:dyDescent="0.2"/>
  <cols>
    <col min="1" max="1" width="8.33203125" style="60" customWidth="1"/>
    <col min="2" max="2" width="1.6640625" style="60" customWidth="1"/>
    <col min="3" max="3" width="4.1640625" style="60" customWidth="1"/>
    <col min="4" max="4" width="4.33203125" style="60" customWidth="1"/>
    <col min="5" max="5" width="17.1640625" style="60" customWidth="1"/>
    <col min="6" max="6" width="50.83203125" style="60" customWidth="1"/>
    <col min="7" max="7" width="7" style="60" customWidth="1"/>
    <col min="8" max="8" width="11.5" style="60" customWidth="1"/>
    <col min="9" max="9" width="13.5" style="60" customWidth="1"/>
    <col min="10" max="10" width="18" style="60" customWidth="1"/>
    <col min="11" max="14" width="16.5" style="60" customWidth="1"/>
    <col min="15" max="15" width="23.1640625" style="60" bestFit="1" customWidth="1"/>
    <col min="16" max="16" width="21.6640625" style="60" bestFit="1" customWidth="1"/>
    <col min="17" max="17" width="52.6640625" style="60" bestFit="1" customWidth="1"/>
    <col min="18" max="18" width="21.83203125" style="60" bestFit="1" customWidth="1"/>
    <col min="19" max="19" width="12.5" style="60" bestFit="1" customWidth="1"/>
    <col min="20" max="20" width="14.5" style="60" bestFit="1" customWidth="1"/>
    <col min="21" max="21" width="50" style="60" bestFit="1" customWidth="1"/>
    <col min="22" max="16384" width="9.33203125" style="60"/>
  </cols>
  <sheetData>
    <row r="1" spans="1:20" ht="18.95" customHeight="1" x14ac:dyDescent="0.2">
      <c r="F1" s="3"/>
      <c r="G1" s="4"/>
      <c r="H1" s="1"/>
      <c r="J1" s="61"/>
    </row>
    <row r="2" spans="1:20" s="1" customFormat="1" ht="18" customHeight="1" x14ac:dyDescent="0.2">
      <c r="E2" s="2"/>
      <c r="F2" s="3" t="s">
        <v>979</v>
      </c>
      <c r="G2" s="4" t="str">
        <f>'[1]VRN 01'!G3</f>
        <v>Odkanalizování povodí Jizery - část B</v>
      </c>
      <c r="I2" s="5"/>
      <c r="J2" s="63"/>
      <c r="K2" s="10"/>
      <c r="L2" s="11"/>
      <c r="M2" s="11"/>
      <c r="N2" s="64"/>
    </row>
    <row r="3" spans="1:20" s="1" customFormat="1" ht="18" customHeight="1" x14ac:dyDescent="0.2">
      <c r="E3" s="2"/>
      <c r="F3" s="3" t="s">
        <v>980</v>
      </c>
      <c r="G3" s="4" t="str">
        <f>+'Rekapitulace stavby'!D2</f>
        <v>ÚHERCE, výstavba kanalizace - UZNATELNÉ NÁKLADY - doměrky</v>
      </c>
      <c r="H3" s="2"/>
      <c r="I3" s="5"/>
      <c r="J3" s="63"/>
      <c r="K3" s="10"/>
      <c r="L3" s="11"/>
      <c r="M3" s="11"/>
      <c r="N3" s="64"/>
    </row>
    <row r="4" spans="1:20" s="2" customFormat="1" ht="18" customHeight="1" x14ac:dyDescent="0.2">
      <c r="F4" s="12" t="s">
        <v>981</v>
      </c>
      <c r="G4" s="13" t="str">
        <f>'[1]VRN 01'!G5</f>
        <v>VRI/SOD/2020/Ži</v>
      </c>
      <c r="I4" s="5"/>
      <c r="J4" s="65"/>
      <c r="K4" s="18"/>
      <c r="L4" s="19"/>
      <c r="M4" s="19"/>
      <c r="N4" s="66"/>
    </row>
    <row r="5" spans="1:20" s="2" customFormat="1" ht="18" customHeight="1" x14ac:dyDescent="0.2">
      <c r="F5" s="12" t="s">
        <v>983</v>
      </c>
      <c r="G5" s="13" t="s">
        <v>1001</v>
      </c>
      <c r="I5" s="5"/>
      <c r="J5" s="65"/>
      <c r="K5" s="18"/>
      <c r="L5" s="19"/>
      <c r="M5" s="19"/>
      <c r="N5" s="66"/>
    </row>
    <row r="6" spans="1:20" s="2" customFormat="1" ht="18" customHeight="1" x14ac:dyDescent="0.2">
      <c r="F6" s="3" t="s">
        <v>984</v>
      </c>
      <c r="G6" s="13" t="str">
        <f>'[1]VRN 01'!G7</f>
        <v>Vododvody a kanalizace Mladá Boleslav, a.s.</v>
      </c>
      <c r="I6" s="5"/>
      <c r="J6" s="65"/>
      <c r="K6" s="18"/>
      <c r="L6" s="19"/>
      <c r="M6" s="19"/>
      <c r="N6" s="66"/>
    </row>
    <row r="7" spans="1:20" s="2" customFormat="1" ht="18" customHeight="1" x14ac:dyDescent="0.2">
      <c r="F7" s="3" t="s">
        <v>986</v>
      </c>
      <c r="G7" s="20" t="str">
        <f>'[1]VRN 01'!G8</f>
        <v>VCES a.s.</v>
      </c>
      <c r="H7" s="67"/>
      <c r="I7" s="5"/>
      <c r="J7" s="65"/>
      <c r="K7" s="18"/>
      <c r="L7" s="19"/>
      <c r="M7" s="19"/>
      <c r="N7" s="66"/>
    </row>
    <row r="8" spans="1:20" s="68" customFormat="1" ht="18" customHeight="1" x14ac:dyDescent="0.2">
      <c r="D8" s="69"/>
      <c r="F8" s="3"/>
      <c r="G8" s="20"/>
      <c r="H8" s="67"/>
      <c r="K8" s="72" t="s">
        <v>996</v>
      </c>
      <c r="L8" s="73" t="str">
        <f>+C12</f>
        <v>12 - SO 01.K - Stoka A.5</v>
      </c>
      <c r="M8" s="73"/>
      <c r="O8" s="74"/>
    </row>
    <row r="9" spans="1:20" s="75" customFormat="1" ht="12.75" x14ac:dyDescent="0.2">
      <c r="C9" s="76"/>
      <c r="D9" s="77"/>
      <c r="E9" s="77"/>
      <c r="F9" s="77"/>
      <c r="G9" s="77"/>
      <c r="H9" s="77"/>
      <c r="I9" s="78"/>
      <c r="J9" s="79"/>
      <c r="K9" s="332" t="s">
        <v>1266</v>
      </c>
      <c r="L9" s="332"/>
      <c r="M9" s="332"/>
      <c r="N9" s="339" t="s">
        <v>1267</v>
      </c>
      <c r="O9" s="339"/>
      <c r="P9" s="340"/>
    </row>
    <row r="10" spans="1:20" s="75" customFormat="1" ht="12.75" x14ac:dyDescent="0.2">
      <c r="C10" s="80"/>
      <c r="D10" s="81" t="s">
        <v>997</v>
      </c>
      <c r="E10" s="81" t="s">
        <v>976</v>
      </c>
      <c r="F10" s="81" t="s">
        <v>977</v>
      </c>
      <c r="G10" s="81" t="s">
        <v>64</v>
      </c>
      <c r="H10" s="82" t="s">
        <v>65</v>
      </c>
      <c r="I10" s="83" t="s">
        <v>998</v>
      </c>
      <c r="J10" s="84" t="s">
        <v>978</v>
      </c>
      <c r="K10" s="218" t="s">
        <v>999</v>
      </c>
      <c r="L10" s="219" t="s">
        <v>1260</v>
      </c>
      <c r="M10" s="220" t="s">
        <v>978</v>
      </c>
      <c r="N10" s="263" t="s">
        <v>1264</v>
      </c>
      <c r="O10" s="264" t="s">
        <v>1260</v>
      </c>
      <c r="P10" s="265" t="s">
        <v>978</v>
      </c>
      <c r="Q10" s="154" t="s">
        <v>1004</v>
      </c>
      <c r="R10" s="157" t="s">
        <v>1132</v>
      </c>
      <c r="S10" s="154" t="s">
        <v>1211</v>
      </c>
      <c r="T10" s="162"/>
    </row>
    <row r="11" spans="1:20" s="75" customFormat="1" ht="44.65" customHeight="1" x14ac:dyDescent="0.2">
      <c r="D11" s="133"/>
      <c r="E11" s="133"/>
      <c r="F11" s="133"/>
      <c r="G11" s="133"/>
      <c r="H11" s="134"/>
      <c r="I11" s="135"/>
      <c r="J11" s="136"/>
      <c r="K11" s="137"/>
      <c r="L11" s="138"/>
      <c r="M11" s="138"/>
      <c r="N11" s="139"/>
      <c r="O11" s="140"/>
      <c r="P11" s="140"/>
      <c r="Q11" s="155"/>
      <c r="S11" s="346"/>
    </row>
    <row r="12" spans="1:20" s="109" customFormat="1" ht="15.75" customHeight="1" x14ac:dyDescent="0.25">
      <c r="A12" s="97"/>
      <c r="B12" s="97"/>
      <c r="C12" s="98" t="s">
        <v>380</v>
      </c>
      <c r="D12" s="97"/>
      <c r="E12" s="97"/>
      <c r="F12" s="97"/>
      <c r="G12" s="97"/>
      <c r="H12" s="97"/>
      <c r="I12" s="97"/>
      <c r="J12" s="99">
        <v>415443.98999999993</v>
      </c>
      <c r="S12" s="346"/>
      <c r="T12" s="151"/>
    </row>
    <row r="13" spans="1:20" s="110" customFormat="1" ht="15" x14ac:dyDescent="0.2">
      <c r="D13" s="111" t="s">
        <v>3</v>
      </c>
      <c r="E13" s="112" t="s">
        <v>66</v>
      </c>
      <c r="F13" s="112" t="s">
        <v>67</v>
      </c>
      <c r="J13" s="113">
        <v>415443.98999999993</v>
      </c>
      <c r="Q13" s="156"/>
      <c r="S13" s="346"/>
      <c r="T13" s="153"/>
    </row>
    <row r="14" spans="1:20" s="110" customFormat="1" ht="12.75" x14ac:dyDescent="0.2">
      <c r="C14" s="252"/>
      <c r="D14" s="253" t="s">
        <v>3</v>
      </c>
      <c r="E14" s="254" t="s">
        <v>7</v>
      </c>
      <c r="F14" s="254" t="s">
        <v>68</v>
      </c>
      <c r="G14" s="252"/>
      <c r="H14" s="252"/>
      <c r="I14" s="252"/>
      <c r="J14" s="255">
        <v>156529.30999999997</v>
      </c>
      <c r="K14" s="252"/>
      <c r="L14" s="252"/>
      <c r="M14" s="258">
        <f>SUM(M15:M34)</f>
        <v>813.28020000000015</v>
      </c>
      <c r="N14" s="252"/>
      <c r="O14" s="252"/>
      <c r="P14" s="258">
        <f>SUM(P15:P34)</f>
        <v>157342.60274999999</v>
      </c>
      <c r="Q14" s="174" t="s">
        <v>1005</v>
      </c>
      <c r="T14" s="153"/>
    </row>
    <row r="15" spans="1:20" s="109" customFormat="1" ht="60" x14ac:dyDescent="0.2">
      <c r="A15" s="97"/>
      <c r="B15" s="116"/>
      <c r="C15" s="117" t="s">
        <v>7</v>
      </c>
      <c r="D15" s="117" t="s">
        <v>69</v>
      </c>
      <c r="E15" s="118" t="s">
        <v>79</v>
      </c>
      <c r="F15" s="119" t="s">
        <v>80</v>
      </c>
      <c r="G15" s="120" t="s">
        <v>72</v>
      </c>
      <c r="H15" s="121">
        <v>49.774999999999999</v>
      </c>
      <c r="I15" s="122">
        <v>26.3</v>
      </c>
      <c r="J15" s="122">
        <v>1309.08</v>
      </c>
      <c r="K15" s="85">
        <v>0</v>
      </c>
      <c r="L15" s="86">
        <f>I15</f>
        <v>26.3</v>
      </c>
      <c r="M15" s="277">
        <f>K15*L15</f>
        <v>0</v>
      </c>
      <c r="N15" s="87">
        <f>H15+K15</f>
        <v>49.774999999999999</v>
      </c>
      <c r="O15" s="88">
        <f>I15</f>
        <v>26.3</v>
      </c>
      <c r="P15" s="278">
        <f>N15*O15</f>
        <v>1309.0825</v>
      </c>
      <c r="S15" s="177"/>
      <c r="T15" s="201"/>
    </row>
    <row r="16" spans="1:20" s="109" customFormat="1" ht="60" x14ac:dyDescent="0.2">
      <c r="A16" s="97"/>
      <c r="B16" s="116"/>
      <c r="C16" s="117" t="s">
        <v>8</v>
      </c>
      <c r="D16" s="117" t="s">
        <v>69</v>
      </c>
      <c r="E16" s="118" t="s">
        <v>74</v>
      </c>
      <c r="F16" s="119" t="s">
        <v>75</v>
      </c>
      <c r="G16" s="120" t="s">
        <v>72</v>
      </c>
      <c r="H16" s="121">
        <v>49.774999999999999</v>
      </c>
      <c r="I16" s="122">
        <v>40.770000000000003</v>
      </c>
      <c r="J16" s="122">
        <v>2029.33</v>
      </c>
      <c r="K16" s="85">
        <v>0</v>
      </c>
      <c r="L16" s="86">
        <f t="shared" ref="L16:L72" si="0">I16</f>
        <v>40.770000000000003</v>
      </c>
      <c r="M16" s="277">
        <f t="shared" ref="M16:M72" si="1">K16*L16</f>
        <v>0</v>
      </c>
      <c r="N16" s="87">
        <f t="shared" ref="N16:N72" si="2">H16+K16</f>
        <v>49.774999999999999</v>
      </c>
      <c r="O16" s="88">
        <f t="shared" ref="O16:O72" si="3">I16</f>
        <v>40.770000000000003</v>
      </c>
      <c r="P16" s="278">
        <f t="shared" ref="P16:P72" si="4">N16*O16</f>
        <v>2029.3267500000002</v>
      </c>
      <c r="S16" s="177"/>
      <c r="T16" s="201"/>
    </row>
    <row r="17" spans="1:20" s="109" customFormat="1" ht="60" x14ac:dyDescent="0.2">
      <c r="A17" s="97"/>
      <c r="B17" s="116"/>
      <c r="C17" s="117" t="s">
        <v>76</v>
      </c>
      <c r="D17" s="117" t="s">
        <v>69</v>
      </c>
      <c r="E17" s="118" t="s">
        <v>82</v>
      </c>
      <c r="F17" s="119" t="s">
        <v>83</v>
      </c>
      <c r="G17" s="120" t="s">
        <v>72</v>
      </c>
      <c r="H17" s="121">
        <v>49.774999999999999</v>
      </c>
      <c r="I17" s="122">
        <v>39.46</v>
      </c>
      <c r="J17" s="122">
        <v>1964.12</v>
      </c>
      <c r="K17" s="85">
        <v>0</v>
      </c>
      <c r="L17" s="86">
        <f t="shared" si="0"/>
        <v>39.46</v>
      </c>
      <c r="M17" s="277">
        <f t="shared" si="1"/>
        <v>0</v>
      </c>
      <c r="N17" s="87">
        <f t="shared" si="2"/>
        <v>49.774999999999999</v>
      </c>
      <c r="O17" s="88">
        <f t="shared" si="3"/>
        <v>39.46</v>
      </c>
      <c r="P17" s="278">
        <f t="shared" si="4"/>
        <v>1964.1215</v>
      </c>
      <c r="S17" s="177"/>
      <c r="T17" s="201"/>
    </row>
    <row r="18" spans="1:20" s="109" customFormat="1" ht="48" x14ac:dyDescent="0.2">
      <c r="A18" s="97"/>
      <c r="B18" s="116"/>
      <c r="C18" s="117" t="s">
        <v>73</v>
      </c>
      <c r="D18" s="117" t="s">
        <v>69</v>
      </c>
      <c r="E18" s="118" t="s">
        <v>85</v>
      </c>
      <c r="F18" s="119" t="s">
        <v>86</v>
      </c>
      <c r="G18" s="120" t="s">
        <v>72</v>
      </c>
      <c r="H18" s="121">
        <v>76.924999999999997</v>
      </c>
      <c r="I18" s="122">
        <v>55.24</v>
      </c>
      <c r="J18" s="122">
        <v>4249.34</v>
      </c>
      <c r="K18" s="85">
        <v>0</v>
      </c>
      <c r="L18" s="86">
        <f t="shared" si="0"/>
        <v>55.24</v>
      </c>
      <c r="M18" s="277">
        <f t="shared" si="1"/>
        <v>0</v>
      </c>
      <c r="N18" s="87">
        <f t="shared" si="2"/>
        <v>76.924999999999997</v>
      </c>
      <c r="O18" s="88">
        <f t="shared" si="3"/>
        <v>55.24</v>
      </c>
      <c r="P18" s="278">
        <f t="shared" si="4"/>
        <v>4249.3370000000004</v>
      </c>
      <c r="S18" s="177"/>
      <c r="T18" s="201"/>
    </row>
    <row r="19" spans="1:20" s="109" customFormat="1" ht="84" x14ac:dyDescent="0.2">
      <c r="A19" s="97"/>
      <c r="B19" s="116"/>
      <c r="C19" s="117" t="s">
        <v>81</v>
      </c>
      <c r="D19" s="117" t="s">
        <v>69</v>
      </c>
      <c r="E19" s="118" t="s">
        <v>88</v>
      </c>
      <c r="F19" s="119" t="s">
        <v>89</v>
      </c>
      <c r="G19" s="120" t="s">
        <v>61</v>
      </c>
      <c r="H19" s="121">
        <v>3.3</v>
      </c>
      <c r="I19" s="122">
        <v>170.98</v>
      </c>
      <c r="J19" s="122">
        <v>564.23</v>
      </c>
      <c r="K19" s="85">
        <f>ROUND(45.5/45.25*H19-H19,2)</f>
        <v>0.02</v>
      </c>
      <c r="L19" s="86">
        <f t="shared" si="0"/>
        <v>170.98</v>
      </c>
      <c r="M19" s="277">
        <f t="shared" si="1"/>
        <v>3.4196</v>
      </c>
      <c r="N19" s="87">
        <f t="shared" si="2"/>
        <v>3.32</v>
      </c>
      <c r="O19" s="88">
        <f t="shared" si="3"/>
        <v>170.98</v>
      </c>
      <c r="P19" s="278">
        <f t="shared" si="4"/>
        <v>567.65359999999998</v>
      </c>
      <c r="S19" s="177"/>
      <c r="T19" s="201"/>
    </row>
    <row r="20" spans="1:20" s="109" customFormat="1" ht="36" x14ac:dyDescent="0.2">
      <c r="A20" s="97"/>
      <c r="B20" s="116"/>
      <c r="C20" s="117" t="s">
        <v>84</v>
      </c>
      <c r="D20" s="117" t="s">
        <v>69</v>
      </c>
      <c r="E20" s="118" t="s">
        <v>94</v>
      </c>
      <c r="F20" s="119" t="s">
        <v>95</v>
      </c>
      <c r="G20" s="120" t="s">
        <v>62</v>
      </c>
      <c r="H20" s="121">
        <v>11.8</v>
      </c>
      <c r="I20" s="122">
        <v>257.77999999999997</v>
      </c>
      <c r="J20" s="122">
        <v>3041.8</v>
      </c>
      <c r="K20" s="85">
        <f t="shared" ref="K20:K36" si="5">ROUND(45.5/45.25*H20-H20,2)</f>
        <v>7.0000000000000007E-2</v>
      </c>
      <c r="L20" s="86">
        <f t="shared" si="0"/>
        <v>257.77999999999997</v>
      </c>
      <c r="M20" s="277">
        <f t="shared" si="1"/>
        <v>18.044599999999999</v>
      </c>
      <c r="N20" s="87">
        <f t="shared" si="2"/>
        <v>11.870000000000001</v>
      </c>
      <c r="O20" s="88">
        <f t="shared" si="3"/>
        <v>257.77999999999997</v>
      </c>
      <c r="P20" s="278">
        <f t="shared" si="4"/>
        <v>3059.8485999999998</v>
      </c>
      <c r="S20" s="177"/>
      <c r="T20" s="201"/>
    </row>
    <row r="21" spans="1:20" s="109" customFormat="1" ht="48" x14ac:dyDescent="0.2">
      <c r="A21" s="97"/>
      <c r="B21" s="116"/>
      <c r="C21" s="117" t="s">
        <v>87</v>
      </c>
      <c r="D21" s="117" t="s">
        <v>69</v>
      </c>
      <c r="E21" s="118" t="s">
        <v>96</v>
      </c>
      <c r="F21" s="119" t="s">
        <v>97</v>
      </c>
      <c r="G21" s="120" t="s">
        <v>62</v>
      </c>
      <c r="H21" s="121">
        <v>35.39</v>
      </c>
      <c r="I21" s="122">
        <v>234.11</v>
      </c>
      <c r="J21" s="122">
        <v>8285.15</v>
      </c>
      <c r="K21" s="85">
        <f t="shared" si="5"/>
        <v>0.2</v>
      </c>
      <c r="L21" s="86">
        <f t="shared" si="0"/>
        <v>234.11</v>
      </c>
      <c r="M21" s="277">
        <f t="shared" si="1"/>
        <v>46.822000000000003</v>
      </c>
      <c r="N21" s="87">
        <f t="shared" si="2"/>
        <v>35.590000000000003</v>
      </c>
      <c r="O21" s="88">
        <f t="shared" si="3"/>
        <v>234.11</v>
      </c>
      <c r="P21" s="278">
        <f t="shared" si="4"/>
        <v>8331.9749000000011</v>
      </c>
      <c r="S21" s="177"/>
      <c r="T21" s="201"/>
    </row>
    <row r="22" spans="1:20" s="109" customFormat="1" ht="48" x14ac:dyDescent="0.2">
      <c r="A22" s="97"/>
      <c r="B22" s="116"/>
      <c r="C22" s="117" t="s">
        <v>90</v>
      </c>
      <c r="D22" s="117" t="s">
        <v>69</v>
      </c>
      <c r="E22" s="118" t="s">
        <v>98</v>
      </c>
      <c r="F22" s="119" t="s">
        <v>99</v>
      </c>
      <c r="G22" s="120" t="s">
        <v>62</v>
      </c>
      <c r="H22" s="121">
        <v>49.16</v>
      </c>
      <c r="I22" s="122">
        <v>257.77999999999997</v>
      </c>
      <c r="J22" s="122">
        <v>12672.46</v>
      </c>
      <c r="K22" s="85">
        <f t="shared" si="5"/>
        <v>0.27</v>
      </c>
      <c r="L22" s="86">
        <f t="shared" si="0"/>
        <v>257.77999999999997</v>
      </c>
      <c r="M22" s="277">
        <f t="shared" si="1"/>
        <v>69.6006</v>
      </c>
      <c r="N22" s="87">
        <f t="shared" si="2"/>
        <v>49.43</v>
      </c>
      <c r="O22" s="88">
        <f t="shared" si="3"/>
        <v>257.77999999999997</v>
      </c>
      <c r="P22" s="278">
        <f t="shared" si="4"/>
        <v>12742.065399999998</v>
      </c>
      <c r="S22" s="177"/>
      <c r="T22" s="201"/>
    </row>
    <row r="23" spans="1:20" s="109" customFormat="1" ht="48" x14ac:dyDescent="0.2">
      <c r="A23" s="97"/>
      <c r="B23" s="116"/>
      <c r="C23" s="117" t="s">
        <v>93</v>
      </c>
      <c r="D23" s="117" t="s">
        <v>69</v>
      </c>
      <c r="E23" s="118" t="s">
        <v>100</v>
      </c>
      <c r="F23" s="119" t="s">
        <v>101</v>
      </c>
      <c r="G23" s="120" t="s">
        <v>62</v>
      </c>
      <c r="H23" s="121">
        <v>13.76</v>
      </c>
      <c r="I23" s="122">
        <v>315.64999999999998</v>
      </c>
      <c r="J23" s="122">
        <v>4343.34</v>
      </c>
      <c r="K23" s="85">
        <f t="shared" si="5"/>
        <v>0.08</v>
      </c>
      <c r="L23" s="86">
        <f t="shared" si="0"/>
        <v>315.64999999999998</v>
      </c>
      <c r="M23" s="277">
        <f t="shared" si="1"/>
        <v>25.251999999999999</v>
      </c>
      <c r="N23" s="87">
        <f t="shared" si="2"/>
        <v>13.84</v>
      </c>
      <c r="O23" s="88">
        <f t="shared" si="3"/>
        <v>315.64999999999998</v>
      </c>
      <c r="P23" s="278">
        <f t="shared" si="4"/>
        <v>4368.5959999999995</v>
      </c>
      <c r="S23" s="177"/>
      <c r="T23" s="201"/>
    </row>
    <row r="24" spans="1:20" s="109" customFormat="1" ht="36" x14ac:dyDescent="0.2">
      <c r="A24" s="97"/>
      <c r="B24" s="116"/>
      <c r="C24" s="117" t="s">
        <v>26</v>
      </c>
      <c r="D24" s="117" t="s">
        <v>69</v>
      </c>
      <c r="E24" s="118" t="s">
        <v>102</v>
      </c>
      <c r="F24" s="119" t="s">
        <v>103</v>
      </c>
      <c r="G24" s="120" t="s">
        <v>72</v>
      </c>
      <c r="H24" s="121">
        <v>213.53</v>
      </c>
      <c r="I24" s="122">
        <v>69.709999999999994</v>
      </c>
      <c r="J24" s="122">
        <v>14885.18</v>
      </c>
      <c r="K24" s="85">
        <f t="shared" si="5"/>
        <v>1.18</v>
      </c>
      <c r="L24" s="86">
        <f t="shared" si="0"/>
        <v>69.709999999999994</v>
      </c>
      <c r="M24" s="277">
        <f t="shared" si="1"/>
        <v>82.257799999999989</v>
      </c>
      <c r="N24" s="87">
        <f t="shared" si="2"/>
        <v>214.71</v>
      </c>
      <c r="O24" s="88">
        <f t="shared" si="3"/>
        <v>69.709999999999994</v>
      </c>
      <c r="P24" s="278">
        <f t="shared" si="4"/>
        <v>14967.434099999999</v>
      </c>
      <c r="S24" s="177"/>
      <c r="T24" s="202"/>
    </row>
    <row r="25" spans="1:20" s="109" customFormat="1" ht="48" x14ac:dyDescent="0.2">
      <c r="A25" s="97"/>
      <c r="B25" s="116"/>
      <c r="C25" s="117" t="s">
        <v>28</v>
      </c>
      <c r="D25" s="117" t="s">
        <v>69</v>
      </c>
      <c r="E25" s="118" t="s">
        <v>104</v>
      </c>
      <c r="F25" s="119" t="s">
        <v>105</v>
      </c>
      <c r="G25" s="120" t="s">
        <v>72</v>
      </c>
      <c r="H25" s="121">
        <v>213.53</v>
      </c>
      <c r="I25" s="122">
        <v>80.23</v>
      </c>
      <c r="J25" s="122">
        <v>17131.509999999998</v>
      </c>
      <c r="K25" s="85">
        <f t="shared" si="5"/>
        <v>1.18</v>
      </c>
      <c r="L25" s="86">
        <f t="shared" si="0"/>
        <v>80.23</v>
      </c>
      <c r="M25" s="277">
        <f t="shared" si="1"/>
        <v>94.671400000000006</v>
      </c>
      <c r="N25" s="87">
        <f t="shared" si="2"/>
        <v>214.71</v>
      </c>
      <c r="O25" s="88">
        <f t="shared" si="3"/>
        <v>80.23</v>
      </c>
      <c r="P25" s="278">
        <f t="shared" si="4"/>
        <v>17226.183300000001</v>
      </c>
      <c r="S25" s="177"/>
      <c r="T25" s="202"/>
    </row>
    <row r="26" spans="1:20" s="109" customFormat="1" ht="67.5" customHeight="1" x14ac:dyDescent="0.2">
      <c r="A26" s="97"/>
      <c r="B26" s="116"/>
      <c r="C26" s="117" t="s">
        <v>30</v>
      </c>
      <c r="D26" s="117" t="s">
        <v>69</v>
      </c>
      <c r="E26" s="118" t="s">
        <v>106</v>
      </c>
      <c r="F26" s="119" t="s">
        <v>107</v>
      </c>
      <c r="G26" s="120" t="s">
        <v>62</v>
      </c>
      <c r="H26" s="121">
        <v>58.985999999999997</v>
      </c>
      <c r="I26" s="122">
        <v>13.15</v>
      </c>
      <c r="J26" s="122">
        <v>775.67</v>
      </c>
      <c r="K26" s="85">
        <f t="shared" si="5"/>
        <v>0.33</v>
      </c>
      <c r="L26" s="86">
        <f t="shared" si="0"/>
        <v>13.15</v>
      </c>
      <c r="M26" s="277">
        <f t="shared" si="1"/>
        <v>4.3395000000000001</v>
      </c>
      <c r="N26" s="87">
        <f t="shared" si="2"/>
        <v>59.315999999999995</v>
      </c>
      <c r="O26" s="88">
        <f t="shared" si="3"/>
        <v>13.15</v>
      </c>
      <c r="P26" s="278">
        <f t="shared" si="4"/>
        <v>780.00540000000001</v>
      </c>
      <c r="S26" s="177"/>
      <c r="T26" s="201"/>
    </row>
    <row r="27" spans="1:20" s="109" customFormat="1" ht="48" x14ac:dyDescent="0.2">
      <c r="A27" s="97"/>
      <c r="B27" s="116"/>
      <c r="C27" s="117" t="s">
        <v>32</v>
      </c>
      <c r="D27" s="117" t="s">
        <v>69</v>
      </c>
      <c r="E27" s="118" t="s">
        <v>108</v>
      </c>
      <c r="F27" s="119" t="s">
        <v>109</v>
      </c>
      <c r="G27" s="120" t="s">
        <v>62</v>
      </c>
      <c r="H27" s="121">
        <v>158.72</v>
      </c>
      <c r="I27" s="122">
        <v>185.49</v>
      </c>
      <c r="J27" s="122">
        <v>29440.97</v>
      </c>
      <c r="K27" s="85">
        <f t="shared" si="5"/>
        <v>0.88</v>
      </c>
      <c r="L27" s="86">
        <f t="shared" si="0"/>
        <v>185.49</v>
      </c>
      <c r="M27" s="277">
        <f t="shared" si="1"/>
        <v>163.2312</v>
      </c>
      <c r="N27" s="87">
        <f t="shared" si="2"/>
        <v>159.6</v>
      </c>
      <c r="O27" s="88">
        <f t="shared" si="3"/>
        <v>185.49</v>
      </c>
      <c r="P27" s="278">
        <f t="shared" si="4"/>
        <v>29604.204000000002</v>
      </c>
      <c r="S27" s="177"/>
      <c r="T27" s="201"/>
    </row>
    <row r="28" spans="1:20" s="109" customFormat="1" ht="36" x14ac:dyDescent="0.2">
      <c r="A28" s="97"/>
      <c r="B28" s="116"/>
      <c r="C28" s="117" t="s">
        <v>34</v>
      </c>
      <c r="D28" s="117" t="s">
        <v>69</v>
      </c>
      <c r="E28" s="118" t="s">
        <v>110</v>
      </c>
      <c r="F28" s="119" t="s">
        <v>111</v>
      </c>
      <c r="G28" s="120" t="s">
        <v>62</v>
      </c>
      <c r="H28" s="121">
        <v>98.31</v>
      </c>
      <c r="I28" s="122">
        <v>44.72</v>
      </c>
      <c r="J28" s="122">
        <v>4396.42</v>
      </c>
      <c r="K28" s="85">
        <f t="shared" si="5"/>
        <v>0.54</v>
      </c>
      <c r="L28" s="86">
        <f t="shared" si="0"/>
        <v>44.72</v>
      </c>
      <c r="M28" s="277">
        <f t="shared" si="1"/>
        <v>24.148800000000001</v>
      </c>
      <c r="N28" s="87">
        <f t="shared" si="2"/>
        <v>98.850000000000009</v>
      </c>
      <c r="O28" s="88">
        <f t="shared" si="3"/>
        <v>44.72</v>
      </c>
      <c r="P28" s="278">
        <f t="shared" si="4"/>
        <v>4420.5720000000001</v>
      </c>
      <c r="S28" s="177"/>
      <c r="T28" s="201"/>
    </row>
    <row r="29" spans="1:20" s="109" customFormat="1" ht="48" x14ac:dyDescent="0.2">
      <c r="A29" s="97"/>
      <c r="B29" s="116"/>
      <c r="C29" s="117" t="s">
        <v>1</v>
      </c>
      <c r="D29" s="117" t="s">
        <v>69</v>
      </c>
      <c r="E29" s="118" t="s">
        <v>112</v>
      </c>
      <c r="F29" s="119" t="s">
        <v>113</v>
      </c>
      <c r="G29" s="120" t="s">
        <v>62</v>
      </c>
      <c r="H29" s="121">
        <v>37.9</v>
      </c>
      <c r="I29" s="122">
        <v>247.39</v>
      </c>
      <c r="J29" s="122">
        <v>9376.08</v>
      </c>
      <c r="K29" s="85">
        <f t="shared" si="5"/>
        <v>0.21</v>
      </c>
      <c r="L29" s="86">
        <f t="shared" si="0"/>
        <v>247.39</v>
      </c>
      <c r="M29" s="277">
        <f t="shared" si="1"/>
        <v>51.951899999999995</v>
      </c>
      <c r="N29" s="87">
        <f t="shared" si="2"/>
        <v>38.11</v>
      </c>
      <c r="O29" s="88">
        <f t="shared" si="3"/>
        <v>247.39</v>
      </c>
      <c r="P29" s="278">
        <f t="shared" si="4"/>
        <v>9428.0329000000002</v>
      </c>
      <c r="S29" s="177"/>
      <c r="T29" s="201"/>
    </row>
    <row r="30" spans="1:20" s="109" customFormat="1" ht="12" x14ac:dyDescent="0.2">
      <c r="A30" s="97"/>
      <c r="B30" s="116"/>
      <c r="C30" s="117" t="s">
        <v>37</v>
      </c>
      <c r="D30" s="117" t="s">
        <v>69</v>
      </c>
      <c r="E30" s="118" t="s">
        <v>115</v>
      </c>
      <c r="F30" s="119" t="s">
        <v>116</v>
      </c>
      <c r="G30" s="120" t="s">
        <v>62</v>
      </c>
      <c r="H30" s="121">
        <v>37.9</v>
      </c>
      <c r="I30" s="122">
        <v>11.84</v>
      </c>
      <c r="J30" s="122">
        <v>448.74</v>
      </c>
      <c r="K30" s="85">
        <f t="shared" si="5"/>
        <v>0.21</v>
      </c>
      <c r="L30" s="86">
        <f t="shared" si="0"/>
        <v>11.84</v>
      </c>
      <c r="M30" s="277">
        <f t="shared" si="1"/>
        <v>2.4863999999999997</v>
      </c>
      <c r="N30" s="87">
        <f t="shared" si="2"/>
        <v>38.11</v>
      </c>
      <c r="O30" s="88">
        <f t="shared" si="3"/>
        <v>11.84</v>
      </c>
      <c r="P30" s="278">
        <f t="shared" si="4"/>
        <v>451.22239999999999</v>
      </c>
      <c r="S30" s="177"/>
      <c r="T30" s="201"/>
    </row>
    <row r="31" spans="1:20" s="109" customFormat="1" ht="36" x14ac:dyDescent="0.2">
      <c r="A31" s="97"/>
      <c r="B31" s="116"/>
      <c r="C31" s="117" t="s">
        <v>39</v>
      </c>
      <c r="D31" s="117" t="s">
        <v>69</v>
      </c>
      <c r="E31" s="118" t="s">
        <v>118</v>
      </c>
      <c r="F31" s="119" t="s">
        <v>119</v>
      </c>
      <c r="G31" s="120" t="s">
        <v>120</v>
      </c>
      <c r="H31" s="121">
        <v>60.57</v>
      </c>
      <c r="I31" s="122">
        <v>116</v>
      </c>
      <c r="J31" s="122">
        <v>7026.12</v>
      </c>
      <c r="K31" s="85">
        <f t="shared" si="5"/>
        <v>0.33</v>
      </c>
      <c r="L31" s="86">
        <f t="shared" si="0"/>
        <v>116</v>
      </c>
      <c r="M31" s="277">
        <f t="shared" si="1"/>
        <v>38.28</v>
      </c>
      <c r="N31" s="87">
        <f t="shared" si="2"/>
        <v>60.9</v>
      </c>
      <c r="O31" s="88">
        <f t="shared" si="3"/>
        <v>116</v>
      </c>
      <c r="P31" s="278">
        <f t="shared" si="4"/>
        <v>7064.4</v>
      </c>
      <c r="S31" s="177"/>
      <c r="T31" s="201"/>
    </row>
    <row r="32" spans="1:20" s="109" customFormat="1" ht="36" x14ac:dyDescent="0.2">
      <c r="A32" s="97"/>
      <c r="B32" s="116"/>
      <c r="C32" s="117" t="s">
        <v>41</v>
      </c>
      <c r="D32" s="117" t="s">
        <v>69</v>
      </c>
      <c r="E32" s="118" t="s">
        <v>121</v>
      </c>
      <c r="F32" s="119" t="s">
        <v>122</v>
      </c>
      <c r="G32" s="120" t="s">
        <v>62</v>
      </c>
      <c r="H32" s="121">
        <v>60.41</v>
      </c>
      <c r="I32" s="122">
        <v>286.72000000000003</v>
      </c>
      <c r="J32" s="122">
        <v>17320.759999999998</v>
      </c>
      <c r="K32" s="85">
        <f t="shared" si="5"/>
        <v>0.33</v>
      </c>
      <c r="L32" s="86">
        <f t="shared" si="0"/>
        <v>286.72000000000003</v>
      </c>
      <c r="M32" s="277">
        <f t="shared" si="1"/>
        <v>94.61760000000001</v>
      </c>
      <c r="N32" s="87">
        <f t="shared" si="2"/>
        <v>60.739999999999995</v>
      </c>
      <c r="O32" s="88">
        <f t="shared" si="3"/>
        <v>286.72000000000003</v>
      </c>
      <c r="P32" s="278">
        <f t="shared" si="4"/>
        <v>17415.372800000001</v>
      </c>
      <c r="S32" s="177"/>
      <c r="T32" s="201"/>
    </row>
    <row r="33" spans="1:20" s="109" customFormat="1" ht="60" x14ac:dyDescent="0.2">
      <c r="A33" s="97"/>
      <c r="B33" s="116"/>
      <c r="C33" s="117" t="s">
        <v>114</v>
      </c>
      <c r="D33" s="117" t="s">
        <v>69</v>
      </c>
      <c r="E33" s="118" t="s">
        <v>124</v>
      </c>
      <c r="F33" s="119" t="s">
        <v>125</v>
      </c>
      <c r="G33" s="120" t="s">
        <v>62</v>
      </c>
      <c r="H33" s="121">
        <v>26.1</v>
      </c>
      <c r="I33" s="122">
        <v>318.27999999999997</v>
      </c>
      <c r="J33" s="122">
        <v>8307.11</v>
      </c>
      <c r="K33" s="85">
        <f t="shared" si="5"/>
        <v>0.14000000000000001</v>
      </c>
      <c r="L33" s="86">
        <f t="shared" si="0"/>
        <v>318.27999999999997</v>
      </c>
      <c r="M33" s="277">
        <f t="shared" si="1"/>
        <v>44.559199999999997</v>
      </c>
      <c r="N33" s="87">
        <f t="shared" si="2"/>
        <v>26.240000000000002</v>
      </c>
      <c r="O33" s="88">
        <f t="shared" si="3"/>
        <v>318.27999999999997</v>
      </c>
      <c r="P33" s="278">
        <f t="shared" si="4"/>
        <v>8351.6671999999999</v>
      </c>
      <c r="S33" s="177"/>
      <c r="T33" s="201"/>
    </row>
    <row r="34" spans="1:20" s="109" customFormat="1" ht="12" x14ac:dyDescent="0.2">
      <c r="A34" s="97"/>
      <c r="B34" s="116"/>
      <c r="C34" s="123" t="s">
        <v>117</v>
      </c>
      <c r="D34" s="123" t="s">
        <v>127</v>
      </c>
      <c r="E34" s="124" t="s">
        <v>128</v>
      </c>
      <c r="F34" s="125" t="s">
        <v>129</v>
      </c>
      <c r="G34" s="126" t="s">
        <v>120</v>
      </c>
      <c r="H34" s="127">
        <v>46.98</v>
      </c>
      <c r="I34" s="128">
        <v>190.76</v>
      </c>
      <c r="J34" s="128">
        <v>8961.9</v>
      </c>
      <c r="K34" s="85">
        <f t="shared" si="5"/>
        <v>0.26</v>
      </c>
      <c r="L34" s="86">
        <f t="shared" si="0"/>
        <v>190.76</v>
      </c>
      <c r="M34" s="277">
        <f t="shared" si="1"/>
        <v>49.5976</v>
      </c>
      <c r="N34" s="87">
        <f t="shared" si="2"/>
        <v>47.239999999999995</v>
      </c>
      <c r="O34" s="88">
        <f t="shared" si="3"/>
        <v>190.76</v>
      </c>
      <c r="P34" s="278">
        <f t="shared" si="4"/>
        <v>9011.5023999999994</v>
      </c>
      <c r="S34" s="177"/>
      <c r="T34" s="201"/>
    </row>
    <row r="35" spans="1:20" s="110" customFormat="1" ht="12.75" x14ac:dyDescent="0.2">
      <c r="C35" s="245"/>
      <c r="D35" s="246" t="s">
        <v>3</v>
      </c>
      <c r="E35" s="247" t="s">
        <v>76</v>
      </c>
      <c r="F35" s="247" t="s">
        <v>130</v>
      </c>
      <c r="G35" s="245"/>
      <c r="H35" s="245"/>
      <c r="I35" s="245"/>
      <c r="J35" s="248">
        <v>1487.82</v>
      </c>
      <c r="K35" s="243"/>
      <c r="L35" s="244"/>
      <c r="M35" s="279">
        <f>M36</f>
        <v>8.2200000000000006</v>
      </c>
      <c r="N35" s="280"/>
      <c r="O35" s="244"/>
      <c r="P35" s="279">
        <f>P36</f>
        <v>1496.0400000000002</v>
      </c>
      <c r="Q35" s="156"/>
      <c r="R35" s="109"/>
      <c r="S35" s="177"/>
      <c r="T35" s="201"/>
    </row>
    <row r="36" spans="1:20" s="109" customFormat="1" ht="12" x14ac:dyDescent="0.2">
      <c r="A36" s="97"/>
      <c r="B36" s="116"/>
      <c r="C36" s="117" t="s">
        <v>0</v>
      </c>
      <c r="D36" s="117" t="s">
        <v>69</v>
      </c>
      <c r="E36" s="118" t="s">
        <v>132</v>
      </c>
      <c r="F36" s="119" t="s">
        <v>133</v>
      </c>
      <c r="G36" s="120" t="s">
        <v>61</v>
      </c>
      <c r="H36" s="121">
        <v>45.25</v>
      </c>
      <c r="I36" s="122">
        <v>32.880000000000003</v>
      </c>
      <c r="J36" s="122">
        <v>1487.82</v>
      </c>
      <c r="K36" s="85">
        <f t="shared" si="5"/>
        <v>0.25</v>
      </c>
      <c r="L36" s="86">
        <f t="shared" si="0"/>
        <v>32.880000000000003</v>
      </c>
      <c r="M36" s="277">
        <f t="shared" si="1"/>
        <v>8.2200000000000006</v>
      </c>
      <c r="N36" s="87">
        <f t="shared" si="2"/>
        <v>45.5</v>
      </c>
      <c r="O36" s="88">
        <f t="shared" si="3"/>
        <v>32.880000000000003</v>
      </c>
      <c r="P36" s="278">
        <f t="shared" si="4"/>
        <v>1496.0400000000002</v>
      </c>
      <c r="S36" s="177"/>
      <c r="T36" s="201"/>
    </row>
    <row r="37" spans="1:20" s="110" customFormat="1" ht="12.75" x14ac:dyDescent="0.2">
      <c r="C37" s="245"/>
      <c r="D37" s="246" t="s">
        <v>3</v>
      </c>
      <c r="E37" s="247" t="s">
        <v>73</v>
      </c>
      <c r="F37" s="247" t="s">
        <v>134</v>
      </c>
      <c r="G37" s="245"/>
      <c r="H37" s="245"/>
      <c r="I37" s="245"/>
      <c r="J37" s="248">
        <v>936.43999999999994</v>
      </c>
      <c r="K37" s="243"/>
      <c r="L37" s="244"/>
      <c r="M37" s="279">
        <f>SUM(M38:M39)</f>
        <v>0</v>
      </c>
      <c r="N37" s="280"/>
      <c r="O37" s="244"/>
      <c r="P37" s="279">
        <f>SUM(P38:P39)</f>
        <v>936.43999999999994</v>
      </c>
      <c r="Q37" s="156"/>
      <c r="R37" s="109"/>
      <c r="S37" s="177"/>
      <c r="T37" s="201"/>
    </row>
    <row r="38" spans="1:20" s="109" customFormat="1" ht="24" x14ac:dyDescent="0.2">
      <c r="A38" s="97"/>
      <c r="B38" s="116"/>
      <c r="C38" s="117" t="s">
        <v>123</v>
      </c>
      <c r="D38" s="117" t="s">
        <v>69</v>
      </c>
      <c r="E38" s="118" t="s">
        <v>136</v>
      </c>
      <c r="F38" s="119" t="s">
        <v>137</v>
      </c>
      <c r="G38" s="120" t="s">
        <v>138</v>
      </c>
      <c r="H38" s="121">
        <v>2</v>
      </c>
      <c r="I38" s="122">
        <v>122.32</v>
      </c>
      <c r="J38" s="122">
        <v>244.64</v>
      </c>
      <c r="K38" s="85">
        <v>0</v>
      </c>
      <c r="L38" s="86">
        <f t="shared" si="0"/>
        <v>122.32</v>
      </c>
      <c r="M38" s="277">
        <f t="shared" si="1"/>
        <v>0</v>
      </c>
      <c r="N38" s="87">
        <f t="shared" si="2"/>
        <v>2</v>
      </c>
      <c r="O38" s="88">
        <f t="shared" si="3"/>
        <v>122.32</v>
      </c>
      <c r="P38" s="278">
        <f t="shared" si="4"/>
        <v>244.64</v>
      </c>
      <c r="S38" s="177"/>
      <c r="T38" s="201"/>
    </row>
    <row r="39" spans="1:20" s="109" customFormat="1" ht="12" x14ac:dyDescent="0.2">
      <c r="A39" s="97"/>
      <c r="B39" s="116"/>
      <c r="C39" s="123" t="s">
        <v>126</v>
      </c>
      <c r="D39" s="123" t="s">
        <v>127</v>
      </c>
      <c r="E39" s="124" t="s">
        <v>146</v>
      </c>
      <c r="F39" s="125" t="s">
        <v>147</v>
      </c>
      <c r="G39" s="126" t="s">
        <v>138</v>
      </c>
      <c r="H39" s="127">
        <v>2</v>
      </c>
      <c r="I39" s="128">
        <v>345.9</v>
      </c>
      <c r="J39" s="128">
        <v>691.8</v>
      </c>
      <c r="K39" s="85">
        <v>0</v>
      </c>
      <c r="L39" s="86">
        <f t="shared" si="0"/>
        <v>345.9</v>
      </c>
      <c r="M39" s="277">
        <f t="shared" si="1"/>
        <v>0</v>
      </c>
      <c r="N39" s="87">
        <f t="shared" si="2"/>
        <v>2</v>
      </c>
      <c r="O39" s="88">
        <f t="shared" si="3"/>
        <v>345.9</v>
      </c>
      <c r="P39" s="278">
        <f t="shared" si="4"/>
        <v>691.8</v>
      </c>
      <c r="S39" s="177"/>
      <c r="T39" s="201"/>
    </row>
    <row r="40" spans="1:20" s="110" customFormat="1" ht="12.75" x14ac:dyDescent="0.2">
      <c r="C40" s="245"/>
      <c r="D40" s="246" t="s">
        <v>3</v>
      </c>
      <c r="E40" s="247" t="s">
        <v>81</v>
      </c>
      <c r="F40" s="247" t="s">
        <v>154</v>
      </c>
      <c r="G40" s="245"/>
      <c r="H40" s="245"/>
      <c r="I40" s="245"/>
      <c r="J40" s="248">
        <v>77626.47</v>
      </c>
      <c r="K40" s="243"/>
      <c r="L40" s="244"/>
      <c r="M40" s="279">
        <f>SUM(M41:M45)</f>
        <v>0</v>
      </c>
      <c r="N40" s="280"/>
      <c r="O40" s="244"/>
      <c r="P40" s="279">
        <f>SUM(P41:P45)</f>
        <v>77626.465499999991</v>
      </c>
      <c r="Q40" s="156"/>
      <c r="R40" s="109"/>
      <c r="S40" s="177"/>
      <c r="T40" s="201"/>
    </row>
    <row r="41" spans="1:20" s="109" customFormat="1" ht="36" x14ac:dyDescent="0.2">
      <c r="A41" s="97"/>
      <c r="B41" s="116"/>
      <c r="C41" s="117" t="s">
        <v>131</v>
      </c>
      <c r="D41" s="117" t="s">
        <v>69</v>
      </c>
      <c r="E41" s="118" t="s">
        <v>156</v>
      </c>
      <c r="F41" s="119" t="s">
        <v>157</v>
      </c>
      <c r="G41" s="120" t="s">
        <v>72</v>
      </c>
      <c r="H41" s="121">
        <v>49.774999999999999</v>
      </c>
      <c r="I41" s="122">
        <v>319.88</v>
      </c>
      <c r="J41" s="122">
        <v>15922.03</v>
      </c>
      <c r="K41" s="85">
        <v>0</v>
      </c>
      <c r="L41" s="86">
        <f t="shared" si="0"/>
        <v>319.88</v>
      </c>
      <c r="M41" s="277">
        <f t="shared" si="1"/>
        <v>0</v>
      </c>
      <c r="N41" s="87">
        <f t="shared" si="2"/>
        <v>49.774999999999999</v>
      </c>
      <c r="O41" s="88">
        <f t="shared" si="3"/>
        <v>319.88</v>
      </c>
      <c r="P41" s="278">
        <f t="shared" si="4"/>
        <v>15922.027</v>
      </c>
      <c r="Q41" s="152"/>
      <c r="T41" s="151"/>
    </row>
    <row r="42" spans="1:20" s="109" customFormat="1" ht="24" x14ac:dyDescent="0.2">
      <c r="A42" s="97"/>
      <c r="B42" s="116"/>
      <c r="C42" s="117" t="s">
        <v>135</v>
      </c>
      <c r="D42" s="117" t="s">
        <v>69</v>
      </c>
      <c r="E42" s="118" t="s">
        <v>162</v>
      </c>
      <c r="F42" s="119" t="s">
        <v>163</v>
      </c>
      <c r="G42" s="120" t="s">
        <v>72</v>
      </c>
      <c r="H42" s="121">
        <v>49.774999999999999</v>
      </c>
      <c r="I42" s="122">
        <v>155.66999999999999</v>
      </c>
      <c r="J42" s="122">
        <v>7748.47</v>
      </c>
      <c r="K42" s="85">
        <v>0</v>
      </c>
      <c r="L42" s="86">
        <f t="shared" si="0"/>
        <v>155.66999999999999</v>
      </c>
      <c r="M42" s="277">
        <f t="shared" si="1"/>
        <v>0</v>
      </c>
      <c r="N42" s="87">
        <f t="shared" si="2"/>
        <v>49.774999999999999</v>
      </c>
      <c r="O42" s="88">
        <f t="shared" si="3"/>
        <v>155.66999999999999</v>
      </c>
      <c r="P42" s="278">
        <f t="shared" si="4"/>
        <v>7748.4742499999993</v>
      </c>
      <c r="Q42" s="152"/>
      <c r="T42" s="151"/>
    </row>
    <row r="43" spans="1:20" s="109" customFormat="1" ht="24" x14ac:dyDescent="0.2">
      <c r="A43" s="97"/>
      <c r="B43" s="116"/>
      <c r="C43" s="117" t="s">
        <v>139</v>
      </c>
      <c r="D43" s="117" t="s">
        <v>69</v>
      </c>
      <c r="E43" s="118" t="s">
        <v>168</v>
      </c>
      <c r="F43" s="119" t="s">
        <v>169</v>
      </c>
      <c r="G43" s="120" t="s">
        <v>72</v>
      </c>
      <c r="H43" s="121">
        <v>76.924999999999997</v>
      </c>
      <c r="I43" s="122">
        <v>18.04</v>
      </c>
      <c r="J43" s="122">
        <v>1387.73</v>
      </c>
      <c r="K43" s="85">
        <v>0</v>
      </c>
      <c r="L43" s="86">
        <f t="shared" si="0"/>
        <v>18.04</v>
      </c>
      <c r="M43" s="277">
        <f t="shared" si="1"/>
        <v>0</v>
      </c>
      <c r="N43" s="87">
        <f t="shared" si="2"/>
        <v>76.924999999999997</v>
      </c>
      <c r="O43" s="88">
        <f t="shared" si="3"/>
        <v>18.04</v>
      </c>
      <c r="P43" s="278">
        <f t="shared" si="4"/>
        <v>1387.7269999999999</v>
      </c>
      <c r="Q43" s="151"/>
      <c r="T43" s="151"/>
    </row>
    <row r="44" spans="1:20" s="109" customFormat="1" ht="48" x14ac:dyDescent="0.2">
      <c r="A44" s="97"/>
      <c r="B44" s="116"/>
      <c r="C44" s="117" t="s">
        <v>142</v>
      </c>
      <c r="D44" s="117" t="s">
        <v>69</v>
      </c>
      <c r="E44" s="118" t="s">
        <v>171</v>
      </c>
      <c r="F44" s="119" t="s">
        <v>172</v>
      </c>
      <c r="G44" s="120" t="s">
        <v>72</v>
      </c>
      <c r="H44" s="121">
        <v>76.924999999999997</v>
      </c>
      <c r="I44" s="122">
        <v>396.71</v>
      </c>
      <c r="J44" s="122">
        <v>30516.92</v>
      </c>
      <c r="K44" s="85">
        <v>0</v>
      </c>
      <c r="L44" s="86">
        <f t="shared" si="0"/>
        <v>396.71</v>
      </c>
      <c r="M44" s="277">
        <f t="shared" si="1"/>
        <v>0</v>
      </c>
      <c r="N44" s="87">
        <f t="shared" si="2"/>
        <v>76.924999999999997</v>
      </c>
      <c r="O44" s="88">
        <f t="shared" si="3"/>
        <v>396.71</v>
      </c>
      <c r="P44" s="278">
        <f t="shared" si="4"/>
        <v>30516.916749999997</v>
      </c>
      <c r="Q44" s="151"/>
      <c r="T44" s="151"/>
    </row>
    <row r="45" spans="1:20" s="109" customFormat="1" ht="36" x14ac:dyDescent="0.2">
      <c r="A45" s="97"/>
      <c r="B45" s="116"/>
      <c r="C45" s="117" t="s">
        <v>145</v>
      </c>
      <c r="D45" s="117" t="s">
        <v>69</v>
      </c>
      <c r="E45" s="118" t="s">
        <v>174</v>
      </c>
      <c r="F45" s="119" t="s">
        <v>175</v>
      </c>
      <c r="G45" s="120" t="s">
        <v>72</v>
      </c>
      <c r="H45" s="121">
        <v>49.774999999999999</v>
      </c>
      <c r="I45" s="122">
        <v>443.02</v>
      </c>
      <c r="J45" s="122">
        <v>22051.32</v>
      </c>
      <c r="K45" s="85">
        <v>0</v>
      </c>
      <c r="L45" s="86">
        <f t="shared" si="0"/>
        <v>443.02</v>
      </c>
      <c r="M45" s="277">
        <f t="shared" si="1"/>
        <v>0</v>
      </c>
      <c r="N45" s="87">
        <f t="shared" si="2"/>
        <v>49.774999999999999</v>
      </c>
      <c r="O45" s="88">
        <f t="shared" si="3"/>
        <v>443.02</v>
      </c>
      <c r="P45" s="278">
        <f t="shared" si="4"/>
        <v>22051.320499999998</v>
      </c>
      <c r="Q45" s="151"/>
      <c r="T45" s="151"/>
    </row>
    <row r="46" spans="1:20" s="110" customFormat="1" ht="12.75" x14ac:dyDescent="0.2">
      <c r="C46" s="245"/>
      <c r="D46" s="246" t="s">
        <v>3</v>
      </c>
      <c r="E46" s="247" t="s">
        <v>90</v>
      </c>
      <c r="F46" s="247" t="s">
        <v>182</v>
      </c>
      <c r="G46" s="245"/>
      <c r="H46" s="245"/>
      <c r="I46" s="245"/>
      <c r="J46" s="248">
        <v>132759.26999999999</v>
      </c>
      <c r="K46" s="243"/>
      <c r="L46" s="244"/>
      <c r="M46" s="279">
        <f>SUM(M47:M61)</f>
        <v>522.84270000000004</v>
      </c>
      <c r="N46" s="280"/>
      <c r="O46" s="244"/>
      <c r="P46" s="279">
        <f>SUM(P47:P61)</f>
        <v>133282.10372999997</v>
      </c>
      <c r="Q46" s="173"/>
      <c r="S46" s="109"/>
      <c r="T46" s="153"/>
    </row>
    <row r="47" spans="1:20" s="109" customFormat="1" ht="36" x14ac:dyDescent="0.2">
      <c r="A47" s="97"/>
      <c r="B47" s="116"/>
      <c r="C47" s="117" t="s">
        <v>148</v>
      </c>
      <c r="D47" s="117" t="s">
        <v>69</v>
      </c>
      <c r="E47" s="118" t="s">
        <v>184</v>
      </c>
      <c r="F47" s="119" t="s">
        <v>185</v>
      </c>
      <c r="G47" s="120" t="s">
        <v>61</v>
      </c>
      <c r="H47" s="121">
        <v>45.25</v>
      </c>
      <c r="I47" s="122">
        <v>552.39</v>
      </c>
      <c r="J47" s="122">
        <v>24995.65</v>
      </c>
      <c r="K47" s="85">
        <f t="shared" ref="K47:K48" si="6">ROUND(45.5/45.25*H47-H47,2)</f>
        <v>0.25</v>
      </c>
      <c r="L47" s="86">
        <f t="shared" si="0"/>
        <v>552.39</v>
      </c>
      <c r="M47" s="277">
        <f t="shared" si="1"/>
        <v>138.0975</v>
      </c>
      <c r="N47" s="87">
        <f t="shared" si="2"/>
        <v>45.5</v>
      </c>
      <c r="O47" s="88">
        <f t="shared" si="3"/>
        <v>552.39</v>
      </c>
      <c r="P47" s="278">
        <f t="shared" si="4"/>
        <v>25133.744999999999</v>
      </c>
      <c r="Q47" s="151"/>
      <c r="T47" s="151"/>
    </row>
    <row r="48" spans="1:20" s="109" customFormat="1" ht="24" x14ac:dyDescent="0.2">
      <c r="A48" s="97"/>
      <c r="B48" s="116"/>
      <c r="C48" s="123" t="s">
        <v>151</v>
      </c>
      <c r="D48" s="123" t="s">
        <v>127</v>
      </c>
      <c r="E48" s="124" t="s">
        <v>187</v>
      </c>
      <c r="F48" s="125" t="s">
        <v>188</v>
      </c>
      <c r="G48" s="126" t="s">
        <v>61</v>
      </c>
      <c r="H48" s="127">
        <v>45.929000000000002</v>
      </c>
      <c r="I48" s="128">
        <v>1060.07</v>
      </c>
      <c r="J48" s="128">
        <v>48687.96</v>
      </c>
      <c r="K48" s="85">
        <f t="shared" si="6"/>
        <v>0.25</v>
      </c>
      <c r="L48" s="86">
        <f t="shared" si="0"/>
        <v>1060.07</v>
      </c>
      <c r="M48" s="277">
        <f t="shared" si="1"/>
        <v>265.01749999999998</v>
      </c>
      <c r="N48" s="87">
        <f t="shared" si="2"/>
        <v>46.179000000000002</v>
      </c>
      <c r="O48" s="88">
        <f t="shared" si="3"/>
        <v>1060.07</v>
      </c>
      <c r="P48" s="278">
        <f t="shared" si="4"/>
        <v>48952.972529999999</v>
      </c>
      <c r="Q48" s="151"/>
      <c r="T48" s="151"/>
    </row>
    <row r="49" spans="1:21" s="109" customFormat="1" ht="36" x14ac:dyDescent="0.2">
      <c r="A49" s="97"/>
      <c r="B49" s="116"/>
      <c r="C49" s="117" t="s">
        <v>155</v>
      </c>
      <c r="D49" s="117" t="s">
        <v>69</v>
      </c>
      <c r="E49" s="118" t="s">
        <v>202</v>
      </c>
      <c r="F49" s="119" t="s">
        <v>203</v>
      </c>
      <c r="G49" s="120" t="s">
        <v>138</v>
      </c>
      <c r="H49" s="121">
        <v>2</v>
      </c>
      <c r="I49" s="122">
        <v>260.41000000000003</v>
      </c>
      <c r="J49" s="122">
        <v>520.82000000000005</v>
      </c>
      <c r="K49" s="85">
        <v>0</v>
      </c>
      <c r="L49" s="86">
        <f t="shared" si="0"/>
        <v>260.41000000000003</v>
      </c>
      <c r="M49" s="277">
        <f t="shared" si="1"/>
        <v>0</v>
      </c>
      <c r="N49" s="87">
        <f t="shared" si="2"/>
        <v>2</v>
      </c>
      <c r="O49" s="88">
        <f t="shared" si="3"/>
        <v>260.41000000000003</v>
      </c>
      <c r="P49" s="278">
        <f t="shared" si="4"/>
        <v>520.82000000000005</v>
      </c>
      <c r="Q49" s="151"/>
      <c r="T49" s="151"/>
    </row>
    <row r="50" spans="1:21" s="109" customFormat="1" ht="36" x14ac:dyDescent="0.2">
      <c r="A50" s="97"/>
      <c r="B50" s="116"/>
      <c r="C50" s="123" t="s">
        <v>158</v>
      </c>
      <c r="D50" s="123" t="s">
        <v>127</v>
      </c>
      <c r="E50" s="124" t="s">
        <v>205</v>
      </c>
      <c r="F50" s="125" t="s">
        <v>206</v>
      </c>
      <c r="G50" s="126" t="s">
        <v>138</v>
      </c>
      <c r="H50" s="127">
        <v>2</v>
      </c>
      <c r="I50" s="128">
        <v>1801.85</v>
      </c>
      <c r="J50" s="128">
        <v>3603.7</v>
      </c>
      <c r="K50" s="85">
        <v>0</v>
      </c>
      <c r="L50" s="86">
        <f t="shared" si="0"/>
        <v>1801.85</v>
      </c>
      <c r="M50" s="277">
        <f t="shared" si="1"/>
        <v>0</v>
      </c>
      <c r="N50" s="87">
        <f t="shared" si="2"/>
        <v>2</v>
      </c>
      <c r="O50" s="88">
        <f t="shared" si="3"/>
        <v>1801.85</v>
      </c>
      <c r="P50" s="278">
        <f t="shared" si="4"/>
        <v>3603.7</v>
      </c>
      <c r="Q50" s="151"/>
      <c r="T50" s="151"/>
    </row>
    <row r="51" spans="1:21" s="109" customFormat="1" ht="24" x14ac:dyDescent="0.2">
      <c r="A51" s="97"/>
      <c r="B51" s="116"/>
      <c r="C51" s="117" t="s">
        <v>161</v>
      </c>
      <c r="D51" s="117" t="s">
        <v>69</v>
      </c>
      <c r="E51" s="118" t="s">
        <v>211</v>
      </c>
      <c r="F51" s="119" t="s">
        <v>212</v>
      </c>
      <c r="G51" s="120" t="s">
        <v>213</v>
      </c>
      <c r="H51" s="121">
        <v>1</v>
      </c>
      <c r="I51" s="122">
        <v>2564.6799999999998</v>
      </c>
      <c r="J51" s="122">
        <v>2564.6799999999998</v>
      </c>
      <c r="K51" s="85">
        <f t="shared" ref="K51" si="7">ROUND(45.5/45.25*H51-H51,2)</f>
        <v>0.01</v>
      </c>
      <c r="L51" s="86">
        <f t="shared" si="0"/>
        <v>2564.6799999999998</v>
      </c>
      <c r="M51" s="277">
        <f t="shared" si="1"/>
        <v>25.646799999999999</v>
      </c>
      <c r="N51" s="87">
        <f t="shared" si="2"/>
        <v>1.01</v>
      </c>
      <c r="O51" s="88">
        <f t="shared" si="3"/>
        <v>2564.6799999999998</v>
      </c>
      <c r="P51" s="278">
        <f t="shared" si="4"/>
        <v>2590.3267999999998</v>
      </c>
      <c r="Q51" s="151"/>
      <c r="T51" s="151"/>
    </row>
    <row r="52" spans="1:21" s="109" customFormat="1" ht="24" x14ac:dyDescent="0.2">
      <c r="A52" s="97"/>
      <c r="B52" s="116"/>
      <c r="C52" s="117" t="s">
        <v>164</v>
      </c>
      <c r="D52" s="117" t="s">
        <v>69</v>
      </c>
      <c r="E52" s="118" t="s">
        <v>215</v>
      </c>
      <c r="F52" s="119" t="s">
        <v>216</v>
      </c>
      <c r="G52" s="120" t="s">
        <v>138</v>
      </c>
      <c r="H52" s="121">
        <v>1</v>
      </c>
      <c r="I52" s="122">
        <v>2016.23</v>
      </c>
      <c r="J52" s="122">
        <v>2016.23</v>
      </c>
      <c r="K52" s="85">
        <v>0</v>
      </c>
      <c r="L52" s="86">
        <f t="shared" si="0"/>
        <v>2016.23</v>
      </c>
      <c r="M52" s="277">
        <f t="shared" si="1"/>
        <v>0</v>
      </c>
      <c r="N52" s="87">
        <f t="shared" si="2"/>
        <v>1</v>
      </c>
      <c r="O52" s="88">
        <f t="shared" si="3"/>
        <v>2016.23</v>
      </c>
      <c r="P52" s="278">
        <f t="shared" si="4"/>
        <v>2016.23</v>
      </c>
      <c r="Q52" s="151"/>
      <c r="T52" s="151"/>
    </row>
    <row r="53" spans="1:21" s="109" customFormat="1" ht="24" x14ac:dyDescent="0.2">
      <c r="A53" s="97"/>
      <c r="B53" s="116"/>
      <c r="C53" s="123" t="s">
        <v>167</v>
      </c>
      <c r="D53" s="123" t="s">
        <v>127</v>
      </c>
      <c r="E53" s="124" t="s">
        <v>221</v>
      </c>
      <c r="F53" s="125" t="s">
        <v>222</v>
      </c>
      <c r="G53" s="126" t="s">
        <v>138</v>
      </c>
      <c r="H53" s="127">
        <v>1</v>
      </c>
      <c r="I53" s="128">
        <v>14898.16</v>
      </c>
      <c r="J53" s="128">
        <v>14898.16</v>
      </c>
      <c r="K53" s="85">
        <v>0</v>
      </c>
      <c r="L53" s="86">
        <f t="shared" si="0"/>
        <v>14898.16</v>
      </c>
      <c r="M53" s="277">
        <f t="shared" si="1"/>
        <v>0</v>
      </c>
      <c r="N53" s="87">
        <f t="shared" si="2"/>
        <v>1</v>
      </c>
      <c r="O53" s="88">
        <f t="shared" si="3"/>
        <v>14898.16</v>
      </c>
      <c r="P53" s="278">
        <f t="shared" si="4"/>
        <v>14898.16</v>
      </c>
      <c r="Q53" s="151"/>
      <c r="T53" s="151"/>
    </row>
    <row r="54" spans="1:21" s="109" customFormat="1" ht="24" x14ac:dyDescent="0.2">
      <c r="A54" s="97"/>
      <c r="B54" s="116"/>
      <c r="C54" s="123" t="s">
        <v>170</v>
      </c>
      <c r="D54" s="123" t="s">
        <v>127</v>
      </c>
      <c r="E54" s="124" t="s">
        <v>224</v>
      </c>
      <c r="F54" s="125" t="s">
        <v>225</v>
      </c>
      <c r="G54" s="126" t="s">
        <v>138</v>
      </c>
      <c r="H54" s="127">
        <v>1</v>
      </c>
      <c r="I54" s="128">
        <v>1530.92</v>
      </c>
      <c r="J54" s="128">
        <v>1530.92</v>
      </c>
      <c r="K54" s="85">
        <v>0</v>
      </c>
      <c r="L54" s="86">
        <f t="shared" si="0"/>
        <v>1530.92</v>
      </c>
      <c r="M54" s="277">
        <f t="shared" si="1"/>
        <v>0</v>
      </c>
      <c r="N54" s="87">
        <f t="shared" si="2"/>
        <v>1</v>
      </c>
      <c r="O54" s="88">
        <f t="shared" si="3"/>
        <v>1530.92</v>
      </c>
      <c r="P54" s="278">
        <f t="shared" si="4"/>
        <v>1530.92</v>
      </c>
      <c r="Q54" s="151"/>
      <c r="T54" s="151"/>
    </row>
    <row r="55" spans="1:21" s="109" customFormat="1" ht="24" x14ac:dyDescent="0.2">
      <c r="A55" s="97"/>
      <c r="B55" s="116"/>
      <c r="C55" s="123" t="s">
        <v>173</v>
      </c>
      <c r="D55" s="123" t="s">
        <v>127</v>
      </c>
      <c r="E55" s="124" t="s">
        <v>230</v>
      </c>
      <c r="F55" s="125" t="s">
        <v>231</v>
      </c>
      <c r="G55" s="126" t="s">
        <v>138</v>
      </c>
      <c r="H55" s="127">
        <v>1</v>
      </c>
      <c r="I55" s="128">
        <v>1202.1099999999999</v>
      </c>
      <c r="J55" s="128">
        <v>1202.1099999999999</v>
      </c>
      <c r="K55" s="85">
        <v>0</v>
      </c>
      <c r="L55" s="86">
        <f t="shared" si="0"/>
        <v>1202.1099999999999</v>
      </c>
      <c r="M55" s="277">
        <f t="shared" si="1"/>
        <v>0</v>
      </c>
      <c r="N55" s="87">
        <f t="shared" si="2"/>
        <v>1</v>
      </c>
      <c r="O55" s="88">
        <f t="shared" si="3"/>
        <v>1202.1099999999999</v>
      </c>
      <c r="P55" s="278">
        <f t="shared" si="4"/>
        <v>1202.1099999999999</v>
      </c>
      <c r="Q55" s="151"/>
      <c r="T55" s="151"/>
    </row>
    <row r="56" spans="1:21" s="109" customFormat="1" ht="24" x14ac:dyDescent="0.2">
      <c r="A56" s="97"/>
      <c r="B56" s="116"/>
      <c r="C56" s="123" t="s">
        <v>176</v>
      </c>
      <c r="D56" s="123" t="s">
        <v>127</v>
      </c>
      <c r="E56" s="124" t="s">
        <v>236</v>
      </c>
      <c r="F56" s="125" t="s">
        <v>237</v>
      </c>
      <c r="G56" s="126" t="s">
        <v>138</v>
      </c>
      <c r="H56" s="127">
        <v>2</v>
      </c>
      <c r="I56" s="128">
        <v>211.75</v>
      </c>
      <c r="J56" s="128">
        <v>423.5</v>
      </c>
      <c r="K56" s="85">
        <v>0</v>
      </c>
      <c r="L56" s="86">
        <f t="shared" si="0"/>
        <v>211.75</v>
      </c>
      <c r="M56" s="277">
        <f t="shared" si="1"/>
        <v>0</v>
      </c>
      <c r="N56" s="87">
        <f t="shared" si="2"/>
        <v>2</v>
      </c>
      <c r="O56" s="88">
        <f t="shared" si="3"/>
        <v>211.75</v>
      </c>
      <c r="P56" s="278">
        <f t="shared" si="4"/>
        <v>423.5</v>
      </c>
      <c r="Q56" s="151"/>
      <c r="T56" s="151"/>
    </row>
    <row r="57" spans="1:21" s="109" customFormat="1" ht="36" x14ac:dyDescent="0.2">
      <c r="A57" s="97"/>
      <c r="B57" s="116"/>
      <c r="C57" s="117" t="s">
        <v>179</v>
      </c>
      <c r="D57" s="117" t="s">
        <v>69</v>
      </c>
      <c r="E57" s="118" t="s">
        <v>239</v>
      </c>
      <c r="F57" s="119" t="s">
        <v>240</v>
      </c>
      <c r="G57" s="120" t="s">
        <v>138</v>
      </c>
      <c r="H57" s="121">
        <v>1</v>
      </c>
      <c r="I57" s="122">
        <v>5935.59</v>
      </c>
      <c r="J57" s="122">
        <v>5935.59</v>
      </c>
      <c r="K57" s="85">
        <v>0</v>
      </c>
      <c r="L57" s="86">
        <f t="shared" si="0"/>
        <v>5935.59</v>
      </c>
      <c r="M57" s="277">
        <f t="shared" si="1"/>
        <v>0</v>
      </c>
      <c r="N57" s="87">
        <f t="shared" si="2"/>
        <v>1</v>
      </c>
      <c r="O57" s="88">
        <f t="shared" si="3"/>
        <v>5935.59</v>
      </c>
      <c r="P57" s="278">
        <f t="shared" si="4"/>
        <v>5935.59</v>
      </c>
      <c r="Q57" s="151"/>
      <c r="T57" s="151"/>
    </row>
    <row r="58" spans="1:21" s="109" customFormat="1" ht="24" x14ac:dyDescent="0.2">
      <c r="A58" s="97"/>
      <c r="B58" s="116"/>
      <c r="C58" s="117" t="s">
        <v>183</v>
      </c>
      <c r="D58" s="117" t="s">
        <v>69</v>
      </c>
      <c r="E58" s="118" t="s">
        <v>242</v>
      </c>
      <c r="F58" s="119" t="s">
        <v>243</v>
      </c>
      <c r="G58" s="120" t="s">
        <v>138</v>
      </c>
      <c r="H58" s="121">
        <v>1</v>
      </c>
      <c r="I58" s="122">
        <v>485.32</v>
      </c>
      <c r="J58" s="122">
        <v>485.32</v>
      </c>
      <c r="K58" s="85">
        <v>0</v>
      </c>
      <c r="L58" s="86">
        <f t="shared" si="0"/>
        <v>485.32</v>
      </c>
      <c r="M58" s="277">
        <f t="shared" si="1"/>
        <v>0</v>
      </c>
      <c r="N58" s="87">
        <f t="shared" si="2"/>
        <v>1</v>
      </c>
      <c r="O58" s="88">
        <f t="shared" si="3"/>
        <v>485.32</v>
      </c>
      <c r="P58" s="278">
        <f t="shared" si="4"/>
        <v>485.32</v>
      </c>
      <c r="Q58" s="151"/>
      <c r="T58" s="151"/>
    </row>
    <row r="59" spans="1:21" s="109" customFormat="1" ht="12" x14ac:dyDescent="0.2">
      <c r="A59" s="97"/>
      <c r="B59" s="116"/>
      <c r="C59" s="123" t="s">
        <v>186</v>
      </c>
      <c r="D59" s="123" t="s">
        <v>127</v>
      </c>
      <c r="E59" s="124" t="s">
        <v>311</v>
      </c>
      <c r="F59" s="125" t="s">
        <v>312</v>
      </c>
      <c r="G59" s="126" t="s">
        <v>138</v>
      </c>
      <c r="H59" s="127">
        <v>1</v>
      </c>
      <c r="I59" s="128">
        <v>6510.34</v>
      </c>
      <c r="J59" s="128">
        <v>6510.34</v>
      </c>
      <c r="K59" s="85">
        <v>0</v>
      </c>
      <c r="L59" s="86">
        <f t="shared" si="0"/>
        <v>6510.34</v>
      </c>
      <c r="M59" s="277">
        <f t="shared" si="1"/>
        <v>0</v>
      </c>
      <c r="N59" s="87">
        <f t="shared" si="2"/>
        <v>1</v>
      </c>
      <c r="O59" s="88">
        <f t="shared" si="3"/>
        <v>6510.34</v>
      </c>
      <c r="P59" s="278">
        <f t="shared" si="4"/>
        <v>6510.34</v>
      </c>
      <c r="Q59" s="151"/>
    </row>
    <row r="60" spans="1:21" s="109" customFormat="1" ht="24" x14ac:dyDescent="0.2">
      <c r="A60" s="97"/>
      <c r="B60" s="116"/>
      <c r="C60" s="117" t="s">
        <v>189</v>
      </c>
      <c r="D60" s="117" t="s">
        <v>69</v>
      </c>
      <c r="E60" s="118" t="s">
        <v>254</v>
      </c>
      <c r="F60" s="119" t="s">
        <v>255</v>
      </c>
      <c r="G60" s="120" t="s">
        <v>62</v>
      </c>
      <c r="H60" s="121">
        <v>6.2</v>
      </c>
      <c r="I60" s="122">
        <v>3059.28</v>
      </c>
      <c r="J60" s="122">
        <v>18967.54</v>
      </c>
      <c r="K60" s="85">
        <f t="shared" ref="K60:K61" si="8">ROUND(45.5/45.25*H60-H60,2)</f>
        <v>0.03</v>
      </c>
      <c r="L60" s="86">
        <f t="shared" si="0"/>
        <v>3059.28</v>
      </c>
      <c r="M60" s="277">
        <f t="shared" si="1"/>
        <v>91.778400000000005</v>
      </c>
      <c r="N60" s="87">
        <f t="shared" si="2"/>
        <v>6.23</v>
      </c>
      <c r="O60" s="88">
        <f t="shared" si="3"/>
        <v>3059.28</v>
      </c>
      <c r="P60" s="278">
        <f t="shared" si="4"/>
        <v>19059.314400000003</v>
      </c>
      <c r="Q60" s="151"/>
      <c r="S60" s="148" t="s">
        <v>1172</v>
      </c>
      <c r="T60" s="109" t="s">
        <v>1237</v>
      </c>
      <c r="U60" s="148" t="s">
        <v>1253</v>
      </c>
    </row>
    <row r="61" spans="1:21" s="109" customFormat="1" ht="24" x14ac:dyDescent="0.2">
      <c r="A61" s="97"/>
      <c r="B61" s="116"/>
      <c r="C61" s="117" t="s">
        <v>192</v>
      </c>
      <c r="D61" s="117" t="s">
        <v>69</v>
      </c>
      <c r="E61" s="118" t="s">
        <v>266</v>
      </c>
      <c r="F61" s="119" t="s">
        <v>267</v>
      </c>
      <c r="G61" s="120" t="s">
        <v>61</v>
      </c>
      <c r="H61" s="121">
        <v>45.25</v>
      </c>
      <c r="I61" s="122">
        <v>9.2100000000000009</v>
      </c>
      <c r="J61" s="122">
        <v>416.75</v>
      </c>
      <c r="K61" s="85">
        <f t="shared" si="8"/>
        <v>0.25</v>
      </c>
      <c r="L61" s="86">
        <f t="shared" si="0"/>
        <v>9.2100000000000009</v>
      </c>
      <c r="M61" s="277">
        <f t="shared" si="1"/>
        <v>2.3025000000000002</v>
      </c>
      <c r="N61" s="87">
        <f t="shared" si="2"/>
        <v>45.5</v>
      </c>
      <c r="O61" s="88">
        <f t="shared" si="3"/>
        <v>9.2100000000000009</v>
      </c>
      <c r="P61" s="278">
        <f t="shared" si="4"/>
        <v>419.05500000000006</v>
      </c>
      <c r="Q61" s="151"/>
    </row>
    <row r="62" spans="1:21" s="110" customFormat="1" ht="12.75" x14ac:dyDescent="0.2">
      <c r="C62" s="245"/>
      <c r="D62" s="246" t="s">
        <v>3</v>
      </c>
      <c r="E62" s="247" t="s">
        <v>93</v>
      </c>
      <c r="F62" s="247" t="s">
        <v>268</v>
      </c>
      <c r="G62" s="245"/>
      <c r="H62" s="245"/>
      <c r="I62" s="245"/>
      <c r="J62" s="248">
        <v>28514.910000000003</v>
      </c>
      <c r="K62" s="243"/>
      <c r="L62" s="244"/>
      <c r="M62" s="279">
        <f>SUM(M63:M66)</f>
        <v>0</v>
      </c>
      <c r="N62" s="280"/>
      <c r="O62" s="244"/>
      <c r="P62" s="279">
        <f>SUM(P63:P66)</f>
        <v>28514.905000000002</v>
      </c>
      <c r="Q62" s="173"/>
      <c r="S62" s="109"/>
    </row>
    <row r="63" spans="1:21" s="109" customFormat="1" ht="48" x14ac:dyDescent="0.2">
      <c r="A63" s="97"/>
      <c r="B63" s="116"/>
      <c r="C63" s="117" t="s">
        <v>195</v>
      </c>
      <c r="D63" s="117" t="s">
        <v>69</v>
      </c>
      <c r="E63" s="118" t="s">
        <v>270</v>
      </c>
      <c r="F63" s="119" t="s">
        <v>271</v>
      </c>
      <c r="G63" s="120" t="s">
        <v>61</v>
      </c>
      <c r="H63" s="121">
        <v>90.5</v>
      </c>
      <c r="I63" s="122">
        <v>87.65</v>
      </c>
      <c r="J63" s="122">
        <v>7932.33</v>
      </c>
      <c r="K63" s="85">
        <v>0</v>
      </c>
      <c r="L63" s="86">
        <f t="shared" si="0"/>
        <v>87.65</v>
      </c>
      <c r="M63" s="277">
        <f t="shared" si="1"/>
        <v>0</v>
      </c>
      <c r="N63" s="87">
        <f t="shared" si="2"/>
        <v>90.5</v>
      </c>
      <c r="O63" s="88">
        <f t="shared" si="3"/>
        <v>87.65</v>
      </c>
      <c r="P63" s="278">
        <f t="shared" si="4"/>
        <v>7932.3250000000007</v>
      </c>
      <c r="Q63" s="151"/>
    </row>
    <row r="64" spans="1:21" s="109" customFormat="1" ht="36" x14ac:dyDescent="0.2">
      <c r="A64" s="97"/>
      <c r="B64" s="116"/>
      <c r="C64" s="117" t="s">
        <v>198</v>
      </c>
      <c r="D64" s="117" t="s">
        <v>69</v>
      </c>
      <c r="E64" s="118" t="s">
        <v>273</v>
      </c>
      <c r="F64" s="119" t="s">
        <v>274</v>
      </c>
      <c r="G64" s="120" t="s">
        <v>61</v>
      </c>
      <c r="H64" s="121">
        <v>181</v>
      </c>
      <c r="I64" s="122">
        <v>32.22</v>
      </c>
      <c r="J64" s="122">
        <v>5831.82</v>
      </c>
      <c r="K64" s="85">
        <v>0</v>
      </c>
      <c r="L64" s="86">
        <f t="shared" si="0"/>
        <v>32.22</v>
      </c>
      <c r="M64" s="277">
        <f t="shared" si="1"/>
        <v>0</v>
      </c>
      <c r="N64" s="87">
        <f t="shared" si="2"/>
        <v>181</v>
      </c>
      <c r="O64" s="88">
        <f t="shared" si="3"/>
        <v>32.22</v>
      </c>
      <c r="P64" s="278">
        <f t="shared" si="4"/>
        <v>5831.82</v>
      </c>
      <c r="Q64" s="151"/>
    </row>
    <row r="65" spans="1:21" s="109" customFormat="1" ht="24" x14ac:dyDescent="0.2">
      <c r="A65" s="97"/>
      <c r="B65" s="116"/>
      <c r="C65" s="117" t="s">
        <v>201</v>
      </c>
      <c r="D65" s="117" t="s">
        <v>69</v>
      </c>
      <c r="E65" s="118" t="s">
        <v>276</v>
      </c>
      <c r="F65" s="119" t="s">
        <v>277</v>
      </c>
      <c r="G65" s="120" t="s">
        <v>61</v>
      </c>
      <c r="H65" s="121">
        <v>181</v>
      </c>
      <c r="I65" s="122">
        <v>72.34</v>
      </c>
      <c r="J65" s="122">
        <v>13093.54</v>
      </c>
      <c r="K65" s="85">
        <v>0</v>
      </c>
      <c r="L65" s="86">
        <f t="shared" si="0"/>
        <v>72.34</v>
      </c>
      <c r="M65" s="277">
        <f t="shared" si="1"/>
        <v>0</v>
      </c>
      <c r="N65" s="87">
        <f t="shared" si="2"/>
        <v>181</v>
      </c>
      <c r="O65" s="88">
        <f t="shared" si="3"/>
        <v>72.34</v>
      </c>
      <c r="P65" s="278">
        <f t="shared" si="4"/>
        <v>13093.54</v>
      </c>
      <c r="Q65" s="151"/>
    </row>
    <row r="66" spans="1:21" s="109" customFormat="1" ht="48" x14ac:dyDescent="0.2">
      <c r="A66" s="97"/>
      <c r="B66" s="116"/>
      <c r="C66" s="117" t="s">
        <v>204</v>
      </c>
      <c r="D66" s="117" t="s">
        <v>69</v>
      </c>
      <c r="E66" s="118" t="s">
        <v>279</v>
      </c>
      <c r="F66" s="119" t="s">
        <v>280</v>
      </c>
      <c r="G66" s="120" t="s">
        <v>138</v>
      </c>
      <c r="H66" s="121">
        <v>1</v>
      </c>
      <c r="I66" s="122">
        <v>1657.22</v>
      </c>
      <c r="J66" s="122">
        <v>1657.22</v>
      </c>
      <c r="K66" s="85">
        <v>0</v>
      </c>
      <c r="L66" s="86">
        <f t="shared" si="0"/>
        <v>1657.22</v>
      </c>
      <c r="M66" s="277">
        <f t="shared" si="1"/>
        <v>0</v>
      </c>
      <c r="N66" s="87">
        <f t="shared" si="2"/>
        <v>1</v>
      </c>
      <c r="O66" s="88">
        <f t="shared" si="3"/>
        <v>1657.22</v>
      </c>
      <c r="P66" s="278">
        <f t="shared" si="4"/>
        <v>1657.22</v>
      </c>
    </row>
    <row r="67" spans="1:21" s="110" customFormat="1" ht="12.75" x14ac:dyDescent="0.2">
      <c r="C67" s="245"/>
      <c r="D67" s="246" t="s">
        <v>3</v>
      </c>
      <c r="E67" s="247" t="s">
        <v>281</v>
      </c>
      <c r="F67" s="247" t="s">
        <v>282</v>
      </c>
      <c r="G67" s="245"/>
      <c r="H67" s="245"/>
      <c r="I67" s="245"/>
      <c r="J67" s="248">
        <v>16378.18</v>
      </c>
      <c r="K67" s="243"/>
      <c r="L67" s="244"/>
      <c r="M67" s="279">
        <f>SUM(M68:M70)</f>
        <v>69.114800000000002</v>
      </c>
      <c r="N67" s="280"/>
      <c r="O67" s="244"/>
      <c r="P67" s="279">
        <f>SUM(P68:P70)</f>
        <v>16447.298240000004</v>
      </c>
      <c r="Q67" s="156"/>
      <c r="S67" s="109"/>
    </row>
    <row r="68" spans="1:21" s="109" customFormat="1" ht="36" x14ac:dyDescent="0.2">
      <c r="A68" s="97"/>
      <c r="B68" s="116"/>
      <c r="C68" s="117" t="s">
        <v>207</v>
      </c>
      <c r="D68" s="117" t="s">
        <v>69</v>
      </c>
      <c r="E68" s="118" t="s">
        <v>284</v>
      </c>
      <c r="F68" s="119" t="s">
        <v>285</v>
      </c>
      <c r="G68" s="120" t="s">
        <v>120</v>
      </c>
      <c r="H68" s="121">
        <v>51.06</v>
      </c>
      <c r="I68" s="122">
        <v>136.36000000000001</v>
      </c>
      <c r="J68" s="122">
        <v>6962.54</v>
      </c>
      <c r="K68" s="85">
        <f t="shared" ref="K68" si="9">ROUND(45.5/45.25*H68-H68,2)</f>
        <v>0.28000000000000003</v>
      </c>
      <c r="L68" s="86">
        <f t="shared" si="0"/>
        <v>136.36000000000001</v>
      </c>
      <c r="M68" s="277">
        <f t="shared" si="1"/>
        <v>38.180800000000005</v>
      </c>
      <c r="N68" s="87">
        <f t="shared" si="2"/>
        <v>51.34</v>
      </c>
      <c r="O68" s="88">
        <f t="shared" si="3"/>
        <v>136.36000000000001</v>
      </c>
      <c r="P68" s="278">
        <f t="shared" si="4"/>
        <v>7000.7224000000015</v>
      </c>
      <c r="S68" s="148" t="s">
        <v>1136</v>
      </c>
      <c r="T68" s="345" t="s">
        <v>1233</v>
      </c>
      <c r="U68" s="327" t="s">
        <v>1252</v>
      </c>
    </row>
    <row r="69" spans="1:21" s="109" customFormat="1" ht="48" x14ac:dyDescent="0.2">
      <c r="A69" s="97"/>
      <c r="B69" s="116"/>
      <c r="C69" s="117" t="s">
        <v>210</v>
      </c>
      <c r="D69" s="117" t="s">
        <v>69</v>
      </c>
      <c r="E69" s="118" t="s">
        <v>287</v>
      </c>
      <c r="F69" s="119" t="s">
        <v>288</v>
      </c>
      <c r="G69" s="120" t="s">
        <v>120</v>
      </c>
      <c r="H69" s="121">
        <v>14.724</v>
      </c>
      <c r="I69" s="122">
        <v>257.77999999999997</v>
      </c>
      <c r="J69" s="122">
        <v>3795.55</v>
      </c>
      <c r="K69" s="85">
        <v>0</v>
      </c>
      <c r="L69" s="86">
        <f t="shared" si="0"/>
        <v>257.77999999999997</v>
      </c>
      <c r="M69" s="277">
        <f t="shared" si="1"/>
        <v>0</v>
      </c>
      <c r="N69" s="87">
        <f t="shared" si="2"/>
        <v>14.724</v>
      </c>
      <c r="O69" s="88">
        <f t="shared" si="3"/>
        <v>257.77999999999997</v>
      </c>
      <c r="P69" s="278">
        <f t="shared" si="4"/>
        <v>3795.5527199999997</v>
      </c>
      <c r="S69" s="148" t="s">
        <v>1136</v>
      </c>
      <c r="T69" s="345"/>
      <c r="U69" s="327"/>
    </row>
    <row r="70" spans="1:21" s="109" customFormat="1" ht="36" x14ac:dyDescent="0.2">
      <c r="A70" s="97"/>
      <c r="B70" s="116"/>
      <c r="C70" s="117" t="s">
        <v>214</v>
      </c>
      <c r="D70" s="117" t="s">
        <v>69</v>
      </c>
      <c r="E70" s="118" t="s">
        <v>290</v>
      </c>
      <c r="F70" s="119" t="s">
        <v>119</v>
      </c>
      <c r="G70" s="120" t="s">
        <v>120</v>
      </c>
      <c r="H70" s="121">
        <v>36.335999999999999</v>
      </c>
      <c r="I70" s="122">
        <v>154.66999999999999</v>
      </c>
      <c r="J70" s="122">
        <v>5620.09</v>
      </c>
      <c r="K70" s="85">
        <f t="shared" ref="K70" si="10">ROUND(45.5/45.25*H70-H70,2)</f>
        <v>0.2</v>
      </c>
      <c r="L70" s="86">
        <f t="shared" si="0"/>
        <v>154.66999999999999</v>
      </c>
      <c r="M70" s="277">
        <f t="shared" si="1"/>
        <v>30.933999999999997</v>
      </c>
      <c r="N70" s="87">
        <f t="shared" si="2"/>
        <v>36.536000000000001</v>
      </c>
      <c r="O70" s="88">
        <f t="shared" si="3"/>
        <v>154.66999999999999</v>
      </c>
      <c r="P70" s="278">
        <f t="shared" si="4"/>
        <v>5651.0231199999998</v>
      </c>
      <c r="R70" s="148" t="s">
        <v>1137</v>
      </c>
    </row>
    <row r="71" spans="1:21" s="110" customFormat="1" ht="12.75" x14ac:dyDescent="0.2">
      <c r="C71" s="245"/>
      <c r="D71" s="246" t="s">
        <v>3</v>
      </c>
      <c r="E71" s="247" t="s">
        <v>291</v>
      </c>
      <c r="F71" s="247" t="s">
        <v>292</v>
      </c>
      <c r="G71" s="245"/>
      <c r="H71" s="245"/>
      <c r="I71" s="245"/>
      <c r="J71" s="248">
        <v>1211.5899999999999</v>
      </c>
      <c r="K71" s="243"/>
      <c r="L71" s="244"/>
      <c r="M71" s="279">
        <f>M72</f>
        <v>6.8651999999999997</v>
      </c>
      <c r="N71" s="280"/>
      <c r="O71" s="244"/>
      <c r="P71" s="279">
        <f>P72</f>
        <v>1218.4585800000002</v>
      </c>
      <c r="Q71" s="156"/>
      <c r="S71" s="109"/>
    </row>
    <row r="72" spans="1:21" s="109" customFormat="1" ht="36" x14ac:dyDescent="0.2">
      <c r="A72" s="97"/>
      <c r="B72" s="116"/>
      <c r="C72" s="117" t="s">
        <v>217</v>
      </c>
      <c r="D72" s="117" t="s">
        <v>69</v>
      </c>
      <c r="E72" s="118" t="s">
        <v>294</v>
      </c>
      <c r="F72" s="119" t="s">
        <v>295</v>
      </c>
      <c r="G72" s="120" t="s">
        <v>120</v>
      </c>
      <c r="H72" s="121">
        <v>10.589</v>
      </c>
      <c r="I72" s="122">
        <v>114.42</v>
      </c>
      <c r="J72" s="122">
        <v>1211.5899999999999</v>
      </c>
      <c r="K72" s="85">
        <f t="shared" ref="K72" si="11">ROUND(45.5/45.25*H72-H72,2)</f>
        <v>0.06</v>
      </c>
      <c r="L72" s="86">
        <f t="shared" si="0"/>
        <v>114.42</v>
      </c>
      <c r="M72" s="277">
        <f t="shared" si="1"/>
        <v>6.8651999999999997</v>
      </c>
      <c r="N72" s="87">
        <f t="shared" si="2"/>
        <v>10.649000000000001</v>
      </c>
      <c r="O72" s="88">
        <f t="shared" si="3"/>
        <v>114.42</v>
      </c>
      <c r="P72" s="278">
        <f t="shared" si="4"/>
        <v>1218.4585800000002</v>
      </c>
      <c r="S72" s="148" t="s">
        <v>1217</v>
      </c>
      <c r="T72" s="109" t="s">
        <v>1238</v>
      </c>
      <c r="U72" s="148" t="s">
        <v>1252</v>
      </c>
    </row>
    <row r="74" spans="1:21" ht="18" customHeight="1" x14ac:dyDescent="0.2">
      <c r="D74" s="89"/>
      <c r="E74" s="141" t="str">
        <f>CONCATENATE("CELKEM ",C$12)</f>
        <v>CELKEM 12 - SO 01.K - Stoka A.5</v>
      </c>
      <c r="F74" s="90"/>
      <c r="G74" s="90"/>
      <c r="H74" s="91"/>
      <c r="I74" s="90"/>
      <c r="J74" s="92">
        <v>415443.99</v>
      </c>
      <c r="K74" s="94"/>
      <c r="L74" s="92"/>
      <c r="M74" s="147">
        <f>M71+M67+M62+M46+M40+M37+M14+M35</f>
        <v>1420.3229000000003</v>
      </c>
      <c r="N74" s="147"/>
      <c r="O74" s="147"/>
      <c r="P74" s="147">
        <f>P71+P67+P62+P46+P40+P37+P14+P35</f>
        <v>416864.31379999995</v>
      </c>
    </row>
    <row r="75" spans="1:21" x14ac:dyDescent="0.2">
      <c r="I75" s="95"/>
    </row>
    <row r="76" spans="1:21" ht="14.25" x14ac:dyDescent="0.2">
      <c r="E76" s="58" t="s">
        <v>994</v>
      </c>
      <c r="F76" s="58"/>
      <c r="H76" s="96"/>
      <c r="J76" s="161" t="e">
        <f>+'Rekapitulace stavby'!#REF!</f>
        <v>#REF!</v>
      </c>
      <c r="K76" s="58" t="s">
        <v>995</v>
      </c>
    </row>
  </sheetData>
  <protectedRanges>
    <protectedRange password="CCAA" sqref="K8" name="Oblast1_1_1_1"/>
    <protectedRange password="CCAA" sqref="D11:H11" name="Oblast1_2_1"/>
    <protectedRange password="CCAA" sqref="D9:H10" name="Oblast1_2_1_1"/>
  </protectedRanges>
  <autoFilter ref="C10:P72" xr:uid="{92288656-ECC5-4FE1-B080-8BBDB32654D2}"/>
  <mergeCells count="5">
    <mergeCell ref="K9:M9"/>
    <mergeCell ref="N9:P9"/>
    <mergeCell ref="U68:U69"/>
    <mergeCell ref="T68:T69"/>
    <mergeCell ref="S11:S13"/>
  </mergeCells>
  <conditionalFormatting sqref="D3:E7 H3:J7 K8:GF8 Q9:GF9 R11:GF11 R10 U10:GF10 D1:J2 K1:GE7 K15:L72">
    <cfRule type="cellIs" dxfId="236" priority="92" operator="lessThan">
      <formula>0</formula>
    </cfRule>
  </conditionalFormatting>
  <conditionalFormatting sqref="G4">
    <cfRule type="cellIs" dxfId="235" priority="91" operator="lessThan">
      <formula>0</formula>
    </cfRule>
  </conditionalFormatting>
  <conditionalFormatting sqref="G3">
    <cfRule type="cellIs" dxfId="234" priority="90" operator="lessThan">
      <formula>0</formula>
    </cfRule>
  </conditionalFormatting>
  <conditionalFormatting sqref="D11:J11 D8:E8 H8:J8">
    <cfRule type="cellIs" dxfId="233" priority="89" operator="lessThan">
      <formula>0</formula>
    </cfRule>
  </conditionalFormatting>
  <conditionalFormatting sqref="K11:L11">
    <cfRule type="cellIs" dxfId="232" priority="45" operator="lessThan">
      <formula>0</formula>
    </cfRule>
  </conditionalFormatting>
  <conditionalFormatting sqref="M11:P11">
    <cfRule type="cellIs" dxfId="231" priority="44" operator="lessThan">
      <formula>0</formula>
    </cfRule>
  </conditionalFormatting>
  <conditionalFormatting sqref="N15:O72">
    <cfRule type="cellIs" dxfId="230" priority="40" operator="lessThan">
      <formula>0</formula>
    </cfRule>
  </conditionalFormatting>
  <conditionalFormatting sqref="N15:O72">
    <cfRule type="cellIs" dxfId="229" priority="39" operator="lessThan">
      <formula>0</formula>
    </cfRule>
  </conditionalFormatting>
  <conditionalFormatting sqref="K74 Q74:GP74">
    <cfRule type="cellIs" dxfId="228" priority="38" operator="lessThan">
      <formula>0</formula>
    </cfRule>
  </conditionalFormatting>
  <conditionalFormatting sqref="D74:J74">
    <cfRule type="cellIs" dxfId="227" priority="36" operator="lessThan">
      <formula>0</formula>
    </cfRule>
  </conditionalFormatting>
  <conditionalFormatting sqref="L76:HS76 D76 G76:I76">
    <cfRule type="cellIs" dxfId="226" priority="26" operator="lessThan">
      <formula>0</formula>
    </cfRule>
  </conditionalFormatting>
  <conditionalFormatting sqref="G76:I76 L76:M76">
    <cfRule type="cellIs" dxfId="225" priority="25" operator="lessThan">
      <formula>0</formula>
    </cfRule>
  </conditionalFormatting>
  <conditionalFormatting sqref="G76:I76">
    <cfRule type="cellIs" dxfId="224" priority="24" operator="lessThan">
      <formula>0</formula>
    </cfRule>
  </conditionalFormatting>
  <conditionalFormatting sqref="G76:I76">
    <cfRule type="cellIs" dxfId="223" priority="23" operator="lessThan">
      <formula>0</formula>
    </cfRule>
  </conditionalFormatting>
  <conditionalFormatting sqref="M74:P74">
    <cfRule type="cellIs" dxfId="222" priority="13" operator="lessThan">
      <formula>0</formula>
    </cfRule>
  </conditionalFormatting>
  <conditionalFormatting sqref="L74">
    <cfRule type="cellIs" dxfId="221" priority="10" operator="lessThan">
      <formula>0</formula>
    </cfRule>
  </conditionalFormatting>
  <conditionalFormatting sqref="Q10:Q11">
    <cfRule type="cellIs" dxfId="220" priority="8" operator="lessThan">
      <formula>0</formula>
    </cfRule>
  </conditionalFormatting>
  <conditionalFormatting sqref="S10">
    <cfRule type="cellIs" dxfId="219" priority="7" operator="lessThan">
      <formula>0</formula>
    </cfRule>
  </conditionalFormatting>
  <conditionalFormatting sqref="T10">
    <cfRule type="cellIs" dxfId="218" priority="6" operator="lessThan">
      <formula>0</formula>
    </cfRule>
  </conditionalFormatting>
  <conditionalFormatting sqref="D9:J10">
    <cfRule type="cellIs" dxfId="217" priority="5" operator="lessThan">
      <formula>0</formula>
    </cfRule>
  </conditionalFormatting>
  <conditionalFormatting sqref="N9">
    <cfRule type="cellIs" dxfId="216" priority="4" operator="lessThan">
      <formula>0</formula>
    </cfRule>
  </conditionalFormatting>
  <conditionalFormatting sqref="K10:L10 K9">
    <cfRule type="cellIs" dxfId="215" priority="3" operator="lessThan">
      <formula>0</formula>
    </cfRule>
  </conditionalFormatting>
  <conditionalFormatting sqref="M10:N10">
    <cfRule type="cellIs" dxfId="214" priority="2" operator="lessThan">
      <formula>0</formula>
    </cfRule>
  </conditionalFormatting>
  <conditionalFormatting sqref="O10:P10">
    <cfRule type="cellIs" dxfId="213" priority="1" operator="lessThan">
      <formula>0</formula>
    </cfRule>
  </conditionalFormatting>
  <pageMargins left="0.39370078740157483" right="0.39370078740157483" top="0.39370078740157483" bottom="0.39370078740157483" header="0" footer="0"/>
  <pageSetup paperSize="9" scale="50" fitToHeight="0" orientation="portrait" r:id="rId1"/>
  <headerFooter>
    <oddFooter>&amp;CStrana &amp;P z &amp;N</oddFooter>
  </headerFooter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rgb="FF00B0F0"/>
    <pageSetUpPr fitToPage="1"/>
  </sheetPr>
  <dimension ref="A1:AB115"/>
  <sheetViews>
    <sheetView showGridLines="0" view="pageBreakPreview" topLeftCell="B92" zoomScale="85" zoomScaleNormal="100" zoomScaleSheetLayoutView="85" workbookViewId="0">
      <selection sqref="A1:A1048576"/>
    </sheetView>
  </sheetViews>
  <sheetFormatPr defaultColWidth="9.33203125" defaultRowHeight="11.25" x14ac:dyDescent="0.2"/>
  <cols>
    <col min="1" max="1" width="8.33203125" style="60" hidden="1" customWidth="1"/>
    <col min="2" max="2" width="1.6640625" style="60" customWidth="1"/>
    <col min="3" max="3" width="4.1640625" style="60" customWidth="1"/>
    <col min="4" max="4" width="4.33203125" style="60" customWidth="1"/>
    <col min="5" max="5" width="17.1640625" style="60" customWidth="1"/>
    <col min="6" max="6" width="50.83203125" style="60" customWidth="1"/>
    <col min="7" max="7" width="7" style="60" customWidth="1"/>
    <col min="8" max="8" width="11.5" style="60" customWidth="1"/>
    <col min="9" max="10" width="20.1640625" style="60" customWidth="1"/>
    <col min="11" max="14" width="17.1640625" style="60" customWidth="1"/>
    <col min="15" max="15" width="21.6640625" style="60" bestFit="1" customWidth="1"/>
    <col min="16" max="16" width="21" style="60" bestFit="1" customWidth="1"/>
    <col min="17" max="17" width="34.33203125" style="164" bestFit="1" customWidth="1"/>
    <col min="18" max="18" width="22" style="60" bestFit="1" customWidth="1"/>
    <col min="19" max="19" width="20.5" style="60" bestFit="1" customWidth="1"/>
    <col min="20" max="20" width="0" style="60" hidden="1" customWidth="1"/>
    <col min="21" max="21" width="255.83203125" style="60" bestFit="1" customWidth="1"/>
    <col min="22" max="22" width="117.1640625" style="60" bestFit="1" customWidth="1"/>
    <col min="23" max="23" width="16.83203125" style="60" bestFit="1" customWidth="1"/>
    <col min="24" max="24" width="0" style="60" hidden="1" customWidth="1"/>
    <col min="25" max="25" width="18.33203125" style="60" bestFit="1" customWidth="1"/>
    <col min="26" max="26" width="5.83203125" style="60" bestFit="1" customWidth="1"/>
    <col min="27" max="27" width="3.33203125" style="60" bestFit="1" customWidth="1"/>
    <col min="28" max="28" width="26.33203125" style="60" hidden="1" customWidth="1"/>
    <col min="29" max="16384" width="9.33203125" style="60"/>
  </cols>
  <sheetData>
    <row r="1" spans="1:25" ht="15" x14ac:dyDescent="0.2">
      <c r="F1" s="3"/>
      <c r="G1" s="4"/>
      <c r="H1" s="1"/>
      <c r="J1" s="61"/>
    </row>
    <row r="2" spans="1:25" s="1" customFormat="1" ht="15" x14ac:dyDescent="0.2">
      <c r="E2" s="2"/>
      <c r="F2" s="3" t="s">
        <v>979</v>
      </c>
      <c r="G2" s="4" t="str">
        <f>'[1]VRN 01'!G3</f>
        <v>Odkanalizování povodí Jizery - část B</v>
      </c>
      <c r="I2" s="5"/>
      <c r="J2" s="63"/>
      <c r="K2" s="10"/>
      <c r="L2" s="11"/>
      <c r="M2" s="11"/>
      <c r="N2" s="64"/>
      <c r="Q2" s="165"/>
    </row>
    <row r="3" spans="1:25" s="1" customFormat="1" ht="15" x14ac:dyDescent="0.2">
      <c r="E3" s="2"/>
      <c r="F3" s="3" t="s">
        <v>980</v>
      </c>
      <c r="G3" s="4" t="str">
        <f>+'Rekapitulace stavby'!D2</f>
        <v>ÚHERCE, výstavba kanalizace - UZNATELNÉ NÁKLADY - doměrky</v>
      </c>
      <c r="H3" s="2"/>
      <c r="I3" s="5"/>
      <c r="J3" s="63"/>
      <c r="K3" s="10"/>
      <c r="L3" s="11"/>
      <c r="M3" s="11"/>
      <c r="N3" s="64"/>
      <c r="Q3" s="165"/>
    </row>
    <row r="4" spans="1:25" s="2" customFormat="1" ht="15" x14ac:dyDescent="0.2">
      <c r="F4" s="12" t="s">
        <v>981</v>
      </c>
      <c r="G4" s="13" t="str">
        <f>'[1]VRN 01'!G5</f>
        <v>VRI/SOD/2020/Ži</v>
      </c>
      <c r="I4" s="5"/>
      <c r="J4" s="65"/>
      <c r="K4" s="18"/>
      <c r="L4" s="19"/>
      <c r="M4" s="19"/>
      <c r="N4" s="66"/>
      <c r="Q4" s="166"/>
    </row>
    <row r="5" spans="1:25" s="2" customFormat="1" ht="15" x14ac:dyDescent="0.2">
      <c r="F5" s="12" t="s">
        <v>983</v>
      </c>
      <c r="G5" s="13" t="s">
        <v>1001</v>
      </c>
      <c r="I5" s="5"/>
      <c r="J5" s="65"/>
      <c r="K5" s="18"/>
      <c r="L5" s="19"/>
      <c r="M5" s="19"/>
      <c r="N5" s="66"/>
      <c r="Q5" s="166"/>
    </row>
    <row r="6" spans="1:25" s="2" customFormat="1" ht="15" x14ac:dyDescent="0.2">
      <c r="F6" s="3" t="s">
        <v>984</v>
      </c>
      <c r="G6" s="13" t="str">
        <f>'[1]VRN 01'!G7</f>
        <v>Vododvody a kanalizace Mladá Boleslav, a.s.</v>
      </c>
      <c r="I6" s="5"/>
      <c r="J6" s="65"/>
      <c r="K6" s="18"/>
      <c r="L6" s="19"/>
      <c r="M6" s="19"/>
      <c r="N6" s="66"/>
      <c r="Q6" s="166"/>
    </row>
    <row r="7" spans="1:25" s="2" customFormat="1" ht="15" x14ac:dyDescent="0.2">
      <c r="F7" s="3" t="s">
        <v>986</v>
      </c>
      <c r="G7" s="20" t="str">
        <f>'[1]VRN 01'!G8</f>
        <v>VCES a.s.</v>
      </c>
      <c r="H7" s="67"/>
      <c r="I7" s="5"/>
      <c r="J7" s="65"/>
      <c r="K7" s="18"/>
      <c r="L7" s="19"/>
      <c r="M7" s="19"/>
      <c r="N7" s="66"/>
      <c r="Q7" s="166"/>
    </row>
    <row r="8" spans="1:25" s="68" customFormat="1" ht="12.75" x14ac:dyDescent="0.2">
      <c r="D8" s="69"/>
      <c r="F8" s="3"/>
      <c r="G8" s="20"/>
      <c r="H8" s="67"/>
      <c r="K8" s="72" t="s">
        <v>996</v>
      </c>
      <c r="L8" s="73" t="str">
        <f>+C12</f>
        <v>13 - SO 01.L - Stoka B</v>
      </c>
      <c r="M8" s="73"/>
      <c r="O8" s="74"/>
      <c r="Q8" s="167"/>
    </row>
    <row r="9" spans="1:25" s="75" customFormat="1" ht="12.75" customHeight="1" x14ac:dyDescent="0.2">
      <c r="C9" s="76"/>
      <c r="D9" s="77"/>
      <c r="E9" s="77"/>
      <c r="F9" s="77"/>
      <c r="G9" s="77"/>
      <c r="H9" s="77"/>
      <c r="I9" s="78"/>
      <c r="J9" s="79"/>
      <c r="K9" s="332" t="s">
        <v>1266</v>
      </c>
      <c r="L9" s="332"/>
      <c r="M9" s="332"/>
      <c r="N9" s="339" t="s">
        <v>1267</v>
      </c>
      <c r="O9" s="339"/>
      <c r="P9" s="340"/>
      <c r="Q9" s="168"/>
    </row>
    <row r="10" spans="1:25" s="75" customFormat="1" ht="12.75" x14ac:dyDescent="0.2">
      <c r="C10" s="80"/>
      <c r="D10" s="81" t="s">
        <v>997</v>
      </c>
      <c r="E10" s="81" t="s">
        <v>976</v>
      </c>
      <c r="F10" s="81" t="s">
        <v>977</v>
      </c>
      <c r="G10" s="81" t="s">
        <v>64</v>
      </c>
      <c r="H10" s="82" t="s">
        <v>65</v>
      </c>
      <c r="I10" s="83" t="s">
        <v>998</v>
      </c>
      <c r="J10" s="84" t="s">
        <v>978</v>
      </c>
      <c r="K10" s="218" t="s">
        <v>999</v>
      </c>
      <c r="L10" s="219" t="s">
        <v>1260</v>
      </c>
      <c r="M10" s="220" t="s">
        <v>978</v>
      </c>
      <c r="N10" s="263" t="s">
        <v>1264</v>
      </c>
      <c r="O10" s="264" t="s">
        <v>1260</v>
      </c>
      <c r="P10" s="265" t="s">
        <v>978</v>
      </c>
      <c r="Q10" s="169" t="s">
        <v>1009</v>
      </c>
      <c r="R10" s="157" t="s">
        <v>1103</v>
      </c>
      <c r="S10" s="157" t="s">
        <v>1132</v>
      </c>
      <c r="U10" s="157" t="s">
        <v>1150</v>
      </c>
      <c r="V10" s="347" t="s">
        <v>1175</v>
      </c>
      <c r="W10" s="157" t="s">
        <v>1186</v>
      </c>
      <c r="Y10" s="75" t="s">
        <v>1211</v>
      </c>
    </row>
    <row r="11" spans="1:25" s="75" customFormat="1" ht="12.75" x14ac:dyDescent="0.2">
      <c r="D11" s="133"/>
      <c r="E11" s="133"/>
      <c r="F11" s="133"/>
      <c r="G11" s="133"/>
      <c r="H11" s="134"/>
      <c r="I11" s="135"/>
      <c r="J11" s="136"/>
      <c r="K11" s="137"/>
      <c r="L11" s="138"/>
      <c r="M11" s="138"/>
      <c r="N11" s="139"/>
      <c r="O11" s="140"/>
      <c r="P11" s="140"/>
      <c r="Q11" s="168"/>
      <c r="U11" s="327" t="s">
        <v>1157</v>
      </c>
      <c r="V11" s="347"/>
    </row>
    <row r="12" spans="1:25" s="109" customFormat="1" ht="15.75" x14ac:dyDescent="0.25">
      <c r="A12" s="97"/>
      <c r="B12" s="97"/>
      <c r="C12" s="98" t="s">
        <v>381</v>
      </c>
      <c r="D12" s="97"/>
      <c r="E12" s="97"/>
      <c r="F12" s="97"/>
      <c r="G12" s="97"/>
      <c r="H12" s="97"/>
      <c r="I12" s="97"/>
      <c r="J12" s="99">
        <v>4003320.4</v>
      </c>
      <c r="Q12" s="149"/>
      <c r="R12" s="178" t="s">
        <v>1003</v>
      </c>
      <c r="U12" s="327"/>
      <c r="V12" s="347"/>
      <c r="W12" s="148" t="s">
        <v>1191</v>
      </c>
    </row>
    <row r="13" spans="1:25" s="110" customFormat="1" ht="15" x14ac:dyDescent="0.2">
      <c r="D13" s="111" t="s">
        <v>3</v>
      </c>
      <c r="E13" s="112" t="s">
        <v>66</v>
      </c>
      <c r="F13" s="112" t="s">
        <v>67</v>
      </c>
      <c r="J13" s="113">
        <v>4003320.4</v>
      </c>
      <c r="Q13" s="170"/>
      <c r="S13" s="172" t="s">
        <v>1145</v>
      </c>
      <c r="U13" s="327"/>
      <c r="V13" s="347"/>
      <c r="W13" s="148"/>
    </row>
    <row r="14" spans="1:25" s="110" customFormat="1" ht="12.75" x14ac:dyDescent="0.2">
      <c r="C14" s="252"/>
      <c r="D14" s="253" t="s">
        <v>3</v>
      </c>
      <c r="E14" s="254" t="s">
        <v>7</v>
      </c>
      <c r="F14" s="254" t="s">
        <v>68</v>
      </c>
      <c r="G14" s="252"/>
      <c r="H14" s="252"/>
      <c r="I14" s="252"/>
      <c r="J14" s="255">
        <v>1639677.2300000002</v>
      </c>
      <c r="K14" s="252"/>
      <c r="L14" s="252"/>
      <c r="M14" s="258">
        <f>SUM(M15:M45)</f>
        <v>-9419.2947999999997</v>
      </c>
      <c r="N14" s="252"/>
      <c r="O14" s="252"/>
      <c r="P14" s="258">
        <f>SUM(P15:P45)</f>
        <v>1630257.9676699999</v>
      </c>
      <c r="Q14" s="175" t="s">
        <v>1003</v>
      </c>
      <c r="U14" s="327"/>
      <c r="V14" s="347"/>
      <c r="W14" s="197">
        <f>W67</f>
        <v>5.985720810596451E-3</v>
      </c>
    </row>
    <row r="15" spans="1:25" s="109" customFormat="1" ht="60" x14ac:dyDescent="0.2">
      <c r="A15" s="97"/>
      <c r="B15" s="116"/>
      <c r="C15" s="117" t="s">
        <v>7</v>
      </c>
      <c r="D15" s="117" t="s">
        <v>69</v>
      </c>
      <c r="E15" s="118" t="s">
        <v>77</v>
      </c>
      <c r="F15" s="119" t="s">
        <v>78</v>
      </c>
      <c r="G15" s="120" t="s">
        <v>72</v>
      </c>
      <c r="H15" s="121">
        <v>157.92699999999999</v>
      </c>
      <c r="I15" s="122">
        <v>21.04</v>
      </c>
      <c r="J15" s="122">
        <v>3322.78</v>
      </c>
      <c r="K15" s="85">
        <v>0</v>
      </c>
      <c r="L15" s="86">
        <f>I15</f>
        <v>21.04</v>
      </c>
      <c r="M15" s="277">
        <f>K15*L15</f>
        <v>0</v>
      </c>
      <c r="N15" s="87">
        <f>H15+K15</f>
        <v>157.92699999999999</v>
      </c>
      <c r="O15" s="88">
        <f>I15</f>
        <v>21.04</v>
      </c>
      <c r="P15" s="278">
        <f>N15*O15</f>
        <v>3322.7840799999999</v>
      </c>
      <c r="Q15" s="152"/>
      <c r="X15" s="177"/>
    </row>
    <row r="16" spans="1:25" s="109" customFormat="1" ht="60" x14ac:dyDescent="0.2">
      <c r="A16" s="97"/>
      <c r="B16" s="116"/>
      <c r="C16" s="117" t="s">
        <v>8</v>
      </c>
      <c r="D16" s="117" t="s">
        <v>69</v>
      </c>
      <c r="E16" s="118" t="s">
        <v>79</v>
      </c>
      <c r="F16" s="119" t="s">
        <v>80</v>
      </c>
      <c r="G16" s="120" t="s">
        <v>72</v>
      </c>
      <c r="H16" s="121">
        <v>294.63499999999999</v>
      </c>
      <c r="I16" s="122">
        <v>26.3</v>
      </c>
      <c r="J16" s="122">
        <v>7748.9</v>
      </c>
      <c r="K16" s="85">
        <v>0</v>
      </c>
      <c r="L16" s="86">
        <f t="shared" ref="L16:L79" si="0">I16</f>
        <v>26.3</v>
      </c>
      <c r="M16" s="277">
        <f t="shared" ref="M16:M79" si="1">K16*L16</f>
        <v>0</v>
      </c>
      <c r="N16" s="87">
        <f t="shared" ref="N16:N79" si="2">H16+K16</f>
        <v>294.63499999999999</v>
      </c>
      <c r="O16" s="88">
        <f t="shared" ref="O16:O79" si="3">I16</f>
        <v>26.3</v>
      </c>
      <c r="P16" s="278">
        <f t="shared" ref="P16:P79" si="4">N16*O16</f>
        <v>7748.9004999999997</v>
      </c>
      <c r="Q16" s="152"/>
      <c r="X16" s="177"/>
    </row>
    <row r="17" spans="1:24" s="109" customFormat="1" ht="60" x14ac:dyDescent="0.2">
      <c r="A17" s="97"/>
      <c r="B17" s="116"/>
      <c r="C17" s="117" t="s">
        <v>76</v>
      </c>
      <c r="D17" s="117" t="s">
        <v>69</v>
      </c>
      <c r="E17" s="118" t="s">
        <v>74</v>
      </c>
      <c r="F17" s="119" t="s">
        <v>75</v>
      </c>
      <c r="G17" s="120" t="s">
        <v>72</v>
      </c>
      <c r="H17" s="121">
        <v>283.096</v>
      </c>
      <c r="I17" s="122">
        <v>40.770000000000003</v>
      </c>
      <c r="J17" s="122">
        <v>11541.82</v>
      </c>
      <c r="K17" s="85">
        <v>0</v>
      </c>
      <c r="L17" s="86">
        <f t="shared" si="0"/>
        <v>40.770000000000003</v>
      </c>
      <c r="M17" s="277">
        <f t="shared" si="1"/>
        <v>0</v>
      </c>
      <c r="N17" s="87">
        <f t="shared" si="2"/>
        <v>283.096</v>
      </c>
      <c r="O17" s="88">
        <f t="shared" si="3"/>
        <v>40.770000000000003</v>
      </c>
      <c r="P17" s="278">
        <f t="shared" si="4"/>
        <v>11541.823920000001</v>
      </c>
      <c r="Q17" s="152"/>
      <c r="X17" s="177"/>
    </row>
    <row r="18" spans="1:24" s="109" customFormat="1" ht="60" x14ac:dyDescent="0.2">
      <c r="A18" s="97"/>
      <c r="B18" s="116"/>
      <c r="C18" s="117" t="s">
        <v>73</v>
      </c>
      <c r="D18" s="117" t="s">
        <v>69</v>
      </c>
      <c r="E18" s="118" t="s">
        <v>314</v>
      </c>
      <c r="F18" s="119" t="s">
        <v>315</v>
      </c>
      <c r="G18" s="120" t="s">
        <v>72</v>
      </c>
      <c r="H18" s="121">
        <v>11.539</v>
      </c>
      <c r="I18" s="122">
        <v>519.33000000000004</v>
      </c>
      <c r="J18" s="122">
        <v>5992.55</v>
      </c>
      <c r="K18" s="85">
        <v>0</v>
      </c>
      <c r="L18" s="86">
        <f t="shared" si="0"/>
        <v>519.33000000000004</v>
      </c>
      <c r="M18" s="277">
        <f t="shared" si="1"/>
        <v>0</v>
      </c>
      <c r="N18" s="87">
        <f t="shared" si="2"/>
        <v>11.539</v>
      </c>
      <c r="O18" s="88">
        <f t="shared" si="3"/>
        <v>519.33000000000004</v>
      </c>
      <c r="P18" s="278">
        <f t="shared" si="4"/>
        <v>5992.5488700000005</v>
      </c>
      <c r="Q18" s="152"/>
      <c r="X18" s="177"/>
    </row>
    <row r="19" spans="1:24" s="109" customFormat="1" ht="60" x14ac:dyDescent="0.2">
      <c r="A19" s="97"/>
      <c r="B19" s="116"/>
      <c r="C19" s="117" t="s">
        <v>81</v>
      </c>
      <c r="D19" s="117" t="s">
        <v>69</v>
      </c>
      <c r="E19" s="118" t="s">
        <v>82</v>
      </c>
      <c r="F19" s="119" t="s">
        <v>83</v>
      </c>
      <c r="G19" s="120" t="s">
        <v>72</v>
      </c>
      <c r="H19" s="121">
        <v>283.096</v>
      </c>
      <c r="I19" s="122">
        <v>39.46</v>
      </c>
      <c r="J19" s="122">
        <v>11170.97</v>
      </c>
      <c r="K19" s="85">
        <v>0</v>
      </c>
      <c r="L19" s="86">
        <f t="shared" si="0"/>
        <v>39.46</v>
      </c>
      <c r="M19" s="277">
        <f t="shared" si="1"/>
        <v>0</v>
      </c>
      <c r="N19" s="87">
        <f t="shared" si="2"/>
        <v>283.096</v>
      </c>
      <c r="O19" s="88">
        <f t="shared" si="3"/>
        <v>39.46</v>
      </c>
      <c r="P19" s="278">
        <f t="shared" si="4"/>
        <v>11170.96816</v>
      </c>
      <c r="Q19" s="152"/>
      <c r="X19" s="177"/>
    </row>
    <row r="20" spans="1:24" s="109" customFormat="1" ht="60" x14ac:dyDescent="0.2">
      <c r="A20" s="97"/>
      <c r="B20" s="116"/>
      <c r="C20" s="117" t="s">
        <v>84</v>
      </c>
      <c r="D20" s="117" t="s">
        <v>69</v>
      </c>
      <c r="E20" s="118" t="s">
        <v>316</v>
      </c>
      <c r="F20" s="119" t="s">
        <v>317</v>
      </c>
      <c r="G20" s="120" t="s">
        <v>72</v>
      </c>
      <c r="H20" s="121">
        <v>11.539</v>
      </c>
      <c r="I20" s="122">
        <v>77.599999999999994</v>
      </c>
      <c r="J20" s="122">
        <v>895.43</v>
      </c>
      <c r="K20" s="85">
        <v>0</v>
      </c>
      <c r="L20" s="86">
        <f t="shared" si="0"/>
        <v>77.599999999999994</v>
      </c>
      <c r="M20" s="277">
        <f t="shared" si="1"/>
        <v>0</v>
      </c>
      <c r="N20" s="87">
        <f t="shared" si="2"/>
        <v>11.539</v>
      </c>
      <c r="O20" s="88">
        <f t="shared" si="3"/>
        <v>77.599999999999994</v>
      </c>
      <c r="P20" s="278">
        <f t="shared" si="4"/>
        <v>895.42639999999994</v>
      </c>
      <c r="Q20" s="152"/>
      <c r="X20" s="177"/>
    </row>
    <row r="21" spans="1:24" s="109" customFormat="1" ht="48" x14ac:dyDescent="0.2">
      <c r="A21" s="97"/>
      <c r="B21" s="116"/>
      <c r="C21" s="117" t="s">
        <v>87</v>
      </c>
      <c r="D21" s="117" t="s">
        <v>69</v>
      </c>
      <c r="E21" s="118" t="s">
        <v>85</v>
      </c>
      <c r="F21" s="119" t="s">
        <v>86</v>
      </c>
      <c r="G21" s="120" t="s">
        <v>72</v>
      </c>
      <c r="H21" s="121">
        <v>459.541</v>
      </c>
      <c r="I21" s="122">
        <v>55.24</v>
      </c>
      <c r="J21" s="122">
        <v>25385.040000000001</v>
      </c>
      <c r="K21" s="85">
        <v>0</v>
      </c>
      <c r="L21" s="86">
        <f t="shared" si="0"/>
        <v>55.24</v>
      </c>
      <c r="M21" s="277">
        <f t="shared" si="1"/>
        <v>0</v>
      </c>
      <c r="N21" s="87">
        <f t="shared" si="2"/>
        <v>459.541</v>
      </c>
      <c r="O21" s="88">
        <f t="shared" si="3"/>
        <v>55.24</v>
      </c>
      <c r="P21" s="278">
        <f t="shared" si="4"/>
        <v>25385.044840000002</v>
      </c>
      <c r="Q21" s="152"/>
      <c r="X21" s="177"/>
    </row>
    <row r="22" spans="1:24" s="109" customFormat="1" ht="84" x14ac:dyDescent="0.2">
      <c r="A22" s="97"/>
      <c r="B22" s="116"/>
      <c r="C22" s="117" t="s">
        <v>90</v>
      </c>
      <c r="D22" s="117" t="s">
        <v>69</v>
      </c>
      <c r="E22" s="118" t="s">
        <v>88</v>
      </c>
      <c r="F22" s="119" t="s">
        <v>89</v>
      </c>
      <c r="G22" s="120" t="s">
        <v>61</v>
      </c>
      <c r="H22" s="121">
        <v>15.4</v>
      </c>
      <c r="I22" s="122">
        <v>170.98</v>
      </c>
      <c r="J22" s="122">
        <v>2633.09</v>
      </c>
      <c r="K22" s="85">
        <f>ROUND(413.5/415.99*H22-H22,2)</f>
        <v>-0.09</v>
      </c>
      <c r="L22" s="86">
        <f t="shared" si="0"/>
        <v>170.98</v>
      </c>
      <c r="M22" s="277">
        <f t="shared" si="1"/>
        <v>-15.388199999999998</v>
      </c>
      <c r="N22" s="87">
        <f t="shared" si="2"/>
        <v>15.31</v>
      </c>
      <c r="O22" s="88">
        <f t="shared" si="3"/>
        <v>170.98</v>
      </c>
      <c r="P22" s="278">
        <f t="shared" si="4"/>
        <v>2617.7037999999998</v>
      </c>
      <c r="Q22" s="149"/>
      <c r="X22" s="177"/>
    </row>
    <row r="23" spans="1:24" s="109" customFormat="1" ht="36" x14ac:dyDescent="0.2">
      <c r="A23" s="97"/>
      <c r="B23" s="116"/>
      <c r="C23" s="117" t="s">
        <v>93</v>
      </c>
      <c r="D23" s="117" t="s">
        <v>69</v>
      </c>
      <c r="E23" s="118" t="s">
        <v>318</v>
      </c>
      <c r="F23" s="119" t="s">
        <v>319</v>
      </c>
      <c r="G23" s="120" t="s">
        <v>61</v>
      </c>
      <c r="H23" s="121">
        <v>2.2000000000000002</v>
      </c>
      <c r="I23" s="122">
        <v>257.77999999999997</v>
      </c>
      <c r="J23" s="122">
        <v>567.12</v>
      </c>
      <c r="K23" s="85">
        <f t="shared" ref="K23:K47" si="5">ROUND(413.5/415.99*H23-H23,2)</f>
        <v>-0.01</v>
      </c>
      <c r="L23" s="86">
        <f t="shared" si="0"/>
        <v>257.77999999999997</v>
      </c>
      <c r="M23" s="277">
        <f t="shared" si="1"/>
        <v>-2.5777999999999999</v>
      </c>
      <c r="N23" s="87">
        <f t="shared" si="2"/>
        <v>2.1900000000000004</v>
      </c>
      <c r="O23" s="88">
        <f t="shared" si="3"/>
        <v>257.77999999999997</v>
      </c>
      <c r="P23" s="278">
        <f t="shared" si="4"/>
        <v>564.53820000000007</v>
      </c>
      <c r="Q23" s="149"/>
      <c r="X23" s="177"/>
    </row>
    <row r="24" spans="1:24" s="109" customFormat="1" ht="84" x14ac:dyDescent="0.2">
      <c r="A24" s="97"/>
      <c r="B24" s="116"/>
      <c r="C24" s="117" t="s">
        <v>26</v>
      </c>
      <c r="D24" s="117" t="s">
        <v>69</v>
      </c>
      <c r="E24" s="118" t="s">
        <v>91</v>
      </c>
      <c r="F24" s="119" t="s">
        <v>92</v>
      </c>
      <c r="G24" s="120" t="s">
        <v>61</v>
      </c>
      <c r="H24" s="121">
        <v>9.9</v>
      </c>
      <c r="I24" s="122">
        <v>147.30000000000001</v>
      </c>
      <c r="J24" s="122">
        <v>1458.27</v>
      </c>
      <c r="K24" s="85">
        <f t="shared" si="5"/>
        <v>-0.06</v>
      </c>
      <c r="L24" s="86">
        <f t="shared" si="0"/>
        <v>147.30000000000001</v>
      </c>
      <c r="M24" s="277">
        <f t="shared" si="1"/>
        <v>-8.838000000000001</v>
      </c>
      <c r="N24" s="87">
        <f t="shared" si="2"/>
        <v>9.84</v>
      </c>
      <c r="O24" s="88">
        <f t="shared" si="3"/>
        <v>147.30000000000001</v>
      </c>
      <c r="P24" s="278">
        <f t="shared" si="4"/>
        <v>1449.432</v>
      </c>
      <c r="Q24" s="149"/>
      <c r="X24" s="177"/>
    </row>
    <row r="25" spans="1:24" s="109" customFormat="1" ht="48" x14ac:dyDescent="0.2">
      <c r="A25" s="97"/>
      <c r="B25" s="116"/>
      <c r="C25" s="117" t="s">
        <v>28</v>
      </c>
      <c r="D25" s="117" t="s">
        <v>69</v>
      </c>
      <c r="E25" s="118" t="s">
        <v>297</v>
      </c>
      <c r="F25" s="119" t="s">
        <v>298</v>
      </c>
      <c r="G25" s="120" t="s">
        <v>62</v>
      </c>
      <c r="H25" s="121">
        <v>0.502</v>
      </c>
      <c r="I25" s="122">
        <v>57.87</v>
      </c>
      <c r="J25" s="122">
        <v>29.05</v>
      </c>
      <c r="K25" s="85">
        <f t="shared" si="5"/>
        <v>0</v>
      </c>
      <c r="L25" s="86">
        <f t="shared" si="0"/>
        <v>57.87</v>
      </c>
      <c r="M25" s="277">
        <f t="shared" si="1"/>
        <v>0</v>
      </c>
      <c r="N25" s="87">
        <f t="shared" si="2"/>
        <v>0.502</v>
      </c>
      <c r="O25" s="88">
        <f t="shared" si="3"/>
        <v>57.87</v>
      </c>
      <c r="P25" s="278">
        <f t="shared" si="4"/>
        <v>29.050739999999998</v>
      </c>
      <c r="Q25" s="149"/>
      <c r="X25" s="177"/>
    </row>
    <row r="26" spans="1:24" s="109" customFormat="1" ht="36" x14ac:dyDescent="0.2">
      <c r="A26" s="97"/>
      <c r="B26" s="116"/>
      <c r="C26" s="117" t="s">
        <v>30</v>
      </c>
      <c r="D26" s="117" t="s">
        <v>69</v>
      </c>
      <c r="E26" s="118" t="s">
        <v>94</v>
      </c>
      <c r="F26" s="119" t="s">
        <v>95</v>
      </c>
      <c r="G26" s="120" t="s">
        <v>62</v>
      </c>
      <c r="H26" s="121">
        <v>109.82</v>
      </c>
      <c r="I26" s="122">
        <v>257.77999999999997</v>
      </c>
      <c r="J26" s="122">
        <v>28309.4</v>
      </c>
      <c r="K26" s="85">
        <f t="shared" si="5"/>
        <v>-0.66</v>
      </c>
      <c r="L26" s="86">
        <f t="shared" si="0"/>
        <v>257.77999999999997</v>
      </c>
      <c r="M26" s="277">
        <f t="shared" si="1"/>
        <v>-170.13479999999998</v>
      </c>
      <c r="N26" s="87">
        <f t="shared" si="2"/>
        <v>109.16</v>
      </c>
      <c r="O26" s="88">
        <f t="shared" si="3"/>
        <v>257.77999999999997</v>
      </c>
      <c r="P26" s="278">
        <f t="shared" si="4"/>
        <v>28139.264799999997</v>
      </c>
      <c r="Q26" s="149"/>
      <c r="X26" s="177"/>
    </row>
    <row r="27" spans="1:24" s="109" customFormat="1" ht="48" x14ac:dyDescent="0.2">
      <c r="A27" s="97"/>
      <c r="B27" s="116"/>
      <c r="C27" s="117" t="s">
        <v>32</v>
      </c>
      <c r="D27" s="117" t="s">
        <v>69</v>
      </c>
      <c r="E27" s="118" t="s">
        <v>96</v>
      </c>
      <c r="F27" s="119" t="s">
        <v>97</v>
      </c>
      <c r="G27" s="120" t="s">
        <v>62</v>
      </c>
      <c r="H27" s="121">
        <v>309.91000000000003</v>
      </c>
      <c r="I27" s="122">
        <v>234.11</v>
      </c>
      <c r="J27" s="122">
        <v>72553.03</v>
      </c>
      <c r="K27" s="85">
        <f t="shared" si="5"/>
        <v>-1.86</v>
      </c>
      <c r="L27" s="86">
        <f t="shared" si="0"/>
        <v>234.11</v>
      </c>
      <c r="M27" s="277">
        <f t="shared" si="1"/>
        <v>-435.44460000000004</v>
      </c>
      <c r="N27" s="87">
        <f t="shared" si="2"/>
        <v>308.05</v>
      </c>
      <c r="O27" s="88">
        <f t="shared" si="3"/>
        <v>234.11</v>
      </c>
      <c r="P27" s="278">
        <f t="shared" si="4"/>
        <v>72117.585500000001</v>
      </c>
      <c r="Q27" s="149"/>
      <c r="X27" s="177"/>
    </row>
    <row r="28" spans="1:24" s="109" customFormat="1" ht="48" x14ac:dyDescent="0.2">
      <c r="A28" s="97"/>
      <c r="B28" s="116"/>
      <c r="C28" s="117" t="s">
        <v>34</v>
      </c>
      <c r="D28" s="117" t="s">
        <v>69</v>
      </c>
      <c r="E28" s="118" t="s">
        <v>98</v>
      </c>
      <c r="F28" s="119" t="s">
        <v>99</v>
      </c>
      <c r="G28" s="120" t="s">
        <v>62</v>
      </c>
      <c r="H28" s="121">
        <v>480.94</v>
      </c>
      <c r="I28" s="122">
        <v>257.77999999999997</v>
      </c>
      <c r="J28" s="122">
        <v>123976.71</v>
      </c>
      <c r="K28" s="85">
        <f t="shared" si="5"/>
        <v>-2.88</v>
      </c>
      <c r="L28" s="86">
        <f t="shared" si="0"/>
        <v>257.77999999999997</v>
      </c>
      <c r="M28" s="277">
        <f t="shared" si="1"/>
        <v>-742.40639999999985</v>
      </c>
      <c r="N28" s="87">
        <f t="shared" si="2"/>
        <v>478.06</v>
      </c>
      <c r="O28" s="88">
        <f t="shared" si="3"/>
        <v>257.77999999999997</v>
      </c>
      <c r="P28" s="278">
        <f t="shared" si="4"/>
        <v>123234.30679999999</v>
      </c>
      <c r="Q28" s="149"/>
      <c r="X28" s="177"/>
    </row>
    <row r="29" spans="1:24" s="109" customFormat="1" ht="48" x14ac:dyDescent="0.2">
      <c r="A29" s="97"/>
      <c r="B29" s="116"/>
      <c r="C29" s="117" t="s">
        <v>1</v>
      </c>
      <c r="D29" s="117" t="s">
        <v>69</v>
      </c>
      <c r="E29" s="118" t="s">
        <v>100</v>
      </c>
      <c r="F29" s="119" t="s">
        <v>101</v>
      </c>
      <c r="G29" s="120" t="s">
        <v>62</v>
      </c>
      <c r="H29" s="121">
        <v>307.38</v>
      </c>
      <c r="I29" s="122">
        <v>315.64999999999998</v>
      </c>
      <c r="J29" s="122">
        <v>97024.5</v>
      </c>
      <c r="K29" s="85">
        <f t="shared" si="5"/>
        <v>-1.84</v>
      </c>
      <c r="L29" s="86">
        <f t="shared" si="0"/>
        <v>315.64999999999998</v>
      </c>
      <c r="M29" s="277">
        <f t="shared" si="1"/>
        <v>-580.79599999999994</v>
      </c>
      <c r="N29" s="87">
        <f t="shared" si="2"/>
        <v>305.54000000000002</v>
      </c>
      <c r="O29" s="88">
        <f t="shared" si="3"/>
        <v>315.64999999999998</v>
      </c>
      <c r="P29" s="278">
        <f t="shared" si="4"/>
        <v>96443.701000000001</v>
      </c>
      <c r="Q29" s="149"/>
      <c r="X29" s="177"/>
    </row>
    <row r="30" spans="1:24" s="109" customFormat="1" ht="36" x14ac:dyDescent="0.2">
      <c r="A30" s="97"/>
      <c r="B30" s="116"/>
      <c r="C30" s="117" t="s">
        <v>37</v>
      </c>
      <c r="D30" s="117" t="s">
        <v>69</v>
      </c>
      <c r="E30" s="118" t="s">
        <v>102</v>
      </c>
      <c r="F30" s="119" t="s">
        <v>103</v>
      </c>
      <c r="G30" s="120" t="s">
        <v>72</v>
      </c>
      <c r="H30" s="121">
        <v>2142.02</v>
      </c>
      <c r="I30" s="122">
        <v>69.709999999999994</v>
      </c>
      <c r="J30" s="122">
        <v>149320.21</v>
      </c>
      <c r="K30" s="85">
        <f t="shared" si="5"/>
        <v>-12.82</v>
      </c>
      <c r="L30" s="86">
        <f t="shared" si="0"/>
        <v>69.709999999999994</v>
      </c>
      <c r="M30" s="277">
        <f t="shared" si="1"/>
        <v>-893.68219999999997</v>
      </c>
      <c r="N30" s="87">
        <f t="shared" si="2"/>
        <v>2129.1999999999998</v>
      </c>
      <c r="O30" s="88">
        <f t="shared" si="3"/>
        <v>69.709999999999994</v>
      </c>
      <c r="P30" s="278">
        <f t="shared" si="4"/>
        <v>148426.53199999998</v>
      </c>
      <c r="Q30" s="149"/>
      <c r="X30" s="177"/>
    </row>
    <row r="31" spans="1:24" s="109" customFormat="1" ht="48" x14ac:dyDescent="0.2">
      <c r="A31" s="97"/>
      <c r="B31" s="116"/>
      <c r="C31" s="117" t="s">
        <v>39</v>
      </c>
      <c r="D31" s="117" t="s">
        <v>69</v>
      </c>
      <c r="E31" s="118" t="s">
        <v>104</v>
      </c>
      <c r="F31" s="119" t="s">
        <v>105</v>
      </c>
      <c r="G31" s="120" t="s">
        <v>72</v>
      </c>
      <c r="H31" s="121">
        <v>2142.02</v>
      </c>
      <c r="I31" s="122">
        <v>80.23</v>
      </c>
      <c r="J31" s="122">
        <v>171854.26</v>
      </c>
      <c r="K31" s="85">
        <f t="shared" si="5"/>
        <v>-12.82</v>
      </c>
      <c r="L31" s="86">
        <f t="shared" si="0"/>
        <v>80.23</v>
      </c>
      <c r="M31" s="277">
        <f t="shared" si="1"/>
        <v>-1028.5486000000001</v>
      </c>
      <c r="N31" s="87">
        <f t="shared" si="2"/>
        <v>2129.1999999999998</v>
      </c>
      <c r="O31" s="88">
        <f t="shared" si="3"/>
        <v>80.23</v>
      </c>
      <c r="P31" s="278">
        <f t="shared" si="4"/>
        <v>170825.71599999999</v>
      </c>
      <c r="Q31" s="149"/>
      <c r="X31" s="177"/>
    </row>
    <row r="32" spans="1:24" s="109" customFormat="1" ht="48" x14ac:dyDescent="0.2">
      <c r="A32" s="97"/>
      <c r="B32" s="116"/>
      <c r="C32" s="117" t="s">
        <v>41</v>
      </c>
      <c r="D32" s="117" t="s">
        <v>69</v>
      </c>
      <c r="E32" s="118" t="s">
        <v>106</v>
      </c>
      <c r="F32" s="119" t="s">
        <v>107</v>
      </c>
      <c r="G32" s="120" t="s">
        <v>62</v>
      </c>
      <c r="H32" s="121">
        <v>658.93799999999999</v>
      </c>
      <c r="I32" s="122">
        <v>13.15</v>
      </c>
      <c r="J32" s="122">
        <v>8665.0300000000007</v>
      </c>
      <c r="K32" s="85">
        <f t="shared" si="5"/>
        <v>-3.94</v>
      </c>
      <c r="L32" s="86">
        <f t="shared" si="0"/>
        <v>13.15</v>
      </c>
      <c r="M32" s="277">
        <f t="shared" si="1"/>
        <v>-51.811</v>
      </c>
      <c r="N32" s="87">
        <f t="shared" si="2"/>
        <v>654.99799999999993</v>
      </c>
      <c r="O32" s="88">
        <f t="shared" si="3"/>
        <v>13.15</v>
      </c>
      <c r="P32" s="278">
        <f t="shared" si="4"/>
        <v>8613.2236999999986</v>
      </c>
      <c r="Q32" s="149"/>
      <c r="X32" s="177"/>
    </row>
    <row r="33" spans="1:27" s="109" customFormat="1" ht="48" x14ac:dyDescent="0.2">
      <c r="A33" s="97"/>
      <c r="B33" s="116"/>
      <c r="C33" s="117" t="s">
        <v>114</v>
      </c>
      <c r="D33" s="117" t="s">
        <v>69</v>
      </c>
      <c r="E33" s="118" t="s">
        <v>108</v>
      </c>
      <c r="F33" s="119" t="s">
        <v>109</v>
      </c>
      <c r="G33" s="120" t="s">
        <v>62</v>
      </c>
      <c r="H33" s="121">
        <v>1833.47</v>
      </c>
      <c r="I33" s="122">
        <v>186.83</v>
      </c>
      <c r="J33" s="122">
        <v>342547.20000000001</v>
      </c>
      <c r="K33" s="85">
        <f t="shared" si="5"/>
        <v>-10.97</v>
      </c>
      <c r="L33" s="86">
        <f t="shared" si="0"/>
        <v>186.83</v>
      </c>
      <c r="M33" s="277">
        <f t="shared" si="1"/>
        <v>-2049.5251000000003</v>
      </c>
      <c r="N33" s="87">
        <f t="shared" si="2"/>
        <v>1822.5</v>
      </c>
      <c r="O33" s="88">
        <f t="shared" si="3"/>
        <v>186.83</v>
      </c>
      <c r="P33" s="278">
        <f t="shared" si="4"/>
        <v>340497.67500000005</v>
      </c>
      <c r="Q33" s="149"/>
      <c r="X33" s="177"/>
    </row>
    <row r="34" spans="1:27" s="109" customFormat="1" ht="36" x14ac:dyDescent="0.2">
      <c r="A34" s="97"/>
      <c r="B34" s="116"/>
      <c r="C34" s="117" t="s">
        <v>117</v>
      </c>
      <c r="D34" s="117" t="s">
        <v>69</v>
      </c>
      <c r="E34" s="118" t="s">
        <v>110</v>
      </c>
      <c r="F34" s="119" t="s">
        <v>111</v>
      </c>
      <c r="G34" s="120" t="s">
        <v>62</v>
      </c>
      <c r="H34" s="121">
        <v>1098.23</v>
      </c>
      <c r="I34" s="122">
        <v>44.72</v>
      </c>
      <c r="J34" s="122">
        <v>49112.85</v>
      </c>
      <c r="K34" s="85">
        <f t="shared" si="5"/>
        <v>-6.57</v>
      </c>
      <c r="L34" s="86">
        <f t="shared" si="0"/>
        <v>44.72</v>
      </c>
      <c r="M34" s="277">
        <f t="shared" si="1"/>
        <v>-293.81040000000002</v>
      </c>
      <c r="N34" s="87">
        <f t="shared" si="2"/>
        <v>1091.6600000000001</v>
      </c>
      <c r="O34" s="88">
        <f t="shared" si="3"/>
        <v>44.72</v>
      </c>
      <c r="P34" s="278">
        <f t="shared" si="4"/>
        <v>48819.035200000006</v>
      </c>
      <c r="Q34" s="149"/>
      <c r="X34" s="177"/>
    </row>
    <row r="35" spans="1:27" s="109" customFormat="1" ht="48" x14ac:dyDescent="0.2">
      <c r="A35" s="97"/>
      <c r="B35" s="116"/>
      <c r="C35" s="117" t="s">
        <v>0</v>
      </c>
      <c r="D35" s="117" t="s">
        <v>69</v>
      </c>
      <c r="E35" s="118" t="s">
        <v>112</v>
      </c>
      <c r="F35" s="119" t="s">
        <v>113</v>
      </c>
      <c r="G35" s="120" t="s">
        <v>62</v>
      </c>
      <c r="H35" s="121">
        <v>357.1</v>
      </c>
      <c r="I35" s="122">
        <v>247.39</v>
      </c>
      <c r="J35" s="122">
        <v>88342.97</v>
      </c>
      <c r="K35" s="85">
        <f t="shared" si="5"/>
        <v>-2.14</v>
      </c>
      <c r="L35" s="86">
        <f t="shared" si="0"/>
        <v>247.39</v>
      </c>
      <c r="M35" s="277">
        <f t="shared" si="1"/>
        <v>-529.41459999999995</v>
      </c>
      <c r="N35" s="87">
        <f t="shared" si="2"/>
        <v>354.96000000000004</v>
      </c>
      <c r="O35" s="88">
        <f t="shared" si="3"/>
        <v>247.39</v>
      </c>
      <c r="P35" s="278">
        <f t="shared" si="4"/>
        <v>87813.554400000008</v>
      </c>
      <c r="Q35" s="149"/>
      <c r="X35" s="177"/>
    </row>
    <row r="36" spans="1:27" s="109" customFormat="1" ht="12" x14ac:dyDescent="0.2">
      <c r="A36" s="97"/>
      <c r="B36" s="116"/>
      <c r="C36" s="117" t="s">
        <v>123</v>
      </c>
      <c r="D36" s="117" t="s">
        <v>69</v>
      </c>
      <c r="E36" s="118" t="s">
        <v>115</v>
      </c>
      <c r="F36" s="119" t="s">
        <v>116</v>
      </c>
      <c r="G36" s="120" t="s">
        <v>62</v>
      </c>
      <c r="H36" s="121">
        <v>357.1</v>
      </c>
      <c r="I36" s="122">
        <v>11.84</v>
      </c>
      <c r="J36" s="122">
        <v>4228.0600000000004</v>
      </c>
      <c r="K36" s="85">
        <f t="shared" si="5"/>
        <v>-2.14</v>
      </c>
      <c r="L36" s="86">
        <f t="shared" si="0"/>
        <v>11.84</v>
      </c>
      <c r="M36" s="277">
        <f t="shared" si="1"/>
        <v>-25.337600000000002</v>
      </c>
      <c r="N36" s="87">
        <f t="shared" si="2"/>
        <v>354.96000000000004</v>
      </c>
      <c r="O36" s="88">
        <f t="shared" si="3"/>
        <v>11.84</v>
      </c>
      <c r="P36" s="278">
        <f t="shared" si="4"/>
        <v>4202.7264000000005</v>
      </c>
      <c r="Q36" s="149"/>
      <c r="U36" s="328" t="s">
        <v>1137</v>
      </c>
      <c r="W36" s="327" t="s">
        <v>1189</v>
      </c>
      <c r="X36" s="177"/>
    </row>
    <row r="37" spans="1:27" s="109" customFormat="1" ht="36" x14ac:dyDescent="0.2">
      <c r="A37" s="97"/>
      <c r="B37" s="116"/>
      <c r="C37" s="117" t="s">
        <v>126</v>
      </c>
      <c r="D37" s="117" t="s">
        <v>69</v>
      </c>
      <c r="E37" s="118" t="s">
        <v>118</v>
      </c>
      <c r="F37" s="119" t="s">
        <v>119</v>
      </c>
      <c r="G37" s="120" t="s">
        <v>120</v>
      </c>
      <c r="H37" s="121">
        <v>570.70000000000005</v>
      </c>
      <c r="I37" s="122">
        <v>116</v>
      </c>
      <c r="J37" s="122">
        <v>66201.2</v>
      </c>
      <c r="K37" s="85">
        <f t="shared" si="5"/>
        <v>-3.42</v>
      </c>
      <c r="L37" s="86">
        <f t="shared" si="0"/>
        <v>116</v>
      </c>
      <c r="M37" s="277">
        <f t="shared" si="1"/>
        <v>-396.71999999999997</v>
      </c>
      <c r="N37" s="87">
        <f t="shared" si="2"/>
        <v>567.28000000000009</v>
      </c>
      <c r="O37" s="88">
        <f t="shared" si="3"/>
        <v>116</v>
      </c>
      <c r="P37" s="278">
        <f t="shared" si="4"/>
        <v>65804.48000000001</v>
      </c>
      <c r="Q37" s="149"/>
      <c r="S37" s="148" t="s">
        <v>1137</v>
      </c>
      <c r="U37" s="328"/>
      <c r="W37" s="327"/>
      <c r="X37" s="177"/>
    </row>
    <row r="38" spans="1:27" s="109" customFormat="1" ht="36" x14ac:dyDescent="0.2">
      <c r="A38" s="97"/>
      <c r="B38" s="116"/>
      <c r="C38" s="117" t="s">
        <v>131</v>
      </c>
      <c r="D38" s="117" t="s">
        <v>69</v>
      </c>
      <c r="E38" s="118" t="s">
        <v>121</v>
      </c>
      <c r="F38" s="119" t="s">
        <v>122</v>
      </c>
      <c r="G38" s="120" t="s">
        <v>62</v>
      </c>
      <c r="H38" s="121">
        <v>735.24</v>
      </c>
      <c r="I38" s="122">
        <v>286.72000000000003</v>
      </c>
      <c r="J38" s="122">
        <v>210808.01</v>
      </c>
      <c r="K38" s="85">
        <f t="shared" si="5"/>
        <v>-4.4000000000000004</v>
      </c>
      <c r="L38" s="86">
        <f t="shared" si="0"/>
        <v>286.72000000000003</v>
      </c>
      <c r="M38" s="277">
        <f t="shared" si="1"/>
        <v>-1261.5680000000002</v>
      </c>
      <c r="N38" s="87">
        <f t="shared" si="2"/>
        <v>730.84</v>
      </c>
      <c r="O38" s="88">
        <f t="shared" si="3"/>
        <v>286.72000000000003</v>
      </c>
      <c r="P38" s="278">
        <f t="shared" si="4"/>
        <v>209546.44480000003</v>
      </c>
      <c r="Q38" s="149"/>
      <c r="X38" s="177"/>
    </row>
    <row r="39" spans="1:27" s="109" customFormat="1" ht="60" x14ac:dyDescent="0.2">
      <c r="A39" s="97"/>
      <c r="B39" s="116"/>
      <c r="C39" s="117" t="s">
        <v>135</v>
      </c>
      <c r="D39" s="117" t="s">
        <v>69</v>
      </c>
      <c r="E39" s="118" t="s">
        <v>124</v>
      </c>
      <c r="F39" s="119" t="s">
        <v>125</v>
      </c>
      <c r="G39" s="120" t="s">
        <v>62</v>
      </c>
      <c r="H39" s="121">
        <v>235.26</v>
      </c>
      <c r="I39" s="122">
        <v>318.27999999999997</v>
      </c>
      <c r="J39" s="122">
        <v>74878.55</v>
      </c>
      <c r="K39" s="85">
        <f t="shared" si="5"/>
        <v>-1.41</v>
      </c>
      <c r="L39" s="86">
        <f t="shared" si="0"/>
        <v>318.27999999999997</v>
      </c>
      <c r="M39" s="277">
        <f t="shared" si="1"/>
        <v>-448.77479999999991</v>
      </c>
      <c r="N39" s="87">
        <f t="shared" si="2"/>
        <v>233.85</v>
      </c>
      <c r="O39" s="88">
        <f t="shared" si="3"/>
        <v>318.27999999999997</v>
      </c>
      <c r="P39" s="278">
        <f t="shared" si="4"/>
        <v>74429.777999999991</v>
      </c>
      <c r="Q39" s="149"/>
      <c r="X39" s="177"/>
    </row>
    <row r="40" spans="1:27" s="109" customFormat="1" ht="45" x14ac:dyDescent="0.2">
      <c r="A40" s="97"/>
      <c r="B40" s="116"/>
      <c r="C40" s="123" t="s">
        <v>139</v>
      </c>
      <c r="D40" s="123" t="s">
        <v>127</v>
      </c>
      <c r="E40" s="124" t="s">
        <v>128</v>
      </c>
      <c r="F40" s="125" t="s">
        <v>129</v>
      </c>
      <c r="G40" s="126" t="s">
        <v>120</v>
      </c>
      <c r="H40" s="127">
        <v>423.46800000000002</v>
      </c>
      <c r="I40" s="128">
        <v>190.76</v>
      </c>
      <c r="J40" s="128">
        <v>80780.759999999995</v>
      </c>
      <c r="K40" s="85">
        <f t="shared" si="5"/>
        <v>-2.5299999999999998</v>
      </c>
      <c r="L40" s="86">
        <f t="shared" si="0"/>
        <v>190.76</v>
      </c>
      <c r="M40" s="277">
        <f t="shared" si="1"/>
        <v>-482.62279999999993</v>
      </c>
      <c r="N40" s="87">
        <f t="shared" si="2"/>
        <v>420.93800000000005</v>
      </c>
      <c r="O40" s="88">
        <f t="shared" si="3"/>
        <v>190.76</v>
      </c>
      <c r="P40" s="278">
        <f t="shared" si="4"/>
        <v>80298.132880000005</v>
      </c>
      <c r="Q40" s="149"/>
      <c r="X40" s="177"/>
      <c r="Y40" s="150" t="s">
        <v>1218</v>
      </c>
      <c r="Z40" s="109" t="s">
        <v>1239</v>
      </c>
      <c r="AA40" s="109" t="s">
        <v>1102</v>
      </c>
    </row>
    <row r="41" spans="1:27" s="109" customFormat="1" ht="36" x14ac:dyDescent="0.2">
      <c r="A41" s="97"/>
      <c r="B41" s="116"/>
      <c r="C41" s="117" t="s">
        <v>142</v>
      </c>
      <c r="D41" s="117" t="s">
        <v>69</v>
      </c>
      <c r="E41" s="118" t="s">
        <v>299</v>
      </c>
      <c r="F41" s="119" t="s">
        <v>300</v>
      </c>
      <c r="G41" s="120" t="s">
        <v>72</v>
      </c>
      <c r="H41" s="121">
        <v>5.016</v>
      </c>
      <c r="I41" s="122">
        <v>18.41</v>
      </c>
      <c r="J41" s="122">
        <v>92.34</v>
      </c>
      <c r="K41" s="85">
        <f t="shared" si="5"/>
        <v>-0.03</v>
      </c>
      <c r="L41" s="86">
        <f t="shared" si="0"/>
        <v>18.41</v>
      </c>
      <c r="M41" s="277">
        <f t="shared" si="1"/>
        <v>-0.55230000000000001</v>
      </c>
      <c r="N41" s="87">
        <f t="shared" si="2"/>
        <v>4.9859999999999998</v>
      </c>
      <c r="O41" s="88">
        <f t="shared" si="3"/>
        <v>18.41</v>
      </c>
      <c r="P41" s="278">
        <f t="shared" si="4"/>
        <v>91.792259999999999</v>
      </c>
      <c r="Q41" s="149"/>
      <c r="X41" s="177"/>
    </row>
    <row r="42" spans="1:27" s="109" customFormat="1" ht="24" x14ac:dyDescent="0.2">
      <c r="A42" s="97"/>
      <c r="B42" s="116"/>
      <c r="C42" s="117" t="s">
        <v>145</v>
      </c>
      <c r="D42" s="117" t="s">
        <v>69</v>
      </c>
      <c r="E42" s="118" t="s">
        <v>301</v>
      </c>
      <c r="F42" s="119" t="s">
        <v>302</v>
      </c>
      <c r="G42" s="120" t="s">
        <v>72</v>
      </c>
      <c r="H42" s="121">
        <v>5.016</v>
      </c>
      <c r="I42" s="122">
        <v>27.62</v>
      </c>
      <c r="J42" s="122">
        <v>138.54</v>
      </c>
      <c r="K42" s="85">
        <f t="shared" si="5"/>
        <v>-0.03</v>
      </c>
      <c r="L42" s="86">
        <f t="shared" si="0"/>
        <v>27.62</v>
      </c>
      <c r="M42" s="277">
        <f t="shared" si="1"/>
        <v>-0.8286</v>
      </c>
      <c r="N42" s="87">
        <f t="shared" si="2"/>
        <v>4.9859999999999998</v>
      </c>
      <c r="O42" s="88">
        <f t="shared" si="3"/>
        <v>27.62</v>
      </c>
      <c r="P42" s="278">
        <f t="shared" si="4"/>
        <v>137.71332000000001</v>
      </c>
      <c r="Q42" s="149"/>
      <c r="X42" s="177"/>
    </row>
    <row r="43" spans="1:27" s="109" customFormat="1" ht="12" x14ac:dyDescent="0.2">
      <c r="A43" s="97"/>
      <c r="B43" s="116"/>
      <c r="C43" s="117" t="s">
        <v>148</v>
      </c>
      <c r="D43" s="117" t="s">
        <v>69</v>
      </c>
      <c r="E43" s="118" t="s">
        <v>303</v>
      </c>
      <c r="F43" s="119" t="s">
        <v>304</v>
      </c>
      <c r="G43" s="120" t="s">
        <v>72</v>
      </c>
      <c r="H43" s="121">
        <v>5.016</v>
      </c>
      <c r="I43" s="122">
        <v>11.84</v>
      </c>
      <c r="J43" s="122">
        <v>59.39</v>
      </c>
      <c r="K43" s="85">
        <f t="shared" si="5"/>
        <v>-0.03</v>
      </c>
      <c r="L43" s="86">
        <f t="shared" si="0"/>
        <v>11.84</v>
      </c>
      <c r="M43" s="277">
        <f t="shared" si="1"/>
        <v>-0.35519999999999996</v>
      </c>
      <c r="N43" s="87">
        <f t="shared" si="2"/>
        <v>4.9859999999999998</v>
      </c>
      <c r="O43" s="88">
        <f t="shared" si="3"/>
        <v>11.84</v>
      </c>
      <c r="P43" s="278">
        <f t="shared" si="4"/>
        <v>59.034239999999997</v>
      </c>
      <c r="Q43" s="149"/>
      <c r="X43" s="177"/>
    </row>
    <row r="44" spans="1:27" s="109" customFormat="1" ht="12" x14ac:dyDescent="0.2">
      <c r="A44" s="97"/>
      <c r="B44" s="116"/>
      <c r="C44" s="123" t="s">
        <v>151</v>
      </c>
      <c r="D44" s="123" t="s">
        <v>127</v>
      </c>
      <c r="E44" s="124" t="s">
        <v>305</v>
      </c>
      <c r="F44" s="125" t="s">
        <v>306</v>
      </c>
      <c r="G44" s="126" t="s">
        <v>307</v>
      </c>
      <c r="H44" s="127">
        <v>7.4999999999999997E-2</v>
      </c>
      <c r="I44" s="128">
        <v>170.98</v>
      </c>
      <c r="J44" s="128">
        <v>12.82</v>
      </c>
      <c r="K44" s="85">
        <f t="shared" si="5"/>
        <v>0</v>
      </c>
      <c r="L44" s="86">
        <f t="shared" si="0"/>
        <v>170.98</v>
      </c>
      <c r="M44" s="277">
        <f t="shared" si="1"/>
        <v>0</v>
      </c>
      <c r="N44" s="87">
        <f t="shared" si="2"/>
        <v>7.4999999999999997E-2</v>
      </c>
      <c r="O44" s="88">
        <f t="shared" si="3"/>
        <v>170.98</v>
      </c>
      <c r="P44" s="278">
        <f t="shared" si="4"/>
        <v>12.823499999999999</v>
      </c>
      <c r="Q44" s="149"/>
      <c r="X44" s="177"/>
    </row>
    <row r="45" spans="1:27" s="109" customFormat="1" ht="24" x14ac:dyDescent="0.2">
      <c r="A45" s="97"/>
      <c r="B45" s="116"/>
      <c r="C45" s="117" t="s">
        <v>155</v>
      </c>
      <c r="D45" s="117" t="s">
        <v>69</v>
      </c>
      <c r="E45" s="118" t="s">
        <v>308</v>
      </c>
      <c r="F45" s="119" t="s">
        <v>309</v>
      </c>
      <c r="G45" s="120" t="s">
        <v>72</v>
      </c>
      <c r="H45" s="121">
        <v>5.016</v>
      </c>
      <c r="I45" s="122">
        <v>5.26</v>
      </c>
      <c r="J45" s="122">
        <v>26.38</v>
      </c>
      <c r="K45" s="85">
        <f t="shared" si="5"/>
        <v>-0.03</v>
      </c>
      <c r="L45" s="86">
        <f t="shared" si="0"/>
        <v>5.26</v>
      </c>
      <c r="M45" s="277">
        <f t="shared" si="1"/>
        <v>-0.1578</v>
      </c>
      <c r="N45" s="87">
        <f t="shared" si="2"/>
        <v>4.9859999999999998</v>
      </c>
      <c r="O45" s="88">
        <f t="shared" si="3"/>
        <v>5.26</v>
      </c>
      <c r="P45" s="278">
        <f t="shared" si="4"/>
        <v>26.226359999999996</v>
      </c>
      <c r="Q45" s="149"/>
      <c r="X45" s="177"/>
    </row>
    <row r="46" spans="1:27" s="110" customFormat="1" ht="12.75" x14ac:dyDescent="0.2">
      <c r="C46" s="245"/>
      <c r="D46" s="246" t="s">
        <v>3</v>
      </c>
      <c r="E46" s="247" t="s">
        <v>76</v>
      </c>
      <c r="F46" s="247" t="s">
        <v>130</v>
      </c>
      <c r="G46" s="245"/>
      <c r="H46" s="245"/>
      <c r="I46" s="245"/>
      <c r="J46" s="248">
        <v>13677.75</v>
      </c>
      <c r="K46" s="243"/>
      <c r="L46" s="244"/>
      <c r="M46" s="279">
        <f>M47</f>
        <v>-81.871200000000016</v>
      </c>
      <c r="N46" s="280"/>
      <c r="O46" s="244"/>
      <c r="P46" s="279">
        <f>P47</f>
        <v>13595.880000000001</v>
      </c>
      <c r="Q46" s="170"/>
      <c r="X46" s="177"/>
    </row>
    <row r="47" spans="1:27" s="109" customFormat="1" ht="12" x14ac:dyDescent="0.2">
      <c r="A47" s="97"/>
      <c r="B47" s="116"/>
      <c r="C47" s="117" t="s">
        <v>158</v>
      </c>
      <c r="D47" s="117" t="s">
        <v>69</v>
      </c>
      <c r="E47" s="118" t="s">
        <v>132</v>
      </c>
      <c r="F47" s="119" t="s">
        <v>133</v>
      </c>
      <c r="G47" s="120" t="s">
        <v>61</v>
      </c>
      <c r="H47" s="121">
        <v>415.99</v>
      </c>
      <c r="I47" s="122">
        <v>32.880000000000003</v>
      </c>
      <c r="J47" s="122">
        <v>13677.75</v>
      </c>
      <c r="K47" s="85">
        <f t="shared" si="5"/>
        <v>-2.4900000000000002</v>
      </c>
      <c r="L47" s="86">
        <f t="shared" si="0"/>
        <v>32.880000000000003</v>
      </c>
      <c r="M47" s="277">
        <f t="shared" si="1"/>
        <v>-81.871200000000016</v>
      </c>
      <c r="N47" s="87">
        <f t="shared" si="2"/>
        <v>413.5</v>
      </c>
      <c r="O47" s="88">
        <f t="shared" si="3"/>
        <v>32.880000000000003</v>
      </c>
      <c r="P47" s="278">
        <f t="shared" si="4"/>
        <v>13595.880000000001</v>
      </c>
      <c r="Q47" s="149"/>
    </row>
    <row r="48" spans="1:27" s="110" customFormat="1" ht="12.75" x14ac:dyDescent="0.2">
      <c r="C48" s="245"/>
      <c r="D48" s="246" t="s">
        <v>3</v>
      </c>
      <c r="E48" s="247" t="s">
        <v>73</v>
      </c>
      <c r="F48" s="247" t="s">
        <v>134</v>
      </c>
      <c r="G48" s="245"/>
      <c r="H48" s="245"/>
      <c r="I48" s="245"/>
      <c r="J48" s="248">
        <v>12647.21</v>
      </c>
      <c r="K48" s="243"/>
      <c r="L48" s="244"/>
      <c r="M48" s="279">
        <f>SUM(M49:M53)</f>
        <v>0</v>
      </c>
      <c r="N48" s="280"/>
      <c r="O48" s="244"/>
      <c r="P48" s="279">
        <f>SUM(P49:P53)</f>
        <v>12647.21</v>
      </c>
      <c r="Q48" s="170"/>
    </row>
    <row r="49" spans="1:17" s="109" customFormat="1" ht="24" x14ac:dyDescent="0.2">
      <c r="A49" s="97"/>
      <c r="B49" s="116"/>
      <c r="C49" s="117" t="s">
        <v>161</v>
      </c>
      <c r="D49" s="117" t="s">
        <v>69</v>
      </c>
      <c r="E49" s="118" t="s">
        <v>136</v>
      </c>
      <c r="F49" s="119" t="s">
        <v>137</v>
      </c>
      <c r="G49" s="120" t="s">
        <v>138</v>
      </c>
      <c r="H49" s="121">
        <v>26</v>
      </c>
      <c r="I49" s="122">
        <v>122.32</v>
      </c>
      <c r="J49" s="122">
        <v>3180.32</v>
      </c>
      <c r="K49" s="85">
        <v>0</v>
      </c>
      <c r="L49" s="86">
        <f t="shared" si="0"/>
        <v>122.32</v>
      </c>
      <c r="M49" s="277">
        <f t="shared" si="1"/>
        <v>0</v>
      </c>
      <c r="N49" s="87">
        <f t="shared" si="2"/>
        <v>26</v>
      </c>
      <c r="O49" s="88">
        <f t="shared" si="3"/>
        <v>122.32</v>
      </c>
      <c r="P49" s="278">
        <f t="shared" si="4"/>
        <v>3180.3199999999997</v>
      </c>
      <c r="Q49" s="149"/>
    </row>
    <row r="50" spans="1:17" s="109" customFormat="1" ht="12" x14ac:dyDescent="0.2">
      <c r="A50" s="97"/>
      <c r="B50" s="116"/>
      <c r="C50" s="123" t="s">
        <v>164</v>
      </c>
      <c r="D50" s="123" t="s">
        <v>127</v>
      </c>
      <c r="E50" s="124" t="s">
        <v>140</v>
      </c>
      <c r="F50" s="125" t="s">
        <v>141</v>
      </c>
      <c r="G50" s="126" t="s">
        <v>138</v>
      </c>
      <c r="H50" s="127">
        <v>1</v>
      </c>
      <c r="I50" s="128">
        <v>270.94</v>
      </c>
      <c r="J50" s="128">
        <v>270.94</v>
      </c>
      <c r="K50" s="85">
        <v>0</v>
      </c>
      <c r="L50" s="86">
        <f t="shared" si="0"/>
        <v>270.94</v>
      </c>
      <c r="M50" s="277">
        <f t="shared" si="1"/>
        <v>0</v>
      </c>
      <c r="N50" s="87">
        <f t="shared" si="2"/>
        <v>1</v>
      </c>
      <c r="O50" s="88">
        <f t="shared" si="3"/>
        <v>270.94</v>
      </c>
      <c r="P50" s="278">
        <f t="shared" si="4"/>
        <v>270.94</v>
      </c>
      <c r="Q50" s="149"/>
    </row>
    <row r="51" spans="1:17" s="109" customFormat="1" ht="12" x14ac:dyDescent="0.2">
      <c r="A51" s="97"/>
      <c r="B51" s="116"/>
      <c r="C51" s="123" t="s">
        <v>167</v>
      </c>
      <c r="D51" s="123" t="s">
        <v>127</v>
      </c>
      <c r="E51" s="124" t="s">
        <v>146</v>
      </c>
      <c r="F51" s="125" t="s">
        <v>147</v>
      </c>
      <c r="G51" s="126" t="s">
        <v>138</v>
      </c>
      <c r="H51" s="127">
        <v>25</v>
      </c>
      <c r="I51" s="128">
        <v>345.9</v>
      </c>
      <c r="J51" s="128">
        <v>8647.5</v>
      </c>
      <c r="K51" s="85">
        <v>0</v>
      </c>
      <c r="L51" s="86">
        <f t="shared" si="0"/>
        <v>345.9</v>
      </c>
      <c r="M51" s="277">
        <f t="shared" si="1"/>
        <v>0</v>
      </c>
      <c r="N51" s="87">
        <f t="shared" si="2"/>
        <v>25</v>
      </c>
      <c r="O51" s="88">
        <f t="shared" si="3"/>
        <v>345.9</v>
      </c>
      <c r="P51" s="278">
        <f t="shared" si="4"/>
        <v>8647.5</v>
      </c>
      <c r="Q51" s="149"/>
    </row>
    <row r="52" spans="1:17" s="109" customFormat="1" ht="24" x14ac:dyDescent="0.2">
      <c r="A52" s="97"/>
      <c r="B52" s="116"/>
      <c r="C52" s="117" t="s">
        <v>170</v>
      </c>
      <c r="D52" s="117" t="s">
        <v>69</v>
      </c>
      <c r="E52" s="118" t="s">
        <v>149</v>
      </c>
      <c r="F52" s="119" t="s">
        <v>150</v>
      </c>
      <c r="G52" s="120" t="s">
        <v>138</v>
      </c>
      <c r="H52" s="121">
        <v>1</v>
      </c>
      <c r="I52" s="122">
        <v>152.57</v>
      </c>
      <c r="J52" s="122">
        <v>152.57</v>
      </c>
      <c r="K52" s="85">
        <v>0</v>
      </c>
      <c r="L52" s="86">
        <f t="shared" si="0"/>
        <v>152.57</v>
      </c>
      <c r="M52" s="277">
        <f t="shared" si="1"/>
        <v>0</v>
      </c>
      <c r="N52" s="87">
        <f t="shared" si="2"/>
        <v>1</v>
      </c>
      <c r="O52" s="88">
        <f t="shared" si="3"/>
        <v>152.57</v>
      </c>
      <c r="P52" s="278">
        <f t="shared" si="4"/>
        <v>152.57</v>
      </c>
      <c r="Q52" s="149"/>
    </row>
    <row r="53" spans="1:17" s="109" customFormat="1" ht="12" x14ac:dyDescent="0.2">
      <c r="A53" s="97"/>
      <c r="B53" s="116"/>
      <c r="C53" s="123" t="s">
        <v>173</v>
      </c>
      <c r="D53" s="123" t="s">
        <v>127</v>
      </c>
      <c r="E53" s="124" t="s">
        <v>152</v>
      </c>
      <c r="F53" s="125" t="s">
        <v>153</v>
      </c>
      <c r="G53" s="126" t="s">
        <v>138</v>
      </c>
      <c r="H53" s="127">
        <v>1</v>
      </c>
      <c r="I53" s="128">
        <v>395.88</v>
      </c>
      <c r="J53" s="128">
        <v>395.88</v>
      </c>
      <c r="K53" s="85">
        <v>0</v>
      </c>
      <c r="L53" s="86">
        <f t="shared" si="0"/>
        <v>395.88</v>
      </c>
      <c r="M53" s="277">
        <f t="shared" si="1"/>
        <v>0</v>
      </c>
      <c r="N53" s="87">
        <f t="shared" si="2"/>
        <v>1</v>
      </c>
      <c r="O53" s="88">
        <f t="shared" si="3"/>
        <v>395.88</v>
      </c>
      <c r="P53" s="278">
        <f t="shared" si="4"/>
        <v>395.88</v>
      </c>
      <c r="Q53" s="149"/>
    </row>
    <row r="54" spans="1:17" s="110" customFormat="1" ht="12.75" x14ac:dyDescent="0.2">
      <c r="C54" s="245"/>
      <c r="D54" s="246" t="s">
        <v>3</v>
      </c>
      <c r="E54" s="247" t="s">
        <v>81</v>
      </c>
      <c r="F54" s="247" t="s">
        <v>154</v>
      </c>
      <c r="G54" s="245"/>
      <c r="H54" s="245"/>
      <c r="I54" s="245"/>
      <c r="J54" s="248">
        <v>505690.62</v>
      </c>
      <c r="K54" s="243"/>
      <c r="L54" s="244"/>
      <c r="M54" s="279">
        <f>SUM(M55:M64)</f>
        <v>0</v>
      </c>
      <c r="N54" s="280"/>
      <c r="O54" s="244"/>
      <c r="P54" s="279">
        <f>SUM(P55:P64)</f>
        <v>505690.62381999998</v>
      </c>
      <c r="Q54" s="170"/>
    </row>
    <row r="55" spans="1:17" s="109" customFormat="1" ht="36" x14ac:dyDescent="0.2">
      <c r="A55" s="97"/>
      <c r="B55" s="116"/>
      <c r="C55" s="117" t="s">
        <v>176</v>
      </c>
      <c r="D55" s="117" t="s">
        <v>69</v>
      </c>
      <c r="E55" s="118" t="s">
        <v>156</v>
      </c>
      <c r="F55" s="119" t="s">
        <v>157</v>
      </c>
      <c r="G55" s="120" t="s">
        <v>72</v>
      </c>
      <c r="H55" s="121">
        <v>283.096</v>
      </c>
      <c r="I55" s="122">
        <v>319.88</v>
      </c>
      <c r="J55" s="122">
        <v>90556.75</v>
      </c>
      <c r="K55" s="85">
        <v>0</v>
      </c>
      <c r="L55" s="86">
        <f t="shared" si="0"/>
        <v>319.88</v>
      </c>
      <c r="M55" s="277">
        <f t="shared" si="1"/>
        <v>0</v>
      </c>
      <c r="N55" s="87">
        <f t="shared" si="2"/>
        <v>283.096</v>
      </c>
      <c r="O55" s="88">
        <f t="shared" si="3"/>
        <v>319.88</v>
      </c>
      <c r="P55" s="278">
        <f t="shared" si="4"/>
        <v>90556.748479999995</v>
      </c>
      <c r="Q55" s="149"/>
    </row>
    <row r="56" spans="1:17" s="109" customFormat="1" ht="24" x14ac:dyDescent="0.2">
      <c r="A56" s="97"/>
      <c r="B56" s="116"/>
      <c r="C56" s="117" t="s">
        <v>179</v>
      </c>
      <c r="D56" s="117" t="s">
        <v>69</v>
      </c>
      <c r="E56" s="118" t="s">
        <v>159</v>
      </c>
      <c r="F56" s="119" t="s">
        <v>160</v>
      </c>
      <c r="G56" s="120" t="s">
        <v>72</v>
      </c>
      <c r="H56" s="121">
        <v>157.92699999999999</v>
      </c>
      <c r="I56" s="122">
        <v>251.97</v>
      </c>
      <c r="J56" s="122">
        <v>39792.870000000003</v>
      </c>
      <c r="K56" s="85">
        <v>0</v>
      </c>
      <c r="L56" s="86">
        <f t="shared" si="0"/>
        <v>251.97</v>
      </c>
      <c r="M56" s="277">
        <f t="shared" si="1"/>
        <v>0</v>
      </c>
      <c r="N56" s="87">
        <f t="shared" si="2"/>
        <v>157.92699999999999</v>
      </c>
      <c r="O56" s="88">
        <f t="shared" si="3"/>
        <v>251.97</v>
      </c>
      <c r="P56" s="278">
        <f t="shared" si="4"/>
        <v>39792.866190000001</v>
      </c>
      <c r="Q56" s="149"/>
    </row>
    <row r="57" spans="1:17" s="109" customFormat="1" ht="24" x14ac:dyDescent="0.2">
      <c r="A57" s="97"/>
      <c r="B57" s="116"/>
      <c r="C57" s="117" t="s">
        <v>183</v>
      </c>
      <c r="D57" s="117" t="s">
        <v>69</v>
      </c>
      <c r="E57" s="118" t="s">
        <v>162</v>
      </c>
      <c r="F57" s="119" t="s">
        <v>163</v>
      </c>
      <c r="G57" s="120" t="s">
        <v>72</v>
      </c>
      <c r="H57" s="121">
        <v>294.63499999999999</v>
      </c>
      <c r="I57" s="122">
        <v>155.66999999999999</v>
      </c>
      <c r="J57" s="122">
        <v>45865.83</v>
      </c>
      <c r="K57" s="85">
        <v>0</v>
      </c>
      <c r="L57" s="86">
        <f t="shared" si="0"/>
        <v>155.66999999999999</v>
      </c>
      <c r="M57" s="277">
        <f t="shared" si="1"/>
        <v>0</v>
      </c>
      <c r="N57" s="87">
        <f t="shared" si="2"/>
        <v>294.63499999999999</v>
      </c>
      <c r="O57" s="88">
        <f t="shared" si="3"/>
        <v>155.66999999999999</v>
      </c>
      <c r="P57" s="278">
        <f t="shared" si="4"/>
        <v>45865.830449999994</v>
      </c>
      <c r="Q57" s="149"/>
    </row>
    <row r="58" spans="1:17" s="109" customFormat="1" ht="48" x14ac:dyDescent="0.2">
      <c r="A58" s="97"/>
      <c r="B58" s="116"/>
      <c r="C58" s="117" t="s">
        <v>186</v>
      </c>
      <c r="D58" s="117" t="s">
        <v>69</v>
      </c>
      <c r="E58" s="118" t="s">
        <v>325</v>
      </c>
      <c r="F58" s="119" t="s">
        <v>326</v>
      </c>
      <c r="G58" s="120" t="s">
        <v>72</v>
      </c>
      <c r="H58" s="121">
        <v>11.539</v>
      </c>
      <c r="I58" s="122">
        <v>420.19</v>
      </c>
      <c r="J58" s="122">
        <v>4848.57</v>
      </c>
      <c r="K58" s="85">
        <v>0</v>
      </c>
      <c r="L58" s="86">
        <f t="shared" si="0"/>
        <v>420.19</v>
      </c>
      <c r="M58" s="277">
        <f t="shared" si="1"/>
        <v>0</v>
      </c>
      <c r="N58" s="87">
        <f t="shared" si="2"/>
        <v>11.539</v>
      </c>
      <c r="O58" s="88">
        <f t="shared" si="3"/>
        <v>420.19</v>
      </c>
      <c r="P58" s="278">
        <f t="shared" si="4"/>
        <v>4848.5724099999998</v>
      </c>
      <c r="Q58" s="149"/>
    </row>
    <row r="59" spans="1:17" s="109" customFormat="1" ht="36" x14ac:dyDescent="0.2">
      <c r="A59" s="97"/>
      <c r="B59" s="116"/>
      <c r="C59" s="117" t="s">
        <v>189</v>
      </c>
      <c r="D59" s="117" t="s">
        <v>69</v>
      </c>
      <c r="E59" s="118" t="s">
        <v>327</v>
      </c>
      <c r="F59" s="119" t="s">
        <v>328</v>
      </c>
      <c r="G59" s="120" t="s">
        <v>72</v>
      </c>
      <c r="H59" s="121">
        <v>11.539</v>
      </c>
      <c r="I59" s="122">
        <v>315.11</v>
      </c>
      <c r="J59" s="122">
        <v>3636.05</v>
      </c>
      <c r="K59" s="85">
        <v>0</v>
      </c>
      <c r="L59" s="86">
        <f t="shared" si="0"/>
        <v>315.11</v>
      </c>
      <c r="M59" s="277">
        <f t="shared" si="1"/>
        <v>0</v>
      </c>
      <c r="N59" s="87">
        <f t="shared" si="2"/>
        <v>11.539</v>
      </c>
      <c r="O59" s="88">
        <f t="shared" si="3"/>
        <v>315.11</v>
      </c>
      <c r="P59" s="278">
        <f t="shared" si="4"/>
        <v>3636.05429</v>
      </c>
      <c r="Q59" s="149"/>
    </row>
    <row r="60" spans="1:17" s="109" customFormat="1" ht="24" x14ac:dyDescent="0.2">
      <c r="A60" s="97"/>
      <c r="B60" s="116"/>
      <c r="C60" s="117" t="s">
        <v>192</v>
      </c>
      <c r="D60" s="117" t="s">
        <v>69</v>
      </c>
      <c r="E60" s="118" t="s">
        <v>168</v>
      </c>
      <c r="F60" s="119" t="s">
        <v>169</v>
      </c>
      <c r="G60" s="120" t="s">
        <v>72</v>
      </c>
      <c r="H60" s="121">
        <v>459.541</v>
      </c>
      <c r="I60" s="122">
        <v>18.04</v>
      </c>
      <c r="J60" s="122">
        <v>8290.1200000000008</v>
      </c>
      <c r="K60" s="85">
        <v>0</v>
      </c>
      <c r="L60" s="86">
        <f t="shared" si="0"/>
        <v>18.04</v>
      </c>
      <c r="M60" s="277">
        <f t="shared" si="1"/>
        <v>0</v>
      </c>
      <c r="N60" s="87">
        <f t="shared" si="2"/>
        <v>459.541</v>
      </c>
      <c r="O60" s="88">
        <f t="shared" si="3"/>
        <v>18.04</v>
      </c>
      <c r="P60" s="278">
        <f t="shared" si="4"/>
        <v>8290.119639999999</v>
      </c>
      <c r="Q60" s="149"/>
    </row>
    <row r="61" spans="1:17" s="109" customFormat="1" ht="48" x14ac:dyDescent="0.2">
      <c r="A61" s="97"/>
      <c r="B61" s="116"/>
      <c r="C61" s="117" t="s">
        <v>195</v>
      </c>
      <c r="D61" s="117" t="s">
        <v>69</v>
      </c>
      <c r="E61" s="118" t="s">
        <v>171</v>
      </c>
      <c r="F61" s="119" t="s">
        <v>172</v>
      </c>
      <c r="G61" s="120" t="s">
        <v>72</v>
      </c>
      <c r="H61" s="121">
        <v>437.512</v>
      </c>
      <c r="I61" s="122">
        <v>396.71</v>
      </c>
      <c r="J61" s="122">
        <v>173565.39</v>
      </c>
      <c r="K61" s="85">
        <v>0</v>
      </c>
      <c r="L61" s="86">
        <f t="shared" si="0"/>
        <v>396.71</v>
      </c>
      <c r="M61" s="277">
        <f t="shared" si="1"/>
        <v>0</v>
      </c>
      <c r="N61" s="87">
        <f t="shared" si="2"/>
        <v>437.512</v>
      </c>
      <c r="O61" s="88">
        <f t="shared" si="3"/>
        <v>396.71</v>
      </c>
      <c r="P61" s="278">
        <f t="shared" si="4"/>
        <v>173565.38551999998</v>
      </c>
      <c r="Q61" s="149"/>
    </row>
    <row r="62" spans="1:17" s="109" customFormat="1" ht="48" x14ac:dyDescent="0.2">
      <c r="A62" s="97"/>
      <c r="B62" s="116"/>
      <c r="C62" s="117" t="s">
        <v>198</v>
      </c>
      <c r="D62" s="117" t="s">
        <v>69</v>
      </c>
      <c r="E62" s="118" t="s">
        <v>329</v>
      </c>
      <c r="F62" s="119" t="s">
        <v>330</v>
      </c>
      <c r="G62" s="120" t="s">
        <v>72</v>
      </c>
      <c r="H62" s="121">
        <v>22.029</v>
      </c>
      <c r="I62" s="122">
        <v>396.71</v>
      </c>
      <c r="J62" s="122">
        <v>8739.1200000000008</v>
      </c>
      <c r="K62" s="85">
        <v>0</v>
      </c>
      <c r="L62" s="86">
        <f t="shared" si="0"/>
        <v>396.71</v>
      </c>
      <c r="M62" s="277">
        <f t="shared" si="1"/>
        <v>0</v>
      </c>
      <c r="N62" s="87">
        <f t="shared" si="2"/>
        <v>22.029</v>
      </c>
      <c r="O62" s="88">
        <f t="shared" si="3"/>
        <v>396.71</v>
      </c>
      <c r="P62" s="278">
        <f t="shared" si="4"/>
        <v>8739.1245899999994</v>
      </c>
      <c r="Q62" s="149"/>
    </row>
    <row r="63" spans="1:17" s="109" customFormat="1" ht="36" x14ac:dyDescent="0.2">
      <c r="A63" s="97"/>
      <c r="B63" s="116"/>
      <c r="C63" s="117" t="s">
        <v>201</v>
      </c>
      <c r="D63" s="117" t="s">
        <v>69</v>
      </c>
      <c r="E63" s="118" t="s">
        <v>174</v>
      </c>
      <c r="F63" s="119" t="s">
        <v>175</v>
      </c>
      <c r="G63" s="120" t="s">
        <v>72</v>
      </c>
      <c r="H63" s="121">
        <v>283.096</v>
      </c>
      <c r="I63" s="122">
        <v>443.02</v>
      </c>
      <c r="J63" s="122">
        <v>125417.19</v>
      </c>
      <c r="K63" s="85">
        <v>0</v>
      </c>
      <c r="L63" s="86">
        <f t="shared" si="0"/>
        <v>443.02</v>
      </c>
      <c r="M63" s="277">
        <f t="shared" si="1"/>
        <v>0</v>
      </c>
      <c r="N63" s="87">
        <f t="shared" si="2"/>
        <v>283.096</v>
      </c>
      <c r="O63" s="88">
        <f t="shared" si="3"/>
        <v>443.02</v>
      </c>
      <c r="P63" s="278">
        <f t="shared" si="4"/>
        <v>125417.18991999999</v>
      </c>
      <c r="Q63" s="149"/>
    </row>
    <row r="64" spans="1:17" s="109" customFormat="1" ht="36" x14ac:dyDescent="0.2">
      <c r="A64" s="97"/>
      <c r="B64" s="116"/>
      <c r="C64" s="117" t="s">
        <v>204</v>
      </c>
      <c r="D64" s="117" t="s">
        <v>69</v>
      </c>
      <c r="E64" s="118" t="s">
        <v>331</v>
      </c>
      <c r="F64" s="119" t="s">
        <v>332</v>
      </c>
      <c r="G64" s="120" t="s">
        <v>72</v>
      </c>
      <c r="H64" s="121">
        <v>11.539</v>
      </c>
      <c r="I64" s="122">
        <v>431.47</v>
      </c>
      <c r="J64" s="122">
        <v>4978.7299999999996</v>
      </c>
      <c r="K64" s="85">
        <v>0</v>
      </c>
      <c r="L64" s="86">
        <f t="shared" si="0"/>
        <v>431.47</v>
      </c>
      <c r="M64" s="277">
        <f t="shared" si="1"/>
        <v>0</v>
      </c>
      <c r="N64" s="87">
        <f t="shared" si="2"/>
        <v>11.539</v>
      </c>
      <c r="O64" s="88">
        <f t="shared" si="3"/>
        <v>431.47</v>
      </c>
      <c r="P64" s="278">
        <f t="shared" si="4"/>
        <v>4978.7323299999998</v>
      </c>
      <c r="Q64" s="149"/>
    </row>
    <row r="65" spans="1:23" s="110" customFormat="1" ht="12.75" x14ac:dyDescent="0.2">
      <c r="C65" s="245"/>
      <c r="D65" s="246" t="s">
        <v>3</v>
      </c>
      <c r="E65" s="247" t="s">
        <v>90</v>
      </c>
      <c r="F65" s="247" t="s">
        <v>182</v>
      </c>
      <c r="G65" s="245"/>
      <c r="H65" s="245"/>
      <c r="I65" s="245"/>
      <c r="J65" s="248">
        <v>1509735.2300000004</v>
      </c>
      <c r="K65" s="243"/>
      <c r="L65" s="244"/>
      <c r="M65" s="279">
        <f>SUM(M66:M96)</f>
        <v>-8347.7803539220859</v>
      </c>
      <c r="N65" s="280"/>
      <c r="O65" s="244"/>
      <c r="P65" s="279">
        <f>SUM(P66:P96)</f>
        <v>1501387.4393360782</v>
      </c>
      <c r="Q65" s="170"/>
    </row>
    <row r="66" spans="1:23" s="109" customFormat="1" ht="36" x14ac:dyDescent="0.2">
      <c r="A66" s="97"/>
      <c r="B66" s="116"/>
      <c r="C66" s="117" t="s">
        <v>207</v>
      </c>
      <c r="D66" s="117" t="s">
        <v>69</v>
      </c>
      <c r="E66" s="118" t="s">
        <v>184</v>
      </c>
      <c r="F66" s="119" t="s">
        <v>185</v>
      </c>
      <c r="G66" s="120" t="s">
        <v>61</v>
      </c>
      <c r="H66" s="121">
        <v>409.1</v>
      </c>
      <c r="I66" s="122">
        <v>552.39</v>
      </c>
      <c r="J66" s="122">
        <v>225982.75</v>
      </c>
      <c r="K66" s="85">
        <f>407.9-H66</f>
        <v>-1.2000000000000455</v>
      </c>
      <c r="L66" s="86">
        <f t="shared" si="0"/>
        <v>552.39</v>
      </c>
      <c r="M66" s="277">
        <f t="shared" si="1"/>
        <v>-662.86800000002506</v>
      </c>
      <c r="N66" s="87">
        <f t="shared" si="2"/>
        <v>407.9</v>
      </c>
      <c r="O66" s="88">
        <f t="shared" si="3"/>
        <v>552.39</v>
      </c>
      <c r="P66" s="278">
        <f t="shared" si="4"/>
        <v>225319.88099999999</v>
      </c>
      <c r="Q66" s="149"/>
      <c r="U66" s="109">
        <v>407.86</v>
      </c>
      <c r="V66" s="109">
        <f>U66+U75</f>
        <v>413.5</v>
      </c>
      <c r="W66" s="160">
        <f>H66+H75</f>
        <v>415.99</v>
      </c>
    </row>
    <row r="67" spans="1:23" s="109" customFormat="1" ht="24" x14ac:dyDescent="0.2">
      <c r="A67" s="97"/>
      <c r="B67" s="116"/>
      <c r="C67" s="123" t="s">
        <v>210</v>
      </c>
      <c r="D67" s="123" t="s">
        <v>127</v>
      </c>
      <c r="E67" s="124" t="s">
        <v>187</v>
      </c>
      <c r="F67" s="125" t="s">
        <v>188</v>
      </c>
      <c r="G67" s="126" t="s">
        <v>61</v>
      </c>
      <c r="H67" s="127">
        <v>415.23700000000002</v>
      </c>
      <c r="I67" s="128">
        <v>1060.07</v>
      </c>
      <c r="J67" s="128">
        <v>440180.29</v>
      </c>
      <c r="K67" s="85">
        <f>H67/H66*K66</f>
        <v>-1.218001466634121</v>
      </c>
      <c r="L67" s="86">
        <f t="shared" si="0"/>
        <v>1060.07</v>
      </c>
      <c r="M67" s="277">
        <f t="shared" si="1"/>
        <v>-1291.1668147348325</v>
      </c>
      <c r="N67" s="87">
        <f t="shared" si="2"/>
        <v>414.0189985333659</v>
      </c>
      <c r="O67" s="88">
        <f t="shared" si="3"/>
        <v>1060.07</v>
      </c>
      <c r="P67" s="278">
        <f t="shared" si="4"/>
        <v>438889.11977526516</v>
      </c>
      <c r="Q67" s="149"/>
      <c r="V67" s="109">
        <f>V66/W66</f>
        <v>0.99401427918940355</v>
      </c>
      <c r="W67" s="109">
        <f>1-V67</f>
        <v>5.985720810596451E-3</v>
      </c>
    </row>
    <row r="68" spans="1:23" s="109" customFormat="1" ht="36" x14ac:dyDescent="0.2">
      <c r="A68" s="97"/>
      <c r="B68" s="116"/>
      <c r="C68" s="117" t="s">
        <v>214</v>
      </c>
      <c r="D68" s="117" t="s">
        <v>69</v>
      </c>
      <c r="E68" s="118" t="s">
        <v>190</v>
      </c>
      <c r="F68" s="119" t="s">
        <v>191</v>
      </c>
      <c r="G68" s="120" t="s">
        <v>138</v>
      </c>
      <c r="H68" s="121">
        <v>6</v>
      </c>
      <c r="I68" s="122">
        <v>195.97</v>
      </c>
      <c r="J68" s="122">
        <v>1175.82</v>
      </c>
      <c r="K68" s="85">
        <v>0</v>
      </c>
      <c r="L68" s="86">
        <f t="shared" si="0"/>
        <v>195.97</v>
      </c>
      <c r="M68" s="277">
        <f t="shared" si="1"/>
        <v>0</v>
      </c>
      <c r="N68" s="87">
        <f t="shared" si="2"/>
        <v>6</v>
      </c>
      <c r="O68" s="88">
        <f t="shared" si="3"/>
        <v>195.97</v>
      </c>
      <c r="P68" s="278">
        <f t="shared" si="4"/>
        <v>1175.82</v>
      </c>
      <c r="Q68" s="149"/>
      <c r="U68" s="109">
        <f>U66-13</f>
        <v>394.86</v>
      </c>
      <c r="V68" s="199">
        <f>K66-U68</f>
        <v>-396.06000000000006</v>
      </c>
    </row>
    <row r="69" spans="1:23" s="109" customFormat="1" ht="24" x14ac:dyDescent="0.2">
      <c r="A69" s="97"/>
      <c r="B69" s="116"/>
      <c r="C69" s="123" t="s">
        <v>217</v>
      </c>
      <c r="D69" s="123" t="s">
        <v>127</v>
      </c>
      <c r="E69" s="124" t="s">
        <v>193</v>
      </c>
      <c r="F69" s="125" t="s">
        <v>194</v>
      </c>
      <c r="G69" s="126" t="s">
        <v>138</v>
      </c>
      <c r="H69" s="127">
        <v>2</v>
      </c>
      <c r="I69" s="128">
        <v>1379.67</v>
      </c>
      <c r="J69" s="128">
        <v>2759.34</v>
      </c>
      <c r="K69" s="85">
        <v>0</v>
      </c>
      <c r="L69" s="86">
        <f t="shared" si="0"/>
        <v>1379.67</v>
      </c>
      <c r="M69" s="277">
        <f t="shared" si="1"/>
        <v>0</v>
      </c>
      <c r="N69" s="87">
        <f t="shared" si="2"/>
        <v>2</v>
      </c>
      <c r="O69" s="88">
        <f t="shared" si="3"/>
        <v>1379.67</v>
      </c>
      <c r="P69" s="278">
        <f t="shared" si="4"/>
        <v>2759.34</v>
      </c>
      <c r="Q69" s="149"/>
      <c r="V69" s="109">
        <f>H66/H67</f>
        <v>0.98522048854027944</v>
      </c>
      <c r="W69" s="109">
        <f>1+(1-V69)</f>
        <v>1.0147795114597207</v>
      </c>
    </row>
    <row r="70" spans="1:23" s="109" customFormat="1" ht="36" x14ac:dyDescent="0.2">
      <c r="A70" s="97"/>
      <c r="B70" s="116"/>
      <c r="C70" s="123" t="s">
        <v>220</v>
      </c>
      <c r="D70" s="123" t="s">
        <v>127</v>
      </c>
      <c r="E70" s="124" t="s">
        <v>196</v>
      </c>
      <c r="F70" s="125" t="s">
        <v>197</v>
      </c>
      <c r="G70" s="126" t="s">
        <v>138</v>
      </c>
      <c r="H70" s="127">
        <v>2</v>
      </c>
      <c r="I70" s="128">
        <v>499.78</v>
      </c>
      <c r="J70" s="128">
        <v>999.56</v>
      </c>
      <c r="K70" s="85">
        <v>0</v>
      </c>
      <c r="L70" s="86">
        <f t="shared" si="0"/>
        <v>499.78</v>
      </c>
      <c r="M70" s="277">
        <f t="shared" si="1"/>
        <v>0</v>
      </c>
      <c r="N70" s="87">
        <f t="shared" si="2"/>
        <v>2</v>
      </c>
      <c r="O70" s="88">
        <f t="shared" si="3"/>
        <v>499.78</v>
      </c>
      <c r="P70" s="278">
        <f t="shared" si="4"/>
        <v>999.56</v>
      </c>
      <c r="Q70" s="149"/>
      <c r="V70" s="109">
        <f>K66*W69-K67</f>
        <v>2.6605288241010605E-4</v>
      </c>
    </row>
    <row r="71" spans="1:23" s="109" customFormat="1" ht="36" x14ac:dyDescent="0.2">
      <c r="A71" s="97"/>
      <c r="B71" s="116"/>
      <c r="C71" s="123" t="s">
        <v>223</v>
      </c>
      <c r="D71" s="123" t="s">
        <v>127</v>
      </c>
      <c r="E71" s="124" t="s">
        <v>199</v>
      </c>
      <c r="F71" s="125" t="s">
        <v>200</v>
      </c>
      <c r="G71" s="126" t="s">
        <v>138</v>
      </c>
      <c r="H71" s="127">
        <v>2</v>
      </c>
      <c r="I71" s="128">
        <v>847</v>
      </c>
      <c r="J71" s="128">
        <v>1694</v>
      </c>
      <c r="K71" s="85">
        <v>0</v>
      </c>
      <c r="L71" s="86">
        <f t="shared" si="0"/>
        <v>847</v>
      </c>
      <c r="M71" s="277">
        <f t="shared" si="1"/>
        <v>0</v>
      </c>
      <c r="N71" s="87">
        <f t="shared" si="2"/>
        <v>2</v>
      </c>
      <c r="O71" s="88">
        <f t="shared" si="3"/>
        <v>847</v>
      </c>
      <c r="P71" s="278">
        <f t="shared" si="4"/>
        <v>1694</v>
      </c>
      <c r="Q71" s="149"/>
    </row>
    <row r="72" spans="1:23" s="109" customFormat="1" ht="36" x14ac:dyDescent="0.2">
      <c r="A72" s="97"/>
      <c r="B72" s="116"/>
      <c r="C72" s="117" t="s">
        <v>226</v>
      </c>
      <c r="D72" s="117" t="s">
        <v>69</v>
      </c>
      <c r="E72" s="118" t="s">
        <v>202</v>
      </c>
      <c r="F72" s="119" t="s">
        <v>203</v>
      </c>
      <c r="G72" s="120" t="s">
        <v>138</v>
      </c>
      <c r="H72" s="121">
        <v>15</v>
      </c>
      <c r="I72" s="122">
        <v>260.41000000000003</v>
      </c>
      <c r="J72" s="122">
        <v>3906.15</v>
      </c>
      <c r="K72" s="85">
        <v>0</v>
      </c>
      <c r="L72" s="86">
        <f t="shared" si="0"/>
        <v>260.41000000000003</v>
      </c>
      <c r="M72" s="277">
        <f t="shared" si="1"/>
        <v>0</v>
      </c>
      <c r="N72" s="87">
        <f t="shared" si="2"/>
        <v>15</v>
      </c>
      <c r="O72" s="88">
        <f t="shared" si="3"/>
        <v>260.41000000000003</v>
      </c>
      <c r="P72" s="278">
        <f t="shared" si="4"/>
        <v>3906.1500000000005</v>
      </c>
      <c r="Q72" s="149"/>
    </row>
    <row r="73" spans="1:23" s="109" customFormat="1" ht="36" x14ac:dyDescent="0.2">
      <c r="A73" s="97"/>
      <c r="B73" s="116"/>
      <c r="C73" s="123" t="s">
        <v>229</v>
      </c>
      <c r="D73" s="123" t="s">
        <v>127</v>
      </c>
      <c r="E73" s="124" t="s">
        <v>205</v>
      </c>
      <c r="F73" s="125" t="s">
        <v>206</v>
      </c>
      <c r="G73" s="126" t="s">
        <v>138</v>
      </c>
      <c r="H73" s="127">
        <v>13</v>
      </c>
      <c r="I73" s="128">
        <v>1801.85</v>
      </c>
      <c r="J73" s="128">
        <v>23424.05</v>
      </c>
      <c r="K73" s="85">
        <v>0</v>
      </c>
      <c r="L73" s="86">
        <f t="shared" si="0"/>
        <v>1801.85</v>
      </c>
      <c r="M73" s="277">
        <f t="shared" si="1"/>
        <v>0</v>
      </c>
      <c r="N73" s="87">
        <f t="shared" si="2"/>
        <v>13</v>
      </c>
      <c r="O73" s="88">
        <f t="shared" si="3"/>
        <v>1801.85</v>
      </c>
      <c r="P73" s="278">
        <f t="shared" si="4"/>
        <v>23424.05</v>
      </c>
      <c r="Q73" s="149"/>
    </row>
    <row r="74" spans="1:23" s="109" customFormat="1" ht="36" x14ac:dyDescent="0.2">
      <c r="A74" s="97"/>
      <c r="B74" s="116"/>
      <c r="C74" s="123" t="s">
        <v>232</v>
      </c>
      <c r="D74" s="123" t="s">
        <v>127</v>
      </c>
      <c r="E74" s="124" t="s">
        <v>208</v>
      </c>
      <c r="F74" s="125" t="s">
        <v>209</v>
      </c>
      <c r="G74" s="126" t="s">
        <v>138</v>
      </c>
      <c r="H74" s="127">
        <v>2</v>
      </c>
      <c r="I74" s="128">
        <v>1839.99</v>
      </c>
      <c r="J74" s="128">
        <v>3679.98</v>
      </c>
      <c r="K74" s="85">
        <v>0</v>
      </c>
      <c r="L74" s="86">
        <f t="shared" si="0"/>
        <v>1839.99</v>
      </c>
      <c r="M74" s="277">
        <f t="shared" si="1"/>
        <v>0</v>
      </c>
      <c r="N74" s="87">
        <f t="shared" si="2"/>
        <v>2</v>
      </c>
      <c r="O74" s="88">
        <f t="shared" si="3"/>
        <v>1839.99</v>
      </c>
      <c r="P74" s="278">
        <f t="shared" si="4"/>
        <v>3679.98</v>
      </c>
      <c r="Q74" s="149"/>
    </row>
    <row r="75" spans="1:23" s="109" customFormat="1" ht="24" x14ac:dyDescent="0.2">
      <c r="A75" s="97"/>
      <c r="B75" s="116"/>
      <c r="C75" s="117" t="s">
        <v>235</v>
      </c>
      <c r="D75" s="117" t="s">
        <v>69</v>
      </c>
      <c r="E75" s="118" t="s">
        <v>334</v>
      </c>
      <c r="F75" s="119" t="s">
        <v>335</v>
      </c>
      <c r="G75" s="120" t="s">
        <v>61</v>
      </c>
      <c r="H75" s="121">
        <v>6.89</v>
      </c>
      <c r="I75" s="122">
        <v>648.4</v>
      </c>
      <c r="J75" s="122">
        <v>4467.4799999999996</v>
      </c>
      <c r="K75" s="85">
        <f>5.6-H75</f>
        <v>-1.29</v>
      </c>
      <c r="L75" s="86">
        <f t="shared" si="0"/>
        <v>648.4</v>
      </c>
      <c r="M75" s="277">
        <f t="shared" si="1"/>
        <v>-836.43600000000004</v>
      </c>
      <c r="N75" s="87">
        <f t="shared" si="2"/>
        <v>5.6</v>
      </c>
      <c r="O75" s="88">
        <f t="shared" si="3"/>
        <v>648.4</v>
      </c>
      <c r="P75" s="278">
        <f t="shared" si="4"/>
        <v>3631.0399999999995</v>
      </c>
      <c r="Q75" s="149"/>
      <c r="U75" s="109">
        <v>5.64</v>
      </c>
      <c r="V75" s="160">
        <f>H75-U75</f>
        <v>1.25</v>
      </c>
    </row>
    <row r="76" spans="1:23" s="109" customFormat="1" ht="24" x14ac:dyDescent="0.2">
      <c r="A76" s="97"/>
      <c r="B76" s="116"/>
      <c r="C76" s="123" t="s">
        <v>238</v>
      </c>
      <c r="D76" s="123" t="s">
        <v>127</v>
      </c>
      <c r="E76" s="124" t="s">
        <v>336</v>
      </c>
      <c r="F76" s="125" t="s">
        <v>337</v>
      </c>
      <c r="G76" s="126" t="s">
        <v>61</v>
      </c>
      <c r="H76" s="127">
        <v>6.9930000000000003</v>
      </c>
      <c r="I76" s="128">
        <v>3344.6</v>
      </c>
      <c r="J76" s="128">
        <v>23388.79</v>
      </c>
      <c r="K76" s="85">
        <f>H76/H75*K75</f>
        <v>-1.3092844702467346</v>
      </c>
      <c r="L76" s="86">
        <f t="shared" si="0"/>
        <v>3344.6</v>
      </c>
      <c r="M76" s="277">
        <f t="shared" si="1"/>
        <v>-4379.0328391872281</v>
      </c>
      <c r="N76" s="87">
        <f t="shared" si="2"/>
        <v>5.6837155297532655</v>
      </c>
      <c r="O76" s="88">
        <f t="shared" si="3"/>
        <v>3344.6</v>
      </c>
      <c r="P76" s="278">
        <f t="shared" si="4"/>
        <v>19009.75496081277</v>
      </c>
      <c r="Q76" s="149"/>
    </row>
    <row r="77" spans="1:23" s="109" customFormat="1" ht="24" x14ac:dyDescent="0.2">
      <c r="A77" s="97"/>
      <c r="B77" s="116"/>
      <c r="C77" s="117" t="s">
        <v>241</v>
      </c>
      <c r="D77" s="117" t="s">
        <v>69</v>
      </c>
      <c r="E77" s="118" t="s">
        <v>211</v>
      </c>
      <c r="F77" s="119" t="s">
        <v>212</v>
      </c>
      <c r="G77" s="120" t="s">
        <v>213</v>
      </c>
      <c r="H77" s="121">
        <v>8</v>
      </c>
      <c r="I77" s="122">
        <v>2564.6799999999998</v>
      </c>
      <c r="J77" s="122">
        <v>20517.439999999999</v>
      </c>
      <c r="K77" s="85">
        <v>0</v>
      </c>
      <c r="L77" s="86">
        <f t="shared" si="0"/>
        <v>2564.6799999999998</v>
      </c>
      <c r="M77" s="277">
        <f t="shared" si="1"/>
        <v>0</v>
      </c>
      <c r="N77" s="87">
        <f t="shared" si="2"/>
        <v>8</v>
      </c>
      <c r="O77" s="88">
        <f t="shared" si="3"/>
        <v>2564.6799999999998</v>
      </c>
      <c r="P77" s="278">
        <f t="shared" si="4"/>
        <v>20517.439999999999</v>
      </c>
      <c r="Q77" s="149"/>
    </row>
    <row r="78" spans="1:23" s="109" customFormat="1" ht="24" x14ac:dyDescent="0.2">
      <c r="A78" s="97"/>
      <c r="B78" s="116"/>
      <c r="C78" s="117" t="s">
        <v>244</v>
      </c>
      <c r="D78" s="117" t="s">
        <v>69</v>
      </c>
      <c r="E78" s="118" t="s">
        <v>215</v>
      </c>
      <c r="F78" s="119" t="s">
        <v>216</v>
      </c>
      <c r="G78" s="120" t="s">
        <v>138</v>
      </c>
      <c r="H78" s="121">
        <v>23</v>
      </c>
      <c r="I78" s="122">
        <v>2016.23</v>
      </c>
      <c r="J78" s="122">
        <v>46373.29</v>
      </c>
      <c r="K78" s="85">
        <v>0</v>
      </c>
      <c r="L78" s="86">
        <f t="shared" si="0"/>
        <v>2016.23</v>
      </c>
      <c r="M78" s="277">
        <f t="shared" si="1"/>
        <v>0</v>
      </c>
      <c r="N78" s="87">
        <f t="shared" si="2"/>
        <v>23</v>
      </c>
      <c r="O78" s="88">
        <f t="shared" si="3"/>
        <v>2016.23</v>
      </c>
      <c r="P78" s="278">
        <f t="shared" si="4"/>
        <v>46373.29</v>
      </c>
      <c r="Q78" s="150" t="s">
        <v>1010</v>
      </c>
    </row>
    <row r="79" spans="1:23" s="109" customFormat="1" ht="24" x14ac:dyDescent="0.2">
      <c r="A79" s="97"/>
      <c r="B79" s="116"/>
      <c r="C79" s="123" t="s">
        <v>247</v>
      </c>
      <c r="D79" s="123" t="s">
        <v>127</v>
      </c>
      <c r="E79" s="124" t="s">
        <v>221</v>
      </c>
      <c r="F79" s="125" t="s">
        <v>222</v>
      </c>
      <c r="G79" s="126" t="s">
        <v>138</v>
      </c>
      <c r="H79" s="127">
        <v>11</v>
      </c>
      <c r="I79" s="128">
        <v>14898.16</v>
      </c>
      <c r="J79" s="128">
        <v>163879.76</v>
      </c>
      <c r="K79" s="85">
        <v>0</v>
      </c>
      <c r="L79" s="86">
        <f t="shared" si="0"/>
        <v>14898.16</v>
      </c>
      <c r="M79" s="277">
        <f t="shared" si="1"/>
        <v>0</v>
      </c>
      <c r="N79" s="87">
        <f t="shared" si="2"/>
        <v>11</v>
      </c>
      <c r="O79" s="88">
        <f t="shared" si="3"/>
        <v>14898.16</v>
      </c>
      <c r="P79" s="278">
        <f t="shared" si="4"/>
        <v>163879.76</v>
      </c>
      <c r="Q79" s="149"/>
    </row>
    <row r="80" spans="1:23" s="109" customFormat="1" ht="24" x14ac:dyDescent="0.2">
      <c r="A80" s="97"/>
      <c r="B80" s="116"/>
      <c r="C80" s="123" t="s">
        <v>250</v>
      </c>
      <c r="D80" s="123" t="s">
        <v>127</v>
      </c>
      <c r="E80" s="124" t="s">
        <v>338</v>
      </c>
      <c r="F80" s="125" t="s">
        <v>339</v>
      </c>
      <c r="G80" s="126" t="s">
        <v>138</v>
      </c>
      <c r="H80" s="127">
        <v>1</v>
      </c>
      <c r="I80" s="128">
        <v>14898.16</v>
      </c>
      <c r="J80" s="128">
        <v>14898.16</v>
      </c>
      <c r="K80" s="85">
        <v>0</v>
      </c>
      <c r="L80" s="86">
        <f t="shared" ref="L80:L111" si="6">I80</f>
        <v>14898.16</v>
      </c>
      <c r="M80" s="277">
        <f t="shared" ref="M80:M111" si="7">K80*L80</f>
        <v>0</v>
      </c>
      <c r="N80" s="87">
        <f t="shared" ref="N80:N111" si="8">H80+K80</f>
        <v>1</v>
      </c>
      <c r="O80" s="88">
        <f t="shared" ref="O80:O111" si="9">I80</f>
        <v>14898.16</v>
      </c>
      <c r="P80" s="278">
        <f t="shared" ref="P80:P111" si="10">N80*O80</f>
        <v>14898.16</v>
      </c>
      <c r="Q80" s="149"/>
    </row>
    <row r="81" spans="1:18" s="109" customFormat="1" ht="24" x14ac:dyDescent="0.2">
      <c r="A81" s="97"/>
      <c r="B81" s="116"/>
      <c r="C81" s="123" t="s">
        <v>253</v>
      </c>
      <c r="D81" s="123" t="s">
        <v>127</v>
      </c>
      <c r="E81" s="124" t="s">
        <v>340</v>
      </c>
      <c r="F81" s="125" t="s">
        <v>341</v>
      </c>
      <c r="G81" s="126" t="s">
        <v>138</v>
      </c>
      <c r="H81" s="127">
        <v>2</v>
      </c>
      <c r="I81" s="128">
        <v>17596.990000000002</v>
      </c>
      <c r="J81" s="128">
        <v>35193.980000000003</v>
      </c>
      <c r="K81" s="85">
        <v>0</v>
      </c>
      <c r="L81" s="86">
        <f t="shared" si="6"/>
        <v>17596.990000000002</v>
      </c>
      <c r="M81" s="277">
        <f t="shared" si="7"/>
        <v>0</v>
      </c>
      <c r="N81" s="87">
        <f t="shared" si="8"/>
        <v>2</v>
      </c>
      <c r="O81" s="88">
        <f t="shared" si="9"/>
        <v>17596.990000000002</v>
      </c>
      <c r="P81" s="278">
        <f t="shared" si="10"/>
        <v>35193.980000000003</v>
      </c>
      <c r="Q81" s="149"/>
    </row>
    <row r="82" spans="1:18" s="109" customFormat="1" ht="24" x14ac:dyDescent="0.2">
      <c r="A82" s="97"/>
      <c r="B82" s="116"/>
      <c r="C82" s="123" t="s">
        <v>256</v>
      </c>
      <c r="D82" s="123" t="s">
        <v>127</v>
      </c>
      <c r="E82" s="124" t="s">
        <v>224</v>
      </c>
      <c r="F82" s="125" t="s">
        <v>225</v>
      </c>
      <c r="G82" s="126" t="s">
        <v>138</v>
      </c>
      <c r="H82" s="127">
        <v>14</v>
      </c>
      <c r="I82" s="128">
        <v>1530.92</v>
      </c>
      <c r="J82" s="128">
        <v>21432.880000000001</v>
      </c>
      <c r="K82" s="85">
        <v>0</v>
      </c>
      <c r="L82" s="86">
        <f t="shared" si="6"/>
        <v>1530.92</v>
      </c>
      <c r="M82" s="277">
        <f t="shared" si="7"/>
        <v>0</v>
      </c>
      <c r="N82" s="87">
        <f t="shared" si="8"/>
        <v>14</v>
      </c>
      <c r="O82" s="88">
        <f t="shared" si="9"/>
        <v>1530.92</v>
      </c>
      <c r="P82" s="278">
        <f t="shared" si="10"/>
        <v>21432.880000000001</v>
      </c>
      <c r="Q82" s="149"/>
    </row>
    <row r="83" spans="1:18" s="109" customFormat="1" ht="24" x14ac:dyDescent="0.2">
      <c r="A83" s="97"/>
      <c r="B83" s="116"/>
      <c r="C83" s="123" t="s">
        <v>259</v>
      </c>
      <c r="D83" s="123" t="s">
        <v>127</v>
      </c>
      <c r="E83" s="124" t="s">
        <v>227</v>
      </c>
      <c r="F83" s="125" t="s">
        <v>228</v>
      </c>
      <c r="G83" s="126" t="s">
        <v>138</v>
      </c>
      <c r="H83" s="127">
        <v>1</v>
      </c>
      <c r="I83" s="128">
        <v>775.98</v>
      </c>
      <c r="J83" s="128">
        <v>775.98</v>
      </c>
      <c r="K83" s="85">
        <v>0</v>
      </c>
      <c r="L83" s="86">
        <f t="shared" si="6"/>
        <v>775.98</v>
      </c>
      <c r="M83" s="277">
        <f t="shared" si="7"/>
        <v>0</v>
      </c>
      <c r="N83" s="87">
        <f t="shared" si="8"/>
        <v>1</v>
      </c>
      <c r="O83" s="88">
        <f t="shared" si="9"/>
        <v>775.98</v>
      </c>
      <c r="P83" s="278">
        <f t="shared" si="10"/>
        <v>775.98</v>
      </c>
      <c r="Q83" s="149"/>
    </row>
    <row r="84" spans="1:18" s="109" customFormat="1" ht="24" x14ac:dyDescent="0.2">
      <c r="A84" s="97"/>
      <c r="B84" s="116"/>
      <c r="C84" s="123" t="s">
        <v>262</v>
      </c>
      <c r="D84" s="123" t="s">
        <v>127</v>
      </c>
      <c r="E84" s="124" t="s">
        <v>230</v>
      </c>
      <c r="F84" s="125" t="s">
        <v>231</v>
      </c>
      <c r="G84" s="126" t="s">
        <v>138</v>
      </c>
      <c r="H84" s="127">
        <v>13</v>
      </c>
      <c r="I84" s="128">
        <v>1202.1099999999999</v>
      </c>
      <c r="J84" s="128">
        <v>15627.43</v>
      </c>
      <c r="K84" s="85">
        <v>0</v>
      </c>
      <c r="L84" s="86">
        <f t="shared" si="6"/>
        <v>1202.1099999999999</v>
      </c>
      <c r="M84" s="277">
        <f t="shared" si="7"/>
        <v>0</v>
      </c>
      <c r="N84" s="87">
        <f t="shared" si="8"/>
        <v>13</v>
      </c>
      <c r="O84" s="88">
        <f t="shared" si="9"/>
        <v>1202.1099999999999</v>
      </c>
      <c r="P84" s="278">
        <f t="shared" si="10"/>
        <v>15627.429999999998</v>
      </c>
      <c r="Q84" s="149"/>
    </row>
    <row r="85" spans="1:18" s="109" customFormat="1" ht="24" x14ac:dyDescent="0.2">
      <c r="A85" s="97"/>
      <c r="B85" s="116"/>
      <c r="C85" s="123" t="s">
        <v>265</v>
      </c>
      <c r="D85" s="123" t="s">
        <v>127</v>
      </c>
      <c r="E85" s="124" t="s">
        <v>233</v>
      </c>
      <c r="F85" s="125" t="s">
        <v>310</v>
      </c>
      <c r="G85" s="126" t="s">
        <v>138</v>
      </c>
      <c r="H85" s="127">
        <v>2</v>
      </c>
      <c r="I85" s="128">
        <v>2648.85</v>
      </c>
      <c r="J85" s="128">
        <v>5297.7</v>
      </c>
      <c r="K85" s="85">
        <v>0</v>
      </c>
      <c r="L85" s="86">
        <f t="shared" si="6"/>
        <v>2648.85</v>
      </c>
      <c r="M85" s="277">
        <f t="shared" si="7"/>
        <v>0</v>
      </c>
      <c r="N85" s="87">
        <f t="shared" si="8"/>
        <v>2</v>
      </c>
      <c r="O85" s="88">
        <f t="shared" si="9"/>
        <v>2648.85</v>
      </c>
      <c r="P85" s="278">
        <f t="shared" si="10"/>
        <v>5297.7</v>
      </c>
      <c r="Q85" s="149"/>
    </row>
    <row r="86" spans="1:18" s="109" customFormat="1" ht="24" x14ac:dyDescent="0.2">
      <c r="A86" s="97"/>
      <c r="B86" s="116"/>
      <c r="C86" s="123" t="s">
        <v>269</v>
      </c>
      <c r="D86" s="123" t="s">
        <v>127</v>
      </c>
      <c r="E86" s="124" t="s">
        <v>236</v>
      </c>
      <c r="F86" s="125" t="s">
        <v>237</v>
      </c>
      <c r="G86" s="126" t="s">
        <v>138</v>
      </c>
      <c r="H86" s="127">
        <v>21</v>
      </c>
      <c r="I86" s="128">
        <v>211.75</v>
      </c>
      <c r="J86" s="128">
        <v>4446.75</v>
      </c>
      <c r="K86" s="85">
        <v>0</v>
      </c>
      <c r="L86" s="86">
        <f t="shared" si="6"/>
        <v>211.75</v>
      </c>
      <c r="M86" s="277">
        <f t="shared" si="7"/>
        <v>0</v>
      </c>
      <c r="N86" s="87">
        <f t="shared" si="8"/>
        <v>21</v>
      </c>
      <c r="O86" s="88">
        <f t="shared" si="9"/>
        <v>211.75</v>
      </c>
      <c r="P86" s="278">
        <f t="shared" si="10"/>
        <v>4446.75</v>
      </c>
      <c r="Q86" s="149"/>
    </row>
    <row r="87" spans="1:18" s="109" customFormat="1" ht="36" x14ac:dyDescent="0.2">
      <c r="A87" s="97"/>
      <c r="B87" s="116"/>
      <c r="C87" s="117" t="s">
        <v>272</v>
      </c>
      <c r="D87" s="117" t="s">
        <v>69</v>
      </c>
      <c r="E87" s="118" t="s">
        <v>239</v>
      </c>
      <c r="F87" s="119" t="s">
        <v>240</v>
      </c>
      <c r="G87" s="120" t="s">
        <v>138</v>
      </c>
      <c r="H87" s="121">
        <v>14</v>
      </c>
      <c r="I87" s="122">
        <v>5935.59</v>
      </c>
      <c r="J87" s="122">
        <v>83098.259999999995</v>
      </c>
      <c r="K87" s="85">
        <v>0</v>
      </c>
      <c r="L87" s="86">
        <f t="shared" si="6"/>
        <v>5935.59</v>
      </c>
      <c r="M87" s="277">
        <f t="shared" si="7"/>
        <v>0</v>
      </c>
      <c r="N87" s="87">
        <f t="shared" si="8"/>
        <v>14</v>
      </c>
      <c r="O87" s="88">
        <f t="shared" si="9"/>
        <v>5935.59</v>
      </c>
      <c r="P87" s="278">
        <f t="shared" si="10"/>
        <v>83098.260000000009</v>
      </c>
      <c r="Q87" s="150" t="s">
        <v>1010</v>
      </c>
      <c r="R87" s="109" t="s">
        <v>1011</v>
      </c>
    </row>
    <row r="88" spans="1:18" s="109" customFormat="1" ht="48" x14ac:dyDescent="0.2">
      <c r="A88" s="97"/>
      <c r="B88" s="116"/>
      <c r="C88" s="117" t="s">
        <v>275</v>
      </c>
      <c r="D88" s="117" t="s">
        <v>69</v>
      </c>
      <c r="E88" s="118" t="s">
        <v>257</v>
      </c>
      <c r="F88" s="119" t="s">
        <v>258</v>
      </c>
      <c r="G88" s="120" t="s">
        <v>138</v>
      </c>
      <c r="H88" s="121">
        <v>2</v>
      </c>
      <c r="I88" s="122">
        <v>35621.4</v>
      </c>
      <c r="J88" s="122">
        <v>71242.8</v>
      </c>
      <c r="K88" s="85">
        <v>0</v>
      </c>
      <c r="L88" s="86">
        <f t="shared" si="6"/>
        <v>35621.4</v>
      </c>
      <c r="M88" s="277">
        <f t="shared" si="7"/>
        <v>0</v>
      </c>
      <c r="N88" s="87">
        <f t="shared" si="8"/>
        <v>2</v>
      </c>
      <c r="O88" s="88">
        <f t="shared" si="9"/>
        <v>35621.4</v>
      </c>
      <c r="P88" s="278">
        <f t="shared" si="10"/>
        <v>71242.8</v>
      </c>
      <c r="Q88" s="149"/>
    </row>
    <row r="89" spans="1:18" s="109" customFormat="1" ht="24" x14ac:dyDescent="0.2">
      <c r="A89" s="97"/>
      <c r="B89" s="116"/>
      <c r="C89" s="117" t="s">
        <v>278</v>
      </c>
      <c r="D89" s="117" t="s">
        <v>69</v>
      </c>
      <c r="E89" s="118" t="s">
        <v>242</v>
      </c>
      <c r="F89" s="119" t="s">
        <v>243</v>
      </c>
      <c r="G89" s="120" t="s">
        <v>138</v>
      </c>
      <c r="H89" s="121">
        <v>14</v>
      </c>
      <c r="I89" s="122">
        <v>485.32</v>
      </c>
      <c r="J89" s="122">
        <v>6794.48</v>
      </c>
      <c r="K89" s="85">
        <v>0</v>
      </c>
      <c r="L89" s="86">
        <f t="shared" si="6"/>
        <v>485.32</v>
      </c>
      <c r="M89" s="277">
        <f t="shared" si="7"/>
        <v>0</v>
      </c>
      <c r="N89" s="87">
        <f t="shared" si="8"/>
        <v>14</v>
      </c>
      <c r="O89" s="88">
        <f t="shared" si="9"/>
        <v>485.32</v>
      </c>
      <c r="P89" s="278">
        <f t="shared" si="10"/>
        <v>6794.48</v>
      </c>
      <c r="Q89" s="149"/>
    </row>
    <row r="90" spans="1:18" s="109" customFormat="1" ht="12" x14ac:dyDescent="0.2">
      <c r="A90" s="97"/>
      <c r="B90" s="116"/>
      <c r="C90" s="123" t="s">
        <v>283</v>
      </c>
      <c r="D90" s="123" t="s">
        <v>127</v>
      </c>
      <c r="E90" s="124" t="s">
        <v>311</v>
      </c>
      <c r="F90" s="125" t="s">
        <v>312</v>
      </c>
      <c r="G90" s="126" t="s">
        <v>138</v>
      </c>
      <c r="H90" s="127">
        <v>1</v>
      </c>
      <c r="I90" s="128">
        <v>6510.34</v>
      </c>
      <c r="J90" s="128">
        <v>6510.34</v>
      </c>
      <c r="K90" s="85">
        <v>0</v>
      </c>
      <c r="L90" s="86">
        <f t="shared" si="6"/>
        <v>6510.34</v>
      </c>
      <c r="M90" s="277">
        <f t="shared" si="7"/>
        <v>0</v>
      </c>
      <c r="N90" s="87">
        <f t="shared" si="8"/>
        <v>1</v>
      </c>
      <c r="O90" s="88">
        <f t="shared" si="9"/>
        <v>6510.34</v>
      </c>
      <c r="P90" s="278">
        <f t="shared" si="10"/>
        <v>6510.34</v>
      </c>
      <c r="Q90" s="149"/>
    </row>
    <row r="91" spans="1:18" s="109" customFormat="1" ht="24" x14ac:dyDescent="0.2">
      <c r="A91" s="97"/>
      <c r="B91" s="116"/>
      <c r="C91" s="123" t="s">
        <v>286</v>
      </c>
      <c r="D91" s="123" t="s">
        <v>127</v>
      </c>
      <c r="E91" s="124" t="s">
        <v>245</v>
      </c>
      <c r="F91" s="125" t="s">
        <v>246</v>
      </c>
      <c r="G91" s="126" t="s">
        <v>138</v>
      </c>
      <c r="H91" s="127">
        <v>9</v>
      </c>
      <c r="I91" s="128">
        <v>6510.34</v>
      </c>
      <c r="J91" s="128">
        <v>58593.06</v>
      </c>
      <c r="K91" s="85">
        <v>0</v>
      </c>
      <c r="L91" s="86">
        <f t="shared" si="6"/>
        <v>6510.34</v>
      </c>
      <c r="M91" s="277">
        <f t="shared" si="7"/>
        <v>0</v>
      </c>
      <c r="N91" s="87">
        <f t="shared" si="8"/>
        <v>9</v>
      </c>
      <c r="O91" s="88">
        <f t="shared" si="9"/>
        <v>6510.34</v>
      </c>
      <c r="P91" s="278">
        <f t="shared" si="10"/>
        <v>58593.06</v>
      </c>
      <c r="Q91" s="149"/>
    </row>
    <row r="92" spans="1:18" s="109" customFormat="1" ht="24" x14ac:dyDescent="0.2">
      <c r="A92" s="97"/>
      <c r="B92" s="116"/>
      <c r="C92" s="123" t="s">
        <v>289</v>
      </c>
      <c r="D92" s="123" t="s">
        <v>127</v>
      </c>
      <c r="E92" s="124" t="s">
        <v>248</v>
      </c>
      <c r="F92" s="125" t="s">
        <v>249</v>
      </c>
      <c r="G92" s="126" t="s">
        <v>138</v>
      </c>
      <c r="H92" s="127">
        <v>4</v>
      </c>
      <c r="I92" s="128">
        <v>6510.34</v>
      </c>
      <c r="J92" s="128">
        <v>26041.360000000001</v>
      </c>
      <c r="K92" s="85">
        <v>0</v>
      </c>
      <c r="L92" s="86">
        <f t="shared" si="6"/>
        <v>6510.34</v>
      </c>
      <c r="M92" s="277">
        <f t="shared" si="7"/>
        <v>0</v>
      </c>
      <c r="N92" s="87">
        <f t="shared" si="8"/>
        <v>4</v>
      </c>
      <c r="O92" s="88">
        <f t="shared" si="9"/>
        <v>6510.34</v>
      </c>
      <c r="P92" s="278">
        <f t="shared" si="10"/>
        <v>26041.360000000001</v>
      </c>
      <c r="Q92" s="149"/>
    </row>
    <row r="93" spans="1:18" s="109" customFormat="1" ht="24" x14ac:dyDescent="0.2">
      <c r="A93" s="97"/>
      <c r="B93" s="116"/>
      <c r="C93" s="117" t="s">
        <v>293</v>
      </c>
      <c r="D93" s="117" t="s">
        <v>69</v>
      </c>
      <c r="E93" s="118" t="s">
        <v>254</v>
      </c>
      <c r="F93" s="119" t="s">
        <v>255</v>
      </c>
      <c r="G93" s="120" t="s">
        <v>62</v>
      </c>
      <c r="H93" s="121">
        <v>60.08</v>
      </c>
      <c r="I93" s="122">
        <v>3059.28</v>
      </c>
      <c r="J93" s="122">
        <v>183801.54</v>
      </c>
      <c r="K93" s="85">
        <f t="shared" ref="K93:K94" si="11">ROUND(413.5/415.99*H93-H93,2)</f>
        <v>-0.36</v>
      </c>
      <c r="L93" s="86">
        <f t="shared" si="6"/>
        <v>3059.28</v>
      </c>
      <c r="M93" s="277">
        <f t="shared" si="7"/>
        <v>-1101.3407999999999</v>
      </c>
      <c r="N93" s="87">
        <f t="shared" si="8"/>
        <v>59.72</v>
      </c>
      <c r="O93" s="88">
        <f t="shared" si="9"/>
        <v>3059.28</v>
      </c>
      <c r="P93" s="278">
        <f t="shared" si="10"/>
        <v>182700.2016</v>
      </c>
      <c r="Q93" s="149"/>
    </row>
    <row r="94" spans="1:18" s="109" customFormat="1" ht="24" x14ac:dyDescent="0.2">
      <c r="A94" s="97"/>
      <c r="B94" s="116"/>
      <c r="C94" s="117" t="s">
        <v>342</v>
      </c>
      <c r="D94" s="117" t="s">
        <v>69</v>
      </c>
      <c r="E94" s="118" t="s">
        <v>263</v>
      </c>
      <c r="F94" s="119" t="s">
        <v>264</v>
      </c>
      <c r="G94" s="120" t="s">
        <v>62</v>
      </c>
      <c r="H94" s="121">
        <v>1.8</v>
      </c>
      <c r="I94" s="122">
        <v>3186.85</v>
      </c>
      <c r="J94" s="122">
        <v>5736.33</v>
      </c>
      <c r="K94" s="85">
        <f t="shared" si="11"/>
        <v>-0.01</v>
      </c>
      <c r="L94" s="86">
        <f t="shared" si="6"/>
        <v>3186.85</v>
      </c>
      <c r="M94" s="277">
        <f t="shared" si="7"/>
        <v>-31.868500000000001</v>
      </c>
      <c r="N94" s="87">
        <f t="shared" si="8"/>
        <v>1.79</v>
      </c>
      <c r="O94" s="88">
        <f t="shared" si="9"/>
        <v>3186.85</v>
      </c>
      <c r="P94" s="278">
        <f t="shared" si="10"/>
        <v>5704.4615000000003</v>
      </c>
      <c r="Q94" s="149"/>
    </row>
    <row r="95" spans="1:18" s="109" customFormat="1" ht="12" x14ac:dyDescent="0.2">
      <c r="A95" s="97"/>
      <c r="B95" s="116"/>
      <c r="C95" s="117" t="s">
        <v>343</v>
      </c>
      <c r="D95" s="117" t="s">
        <v>69</v>
      </c>
      <c r="E95" s="118" t="s">
        <v>260</v>
      </c>
      <c r="F95" s="119" t="s">
        <v>261</v>
      </c>
      <c r="G95" s="120" t="s">
        <v>72</v>
      </c>
      <c r="H95" s="121">
        <v>9</v>
      </c>
      <c r="I95" s="122">
        <v>442.69</v>
      </c>
      <c r="J95" s="122">
        <v>3984.21</v>
      </c>
      <c r="K95" s="85">
        <f t="shared" ref="K95:K96" si="12">ROUND(413.5/415.99*H95-H95,2)</f>
        <v>-0.05</v>
      </c>
      <c r="L95" s="86">
        <f t="shared" si="6"/>
        <v>442.69</v>
      </c>
      <c r="M95" s="277">
        <f t="shared" si="7"/>
        <v>-22.134500000000003</v>
      </c>
      <c r="N95" s="87">
        <f t="shared" si="8"/>
        <v>8.9499999999999993</v>
      </c>
      <c r="O95" s="88">
        <f t="shared" si="9"/>
        <v>442.69</v>
      </c>
      <c r="P95" s="278">
        <f t="shared" si="10"/>
        <v>3962.0754999999995</v>
      </c>
      <c r="Q95" s="149"/>
    </row>
    <row r="96" spans="1:18" s="109" customFormat="1" ht="12" x14ac:dyDescent="0.2">
      <c r="A96" s="97"/>
      <c r="B96" s="116"/>
      <c r="C96" s="117" t="s">
        <v>344</v>
      </c>
      <c r="D96" s="117" t="s">
        <v>69</v>
      </c>
      <c r="E96" s="118" t="s">
        <v>266</v>
      </c>
      <c r="F96" s="119" t="s">
        <v>267</v>
      </c>
      <c r="G96" s="120" t="s">
        <v>61</v>
      </c>
      <c r="H96" s="121">
        <v>415.99</v>
      </c>
      <c r="I96" s="122">
        <v>9.2100000000000009</v>
      </c>
      <c r="J96" s="122">
        <v>3831.27</v>
      </c>
      <c r="K96" s="85">
        <f t="shared" si="12"/>
        <v>-2.4900000000000002</v>
      </c>
      <c r="L96" s="86">
        <f t="shared" si="6"/>
        <v>9.2100000000000009</v>
      </c>
      <c r="M96" s="277">
        <f t="shared" si="7"/>
        <v>-22.932900000000004</v>
      </c>
      <c r="N96" s="87">
        <f t="shared" si="8"/>
        <v>413.5</v>
      </c>
      <c r="O96" s="88">
        <f t="shared" si="9"/>
        <v>9.2100000000000009</v>
      </c>
      <c r="P96" s="278">
        <f t="shared" si="10"/>
        <v>3808.3350000000005</v>
      </c>
      <c r="Q96" s="149"/>
    </row>
    <row r="97" spans="1:23" s="110" customFormat="1" ht="12.75" x14ac:dyDescent="0.2">
      <c r="C97" s="245"/>
      <c r="D97" s="246" t="s">
        <v>3</v>
      </c>
      <c r="E97" s="247" t="s">
        <v>93</v>
      </c>
      <c r="F97" s="247" t="s">
        <v>268</v>
      </c>
      <c r="G97" s="245"/>
      <c r="H97" s="245"/>
      <c r="I97" s="245"/>
      <c r="J97" s="248">
        <v>174102.76</v>
      </c>
      <c r="K97" s="243"/>
      <c r="L97" s="244"/>
      <c r="M97" s="279">
        <f>SUM(M98:M103)</f>
        <v>0</v>
      </c>
      <c r="N97" s="280"/>
      <c r="O97" s="244"/>
      <c r="P97" s="279">
        <f>SUM(P98:P103)</f>
        <v>174102.74600000004</v>
      </c>
      <c r="Q97" s="170"/>
    </row>
    <row r="98" spans="1:23" s="109" customFormat="1" ht="48" x14ac:dyDescent="0.2">
      <c r="A98" s="97"/>
      <c r="B98" s="116"/>
      <c r="C98" s="117" t="s">
        <v>345</v>
      </c>
      <c r="D98" s="117" t="s">
        <v>69</v>
      </c>
      <c r="E98" s="118" t="s">
        <v>270</v>
      </c>
      <c r="F98" s="119" t="s">
        <v>271</v>
      </c>
      <c r="G98" s="120" t="s">
        <v>61</v>
      </c>
      <c r="H98" s="121">
        <v>525.72</v>
      </c>
      <c r="I98" s="122">
        <v>87.65</v>
      </c>
      <c r="J98" s="122">
        <v>46079.360000000001</v>
      </c>
      <c r="K98" s="85">
        <v>0</v>
      </c>
      <c r="L98" s="86">
        <f t="shared" si="6"/>
        <v>87.65</v>
      </c>
      <c r="M98" s="277">
        <f t="shared" si="7"/>
        <v>0</v>
      </c>
      <c r="N98" s="87">
        <f t="shared" si="8"/>
        <v>525.72</v>
      </c>
      <c r="O98" s="88">
        <f t="shared" si="9"/>
        <v>87.65</v>
      </c>
      <c r="P98" s="278">
        <f t="shared" si="10"/>
        <v>46079.358000000007</v>
      </c>
      <c r="Q98" s="149"/>
    </row>
    <row r="99" spans="1:23" s="109" customFormat="1" ht="36" x14ac:dyDescent="0.2">
      <c r="A99" s="97"/>
      <c r="B99" s="116"/>
      <c r="C99" s="117" t="s">
        <v>346</v>
      </c>
      <c r="D99" s="117" t="s">
        <v>69</v>
      </c>
      <c r="E99" s="118" t="s">
        <v>273</v>
      </c>
      <c r="F99" s="119" t="s">
        <v>274</v>
      </c>
      <c r="G99" s="120" t="s">
        <v>61</v>
      </c>
      <c r="H99" s="121">
        <v>1040.44</v>
      </c>
      <c r="I99" s="122">
        <v>32.22</v>
      </c>
      <c r="J99" s="122">
        <v>33522.980000000003</v>
      </c>
      <c r="K99" s="85">
        <v>0</v>
      </c>
      <c r="L99" s="86">
        <f t="shared" si="6"/>
        <v>32.22</v>
      </c>
      <c r="M99" s="277">
        <f t="shared" si="7"/>
        <v>0</v>
      </c>
      <c r="N99" s="87">
        <f t="shared" si="8"/>
        <v>1040.44</v>
      </c>
      <c r="O99" s="88">
        <f t="shared" si="9"/>
        <v>32.22</v>
      </c>
      <c r="P99" s="278">
        <f t="shared" si="10"/>
        <v>33522.976800000004</v>
      </c>
      <c r="Q99" s="149"/>
    </row>
    <row r="100" spans="1:23" s="109" customFormat="1" ht="36" x14ac:dyDescent="0.2">
      <c r="A100" s="97"/>
      <c r="B100" s="116"/>
      <c r="C100" s="117" t="s">
        <v>347</v>
      </c>
      <c r="D100" s="117" t="s">
        <v>69</v>
      </c>
      <c r="E100" s="118" t="s">
        <v>350</v>
      </c>
      <c r="F100" s="119" t="s">
        <v>351</v>
      </c>
      <c r="G100" s="120" t="s">
        <v>61</v>
      </c>
      <c r="H100" s="121">
        <v>20.98</v>
      </c>
      <c r="I100" s="122">
        <v>32.22</v>
      </c>
      <c r="J100" s="122">
        <v>675.98</v>
      </c>
      <c r="K100" s="85">
        <v>0</v>
      </c>
      <c r="L100" s="86">
        <f t="shared" si="6"/>
        <v>32.22</v>
      </c>
      <c r="M100" s="277">
        <f t="shared" si="7"/>
        <v>0</v>
      </c>
      <c r="N100" s="87">
        <f t="shared" si="8"/>
        <v>20.98</v>
      </c>
      <c r="O100" s="88">
        <f t="shared" si="9"/>
        <v>32.22</v>
      </c>
      <c r="P100" s="278">
        <f t="shared" si="10"/>
        <v>675.97559999999999</v>
      </c>
      <c r="Q100" s="149"/>
    </row>
    <row r="101" spans="1:23" s="109" customFormat="1" ht="24" x14ac:dyDescent="0.2">
      <c r="A101" s="97"/>
      <c r="B101" s="116"/>
      <c r="C101" s="117" t="s">
        <v>348</v>
      </c>
      <c r="D101" s="117" t="s">
        <v>69</v>
      </c>
      <c r="E101" s="118" t="s">
        <v>276</v>
      </c>
      <c r="F101" s="119" t="s">
        <v>277</v>
      </c>
      <c r="G101" s="120" t="s">
        <v>61</v>
      </c>
      <c r="H101" s="121">
        <v>1040.44</v>
      </c>
      <c r="I101" s="122">
        <v>72.34</v>
      </c>
      <c r="J101" s="122">
        <v>75265.429999999993</v>
      </c>
      <c r="K101" s="85">
        <v>0</v>
      </c>
      <c r="L101" s="86">
        <f t="shared" si="6"/>
        <v>72.34</v>
      </c>
      <c r="M101" s="277">
        <f t="shared" si="7"/>
        <v>0</v>
      </c>
      <c r="N101" s="87">
        <f t="shared" si="8"/>
        <v>1040.44</v>
      </c>
      <c r="O101" s="88">
        <f t="shared" si="9"/>
        <v>72.34</v>
      </c>
      <c r="P101" s="278">
        <f t="shared" si="10"/>
        <v>75265.429600000003</v>
      </c>
      <c r="Q101" s="149"/>
    </row>
    <row r="102" spans="1:23" s="109" customFormat="1" ht="24" x14ac:dyDescent="0.2">
      <c r="A102" s="97"/>
      <c r="B102" s="116"/>
      <c r="C102" s="117" t="s">
        <v>349</v>
      </c>
      <c r="D102" s="117" t="s">
        <v>69</v>
      </c>
      <c r="E102" s="118" t="s">
        <v>354</v>
      </c>
      <c r="F102" s="119" t="s">
        <v>355</v>
      </c>
      <c r="G102" s="120" t="s">
        <v>61</v>
      </c>
      <c r="H102" s="121">
        <v>20.98</v>
      </c>
      <c r="I102" s="122">
        <v>94.7</v>
      </c>
      <c r="J102" s="122">
        <v>1986.81</v>
      </c>
      <c r="K102" s="85">
        <v>0</v>
      </c>
      <c r="L102" s="86">
        <f t="shared" si="6"/>
        <v>94.7</v>
      </c>
      <c r="M102" s="277">
        <f t="shared" si="7"/>
        <v>0</v>
      </c>
      <c r="N102" s="87">
        <f t="shared" si="8"/>
        <v>20.98</v>
      </c>
      <c r="O102" s="88">
        <f t="shared" si="9"/>
        <v>94.7</v>
      </c>
      <c r="P102" s="278">
        <f t="shared" si="10"/>
        <v>1986.806</v>
      </c>
      <c r="Q102" s="149"/>
    </row>
    <row r="103" spans="1:23" s="109" customFormat="1" ht="48" x14ac:dyDescent="0.2">
      <c r="A103" s="97"/>
      <c r="B103" s="116"/>
      <c r="C103" s="117" t="s">
        <v>352</v>
      </c>
      <c r="D103" s="117" t="s">
        <v>69</v>
      </c>
      <c r="E103" s="118" t="s">
        <v>279</v>
      </c>
      <c r="F103" s="119" t="s">
        <v>280</v>
      </c>
      <c r="G103" s="120" t="s">
        <v>138</v>
      </c>
      <c r="H103" s="121">
        <v>10</v>
      </c>
      <c r="I103" s="122">
        <v>1657.22</v>
      </c>
      <c r="J103" s="122">
        <v>16572.2</v>
      </c>
      <c r="K103" s="85">
        <v>0</v>
      </c>
      <c r="L103" s="86">
        <f t="shared" si="6"/>
        <v>1657.22</v>
      </c>
      <c r="M103" s="277">
        <f t="shared" si="7"/>
        <v>0</v>
      </c>
      <c r="N103" s="87">
        <f t="shared" si="8"/>
        <v>10</v>
      </c>
      <c r="O103" s="88">
        <f t="shared" si="9"/>
        <v>1657.22</v>
      </c>
      <c r="P103" s="278">
        <f t="shared" si="10"/>
        <v>16572.2</v>
      </c>
      <c r="Q103" s="149"/>
    </row>
    <row r="104" spans="1:23" s="110" customFormat="1" ht="12.75" x14ac:dyDescent="0.2">
      <c r="C104" s="245"/>
      <c r="D104" s="246" t="s">
        <v>3</v>
      </c>
      <c r="E104" s="247" t="s">
        <v>281</v>
      </c>
      <c r="F104" s="247" t="s">
        <v>282</v>
      </c>
      <c r="G104" s="245"/>
      <c r="H104" s="245"/>
      <c r="I104" s="245"/>
      <c r="J104" s="248">
        <v>132210.97</v>
      </c>
      <c r="K104" s="243"/>
      <c r="L104" s="244"/>
      <c r="M104" s="279">
        <f>SUM(M105:M109)</f>
        <v>-653.73289999999997</v>
      </c>
      <c r="N104" s="280"/>
      <c r="O104" s="244"/>
      <c r="P104" s="279">
        <f>SUM(P105:P109)</f>
        <v>131557.23655</v>
      </c>
      <c r="Q104" s="170"/>
    </row>
    <row r="105" spans="1:23" s="109" customFormat="1" ht="36" x14ac:dyDescent="0.2">
      <c r="A105" s="97"/>
      <c r="B105" s="116"/>
      <c r="C105" s="117" t="s">
        <v>353</v>
      </c>
      <c r="D105" s="117" t="s">
        <v>69</v>
      </c>
      <c r="E105" s="118" t="s">
        <v>284</v>
      </c>
      <c r="F105" s="119" t="s">
        <v>285</v>
      </c>
      <c r="G105" s="120" t="s">
        <v>120</v>
      </c>
      <c r="H105" s="121">
        <v>442.67899999999997</v>
      </c>
      <c r="I105" s="122">
        <v>119.41</v>
      </c>
      <c r="J105" s="122">
        <v>52860.3</v>
      </c>
      <c r="K105" s="85">
        <f t="shared" ref="K105" si="13">ROUND(413.5/415.99*H105-H105,2)</f>
        <v>-2.65</v>
      </c>
      <c r="L105" s="86">
        <f t="shared" si="6"/>
        <v>119.41</v>
      </c>
      <c r="M105" s="277">
        <f t="shared" si="7"/>
        <v>-316.43649999999997</v>
      </c>
      <c r="N105" s="87">
        <f t="shared" si="8"/>
        <v>440.029</v>
      </c>
      <c r="O105" s="88">
        <f t="shared" si="9"/>
        <v>119.41</v>
      </c>
      <c r="P105" s="278">
        <f t="shared" si="10"/>
        <v>52543.862889999997</v>
      </c>
      <c r="Q105" s="149"/>
    </row>
    <row r="106" spans="1:23" s="109" customFormat="1" ht="48" x14ac:dyDescent="0.2">
      <c r="A106" s="97"/>
      <c r="B106" s="116"/>
      <c r="C106" s="117" t="s">
        <v>356</v>
      </c>
      <c r="D106" s="117" t="s">
        <v>69</v>
      </c>
      <c r="E106" s="118" t="s">
        <v>287</v>
      </c>
      <c r="F106" s="119" t="s">
        <v>288</v>
      </c>
      <c r="G106" s="120" t="s">
        <v>120</v>
      </c>
      <c r="H106" s="121">
        <v>89.102999999999994</v>
      </c>
      <c r="I106" s="122">
        <v>257.77999999999997</v>
      </c>
      <c r="J106" s="122">
        <v>22968.97</v>
      </c>
      <c r="K106" s="85">
        <v>0</v>
      </c>
      <c r="L106" s="86">
        <f t="shared" si="6"/>
        <v>257.77999999999997</v>
      </c>
      <c r="M106" s="277">
        <f t="shared" si="7"/>
        <v>0</v>
      </c>
      <c r="N106" s="87">
        <f t="shared" si="8"/>
        <v>89.102999999999994</v>
      </c>
      <c r="O106" s="88">
        <f t="shared" si="9"/>
        <v>257.77999999999997</v>
      </c>
      <c r="P106" s="278">
        <f t="shared" si="10"/>
        <v>22968.971339999996</v>
      </c>
      <c r="Q106" s="149"/>
      <c r="U106" s="148" t="s">
        <v>1137</v>
      </c>
      <c r="W106" s="148" t="s">
        <v>1189</v>
      </c>
    </row>
    <row r="107" spans="1:23" s="109" customFormat="1" ht="36" x14ac:dyDescent="0.2">
      <c r="A107" s="97"/>
      <c r="B107" s="116"/>
      <c r="C107" s="117" t="s">
        <v>357</v>
      </c>
      <c r="D107" s="117" t="s">
        <v>69</v>
      </c>
      <c r="E107" s="118" t="s">
        <v>290</v>
      </c>
      <c r="F107" s="119" t="s">
        <v>119</v>
      </c>
      <c r="G107" s="120" t="s">
        <v>120</v>
      </c>
      <c r="H107" s="121">
        <v>353.57600000000002</v>
      </c>
      <c r="I107" s="122">
        <v>154.66999999999999</v>
      </c>
      <c r="J107" s="122">
        <v>54687.6</v>
      </c>
      <c r="K107" s="85">
        <f t="shared" ref="K107:K109" si="14">ROUND(413.5/415.99*H107-H107,2)</f>
        <v>-2.12</v>
      </c>
      <c r="L107" s="86">
        <f t="shared" si="6"/>
        <v>154.66999999999999</v>
      </c>
      <c r="M107" s="277">
        <f t="shared" si="7"/>
        <v>-327.90039999999999</v>
      </c>
      <c r="N107" s="87">
        <f t="shared" si="8"/>
        <v>351.45600000000002</v>
      </c>
      <c r="O107" s="88">
        <f t="shared" si="9"/>
        <v>154.66999999999999</v>
      </c>
      <c r="P107" s="278">
        <f t="shared" si="10"/>
        <v>54359.699519999995</v>
      </c>
      <c r="Q107" s="149"/>
      <c r="S107" s="148" t="s">
        <v>1137</v>
      </c>
    </row>
    <row r="108" spans="1:23" s="109" customFormat="1" ht="36" x14ac:dyDescent="0.2">
      <c r="A108" s="97"/>
      <c r="B108" s="116"/>
      <c r="C108" s="117" t="s">
        <v>358</v>
      </c>
      <c r="D108" s="117" t="s">
        <v>69</v>
      </c>
      <c r="E108" s="118" t="s">
        <v>361</v>
      </c>
      <c r="F108" s="119" t="s">
        <v>362</v>
      </c>
      <c r="G108" s="120" t="s">
        <v>120</v>
      </c>
      <c r="H108" s="121">
        <v>7.2119999999999997</v>
      </c>
      <c r="I108" s="122">
        <v>80.23</v>
      </c>
      <c r="J108" s="122">
        <v>578.62</v>
      </c>
      <c r="K108" s="85">
        <f t="shared" si="14"/>
        <v>-0.04</v>
      </c>
      <c r="L108" s="86">
        <f t="shared" si="6"/>
        <v>80.23</v>
      </c>
      <c r="M108" s="277">
        <f t="shared" si="7"/>
        <v>-3.2092000000000001</v>
      </c>
      <c r="N108" s="87">
        <f t="shared" si="8"/>
        <v>7.1719999999999997</v>
      </c>
      <c r="O108" s="88">
        <f t="shared" si="9"/>
        <v>80.23</v>
      </c>
      <c r="P108" s="278">
        <f t="shared" si="10"/>
        <v>575.40956000000006</v>
      </c>
      <c r="Q108" s="149"/>
    </row>
    <row r="109" spans="1:23" s="109" customFormat="1" ht="36" x14ac:dyDescent="0.2">
      <c r="A109" s="97"/>
      <c r="B109" s="116"/>
      <c r="C109" s="117" t="s">
        <v>359</v>
      </c>
      <c r="D109" s="117" t="s">
        <v>69</v>
      </c>
      <c r="E109" s="118" t="s">
        <v>364</v>
      </c>
      <c r="F109" s="119" t="s">
        <v>365</v>
      </c>
      <c r="G109" s="120" t="s">
        <v>120</v>
      </c>
      <c r="H109" s="121">
        <v>7.2119999999999997</v>
      </c>
      <c r="I109" s="122">
        <v>154.66999999999999</v>
      </c>
      <c r="J109" s="122">
        <v>1115.48</v>
      </c>
      <c r="K109" s="85">
        <f t="shared" si="14"/>
        <v>-0.04</v>
      </c>
      <c r="L109" s="86">
        <f t="shared" si="6"/>
        <v>154.66999999999999</v>
      </c>
      <c r="M109" s="277">
        <f t="shared" si="7"/>
        <v>-6.1867999999999999</v>
      </c>
      <c r="N109" s="87">
        <f t="shared" si="8"/>
        <v>7.1719999999999997</v>
      </c>
      <c r="O109" s="88">
        <f t="shared" si="9"/>
        <v>154.66999999999999</v>
      </c>
      <c r="P109" s="278">
        <f t="shared" si="10"/>
        <v>1109.29324</v>
      </c>
      <c r="Q109" s="149"/>
    </row>
    <row r="110" spans="1:23" s="110" customFormat="1" ht="12.75" x14ac:dyDescent="0.2">
      <c r="C110" s="245"/>
      <c r="D110" s="246" t="s">
        <v>3</v>
      </c>
      <c r="E110" s="247" t="s">
        <v>291</v>
      </c>
      <c r="F110" s="247" t="s">
        <v>292</v>
      </c>
      <c r="G110" s="245"/>
      <c r="H110" s="245"/>
      <c r="I110" s="245"/>
      <c r="J110" s="248">
        <v>15578.63</v>
      </c>
      <c r="K110" s="243"/>
      <c r="L110" s="244"/>
      <c r="M110" s="279">
        <f>M111</f>
        <v>-92.680200000000013</v>
      </c>
      <c r="N110" s="280"/>
      <c r="O110" s="244"/>
      <c r="P110" s="279">
        <f>P111</f>
        <v>15485.946059999998</v>
      </c>
      <c r="Q110" s="170"/>
    </row>
    <row r="111" spans="1:23" s="109" customFormat="1" ht="36" x14ac:dyDescent="0.2">
      <c r="A111" s="97"/>
      <c r="B111" s="116"/>
      <c r="C111" s="117" t="s">
        <v>360</v>
      </c>
      <c r="D111" s="117" t="s">
        <v>69</v>
      </c>
      <c r="E111" s="118" t="s">
        <v>294</v>
      </c>
      <c r="F111" s="119" t="s">
        <v>295</v>
      </c>
      <c r="G111" s="120" t="s">
        <v>120</v>
      </c>
      <c r="H111" s="121">
        <v>136.15299999999999</v>
      </c>
      <c r="I111" s="122">
        <v>114.42</v>
      </c>
      <c r="J111" s="122">
        <v>15578.63</v>
      </c>
      <c r="K111" s="85">
        <f t="shared" ref="K111" si="15">ROUND(413.5/415.99*H111-H111,2)</f>
        <v>-0.81</v>
      </c>
      <c r="L111" s="86">
        <f t="shared" si="6"/>
        <v>114.42</v>
      </c>
      <c r="M111" s="277">
        <f t="shared" si="7"/>
        <v>-92.680200000000013</v>
      </c>
      <c r="N111" s="87">
        <f t="shared" si="8"/>
        <v>135.34299999999999</v>
      </c>
      <c r="O111" s="88">
        <f t="shared" si="9"/>
        <v>114.42</v>
      </c>
      <c r="P111" s="278">
        <f t="shared" si="10"/>
        <v>15485.946059999998</v>
      </c>
      <c r="Q111" s="149"/>
    </row>
    <row r="112" spans="1:23" s="109" customFormat="1" x14ac:dyDescent="0.2">
      <c r="A112" s="97"/>
      <c r="B112" s="97"/>
      <c r="C112" s="97"/>
      <c r="D112" s="97"/>
      <c r="E112" s="97"/>
      <c r="F112" s="97"/>
      <c r="G112" s="97"/>
      <c r="H112" s="97"/>
      <c r="I112" s="97"/>
      <c r="J112" s="97"/>
      <c r="Q112" s="149"/>
    </row>
    <row r="113" spans="4:16" ht="12.75" x14ac:dyDescent="0.2">
      <c r="D113" s="89"/>
      <c r="E113" s="141" t="str">
        <f>CONCATENATE("CELKEM ",C$12)</f>
        <v>CELKEM 13 - SO 01.L - Stoka B</v>
      </c>
      <c r="F113" s="90"/>
      <c r="G113" s="90"/>
      <c r="H113" s="91"/>
      <c r="I113" s="90"/>
      <c r="J113" s="92">
        <v>4003320.4</v>
      </c>
      <c r="K113" s="94"/>
      <c r="L113" s="92"/>
      <c r="M113" s="147">
        <f>M110+M104+M97+M65+M54+M48+M46+M14</f>
        <v>-18595.359453922087</v>
      </c>
      <c r="N113" s="147"/>
      <c r="O113" s="147"/>
      <c r="P113" s="147">
        <f t="shared" ref="P113" si="16">P110+P104+P97+P65+P54+P48+P46+P14</f>
        <v>3984725.0494360784</v>
      </c>
    </row>
    <row r="114" spans="4:16" x14ac:dyDescent="0.2">
      <c r="I114" s="95"/>
    </row>
    <row r="115" spans="4:16" ht="14.25" x14ac:dyDescent="0.2">
      <c r="E115" s="58" t="s">
        <v>994</v>
      </c>
      <c r="F115" s="58"/>
      <c r="H115" s="96"/>
      <c r="J115" s="161"/>
      <c r="K115" s="58" t="s">
        <v>995</v>
      </c>
    </row>
  </sheetData>
  <protectedRanges>
    <protectedRange password="CCAA" sqref="K8" name="Oblast1_1_1_1"/>
    <protectedRange password="CCAA" sqref="D11:H11" name="Oblast1_2_1"/>
    <protectedRange password="CCAA" sqref="D9:H10" name="Oblast1_2_1_1"/>
  </protectedRanges>
  <autoFilter ref="C10:P111" xr:uid="{00000000-0001-0000-0D00-000000000000}"/>
  <mergeCells count="6">
    <mergeCell ref="W36:W37"/>
    <mergeCell ref="U11:U14"/>
    <mergeCell ref="U36:U37"/>
    <mergeCell ref="V10:V14"/>
    <mergeCell ref="K9:M9"/>
    <mergeCell ref="N9:P9"/>
  </mergeCells>
  <pageMargins left="0.7" right="0.7" top="0.75" bottom="0.75" header="0.3" footer="0.3"/>
  <pageSetup paperSize="9" scale="44" fitToHeight="0" orientation="portrait" r:id="rId1"/>
  <headerFooter>
    <oddFooter>&amp;CStrana &amp;P z &amp;N</oddFooter>
  </headerFooter>
  <rowBreaks count="1" manualBreakCount="1">
    <brk id="57" min="1" max="15" man="1"/>
  </rowBreaks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tabColor rgb="FF00B0F0"/>
    <pageSetUpPr fitToPage="1"/>
  </sheetPr>
  <dimension ref="A1:AI79"/>
  <sheetViews>
    <sheetView showGridLines="0" view="pageBreakPreview" topLeftCell="A52" zoomScale="60" zoomScaleNormal="85" workbookViewId="0">
      <selection activeCell="J79" sqref="J79"/>
    </sheetView>
  </sheetViews>
  <sheetFormatPr defaultColWidth="9.33203125" defaultRowHeight="11.25" x14ac:dyDescent="0.2"/>
  <cols>
    <col min="1" max="1" width="8.33203125" style="60" customWidth="1"/>
    <col min="2" max="2" width="1.6640625" style="60" customWidth="1"/>
    <col min="3" max="3" width="4.1640625" style="60" customWidth="1"/>
    <col min="4" max="4" width="4.33203125" style="60" customWidth="1"/>
    <col min="5" max="5" width="17.1640625" style="60" customWidth="1"/>
    <col min="6" max="6" width="50.83203125" style="60" customWidth="1"/>
    <col min="7" max="7" width="7" style="60" customWidth="1"/>
    <col min="8" max="8" width="11.5" style="60" customWidth="1"/>
    <col min="9" max="10" width="20.1640625" style="60" customWidth="1"/>
    <col min="11" max="14" width="17.5" style="60" customWidth="1"/>
    <col min="15" max="15" width="21.6640625" style="60" bestFit="1" customWidth="1"/>
    <col min="16" max="16" width="21" style="60" bestFit="1" customWidth="1"/>
    <col min="17" max="17" width="24.33203125" style="60" bestFit="1" customWidth="1"/>
    <col min="18" max="18" width="0" style="60" hidden="1" customWidth="1"/>
    <col min="19" max="19" width="25" style="60" bestFit="1" customWidth="1"/>
    <col min="20" max="24" width="0" style="60" hidden="1" customWidth="1"/>
    <col min="25" max="25" width="26.1640625" style="60" bestFit="1" customWidth="1"/>
    <col min="26" max="26" width="20.5" style="60" bestFit="1" customWidth="1"/>
    <col min="27" max="32" width="0" style="60" hidden="1" customWidth="1"/>
    <col min="33" max="33" width="24.5" style="60" bestFit="1" customWidth="1"/>
    <col min="34" max="34" width="20.6640625" style="60" bestFit="1" customWidth="1"/>
    <col min="35" max="35" width="18.83203125" style="60" bestFit="1" customWidth="1"/>
    <col min="36" max="16384" width="9.33203125" style="60"/>
  </cols>
  <sheetData>
    <row r="1" spans="1:33" ht="15" x14ac:dyDescent="0.2">
      <c r="F1" s="3"/>
      <c r="G1" s="4"/>
      <c r="H1" s="1"/>
      <c r="J1" s="61"/>
    </row>
    <row r="2" spans="1:33" s="1" customFormat="1" ht="15" x14ac:dyDescent="0.2">
      <c r="E2" s="2"/>
      <c r="F2" s="3" t="s">
        <v>979</v>
      </c>
      <c r="G2" s="4" t="str">
        <f>'[1]VRN 01'!G3</f>
        <v>Odkanalizování povodí Jizery - část B</v>
      </c>
      <c r="I2" s="5"/>
      <c r="J2" s="63"/>
      <c r="K2" s="10"/>
      <c r="L2" s="11"/>
      <c r="M2" s="11"/>
      <c r="N2" s="64"/>
    </row>
    <row r="3" spans="1:33" s="1" customFormat="1" ht="15" x14ac:dyDescent="0.2">
      <c r="E3" s="2"/>
      <c r="F3" s="3" t="s">
        <v>980</v>
      </c>
      <c r="G3" s="4" t="str">
        <f>+'Rekapitulace stavby'!D2</f>
        <v>ÚHERCE, výstavba kanalizace - UZNATELNÉ NÁKLADY - doměrky</v>
      </c>
      <c r="H3" s="2"/>
      <c r="I3" s="5"/>
      <c r="J3" s="63"/>
      <c r="K3" s="10"/>
      <c r="L3" s="11"/>
      <c r="M3" s="11"/>
      <c r="N3" s="64"/>
    </row>
    <row r="4" spans="1:33" s="2" customFormat="1" ht="15" x14ac:dyDescent="0.2">
      <c r="F4" s="12" t="s">
        <v>981</v>
      </c>
      <c r="G4" s="13" t="str">
        <f>'[1]VRN 01'!G5</f>
        <v>VRI/SOD/2020/Ži</v>
      </c>
      <c r="I4" s="5"/>
      <c r="J4" s="65"/>
      <c r="K4" s="18"/>
      <c r="L4" s="19"/>
      <c r="M4" s="19"/>
      <c r="N4" s="66"/>
    </row>
    <row r="5" spans="1:33" s="2" customFormat="1" ht="15" x14ac:dyDescent="0.2">
      <c r="F5" s="12" t="s">
        <v>983</v>
      </c>
      <c r="G5" s="13" t="s">
        <v>1001</v>
      </c>
      <c r="I5" s="5"/>
      <c r="J5" s="65"/>
      <c r="K5" s="18"/>
      <c r="L5" s="19"/>
      <c r="M5" s="19"/>
      <c r="N5" s="66"/>
    </row>
    <row r="6" spans="1:33" s="2" customFormat="1" ht="15" x14ac:dyDescent="0.2">
      <c r="F6" s="3" t="s">
        <v>984</v>
      </c>
      <c r="G6" s="13" t="str">
        <f>'[1]VRN 01'!G7</f>
        <v>Vododvody a kanalizace Mladá Boleslav, a.s.</v>
      </c>
      <c r="I6" s="5"/>
      <c r="J6" s="65"/>
      <c r="K6" s="18"/>
      <c r="L6" s="19"/>
      <c r="M6" s="19"/>
      <c r="N6" s="66"/>
    </row>
    <row r="7" spans="1:33" s="2" customFormat="1" ht="15" x14ac:dyDescent="0.2">
      <c r="F7" s="3" t="s">
        <v>986</v>
      </c>
      <c r="G7" s="20" t="str">
        <f>'[1]VRN 01'!G8</f>
        <v>VCES a.s.</v>
      </c>
      <c r="H7" s="67"/>
      <c r="I7" s="5"/>
      <c r="J7" s="65"/>
      <c r="K7" s="18"/>
      <c r="L7" s="19"/>
      <c r="M7" s="19"/>
      <c r="N7" s="66"/>
    </row>
    <row r="8" spans="1:33" s="68" customFormat="1" ht="12.75" x14ac:dyDescent="0.2">
      <c r="D8" s="69"/>
      <c r="F8" s="3"/>
      <c r="G8" s="20"/>
      <c r="H8" s="67"/>
      <c r="K8" s="72" t="s">
        <v>996</v>
      </c>
      <c r="L8" s="73" t="str">
        <f>+C12</f>
        <v>14 - SO 01.M - Stoka B.1</v>
      </c>
      <c r="M8" s="73"/>
      <c r="O8" s="74"/>
    </row>
    <row r="9" spans="1:33" s="75" customFormat="1" ht="12.75" customHeight="1" x14ac:dyDescent="0.2">
      <c r="C9" s="76"/>
      <c r="D9" s="77"/>
      <c r="E9" s="77"/>
      <c r="F9" s="77"/>
      <c r="G9" s="77"/>
      <c r="H9" s="77"/>
      <c r="I9" s="78"/>
      <c r="J9" s="79"/>
      <c r="K9" s="332" t="s">
        <v>1266</v>
      </c>
      <c r="L9" s="332"/>
      <c r="M9" s="332"/>
      <c r="N9" s="339" t="s">
        <v>1267</v>
      </c>
      <c r="O9" s="339"/>
      <c r="P9" s="340"/>
    </row>
    <row r="10" spans="1:33" s="75" customFormat="1" ht="12.75" x14ac:dyDescent="0.2">
      <c r="C10" s="80"/>
      <c r="D10" s="81" t="s">
        <v>997</v>
      </c>
      <c r="E10" s="81" t="s">
        <v>976</v>
      </c>
      <c r="F10" s="81" t="s">
        <v>977</v>
      </c>
      <c r="G10" s="81" t="s">
        <v>64</v>
      </c>
      <c r="H10" s="82" t="s">
        <v>65</v>
      </c>
      <c r="I10" s="83" t="s">
        <v>998</v>
      </c>
      <c r="J10" s="84" t="s">
        <v>978</v>
      </c>
      <c r="K10" s="218" t="s">
        <v>999</v>
      </c>
      <c r="L10" s="219" t="s">
        <v>1260</v>
      </c>
      <c r="M10" s="220" t="s">
        <v>978</v>
      </c>
      <c r="N10" s="263" t="s">
        <v>1264</v>
      </c>
      <c r="O10" s="264" t="s">
        <v>1260</v>
      </c>
      <c r="P10" s="265" t="s">
        <v>978</v>
      </c>
      <c r="Q10" s="157" t="s">
        <v>1059</v>
      </c>
      <c r="S10" s="157" t="s">
        <v>1083</v>
      </c>
      <c r="Y10" s="157" t="s">
        <v>1103</v>
      </c>
      <c r="Z10" s="157" t="s">
        <v>1132</v>
      </c>
      <c r="AG10" s="75" t="s">
        <v>1211</v>
      </c>
    </row>
    <row r="11" spans="1:33" s="75" customFormat="1" ht="12.75" x14ac:dyDescent="0.2">
      <c r="D11" s="133"/>
      <c r="E11" s="133"/>
      <c r="F11" s="133"/>
      <c r="G11" s="133"/>
      <c r="H11" s="134"/>
      <c r="I11" s="135"/>
      <c r="J11" s="136"/>
      <c r="K11" s="137"/>
      <c r="L11" s="138"/>
      <c r="M11" s="138"/>
      <c r="N11" s="139"/>
      <c r="O11" s="140"/>
      <c r="P11" s="140"/>
    </row>
    <row r="12" spans="1:33" s="109" customFormat="1" ht="22.5" x14ac:dyDescent="0.25">
      <c r="A12" s="97"/>
      <c r="B12" s="97"/>
      <c r="C12" s="98" t="s">
        <v>382</v>
      </c>
      <c r="D12" s="97"/>
      <c r="E12" s="97"/>
      <c r="F12" s="97"/>
      <c r="G12" s="97"/>
      <c r="H12" s="97"/>
      <c r="I12" s="97"/>
      <c r="J12" s="99">
        <v>851722.8899999999</v>
      </c>
      <c r="S12" s="327" t="s">
        <v>1088</v>
      </c>
      <c r="Y12" s="150" t="s">
        <v>1115</v>
      </c>
    </row>
    <row r="13" spans="1:33" s="110" customFormat="1" ht="15" x14ac:dyDescent="0.2">
      <c r="D13" s="111" t="s">
        <v>3</v>
      </c>
      <c r="E13" s="112" t="s">
        <v>66</v>
      </c>
      <c r="F13" s="112" t="s">
        <v>67</v>
      </c>
      <c r="J13" s="113">
        <v>851722.8899999999</v>
      </c>
      <c r="S13" s="327"/>
    </row>
    <row r="14" spans="1:33" s="110" customFormat="1" ht="12.75" x14ac:dyDescent="0.2">
      <c r="C14" s="252"/>
      <c r="D14" s="253" t="s">
        <v>3</v>
      </c>
      <c r="E14" s="254" t="s">
        <v>7</v>
      </c>
      <c r="F14" s="254" t="s">
        <v>68</v>
      </c>
      <c r="G14" s="252"/>
      <c r="H14" s="252"/>
      <c r="I14" s="252"/>
      <c r="J14" s="255">
        <v>300085.84000000008</v>
      </c>
      <c r="K14" s="252"/>
      <c r="L14" s="252"/>
      <c r="M14" s="258">
        <f>SUM(M15:M36)</f>
        <v>2292.3980999999999</v>
      </c>
      <c r="N14" s="252"/>
      <c r="O14" s="252"/>
      <c r="P14" s="258">
        <f>SUM(P15:P36)</f>
        <v>302378.24667000002</v>
      </c>
      <c r="Q14" s="176" t="s">
        <v>1064</v>
      </c>
      <c r="S14" s="327"/>
    </row>
    <row r="15" spans="1:33" s="109" customFormat="1" ht="60" x14ac:dyDescent="0.2">
      <c r="A15" s="97"/>
      <c r="B15" s="116"/>
      <c r="C15" s="117" t="s">
        <v>7</v>
      </c>
      <c r="D15" s="117" t="s">
        <v>69</v>
      </c>
      <c r="E15" s="118" t="s">
        <v>79</v>
      </c>
      <c r="F15" s="119" t="s">
        <v>80</v>
      </c>
      <c r="G15" s="120" t="s">
        <v>72</v>
      </c>
      <c r="H15" s="121">
        <v>96.239000000000004</v>
      </c>
      <c r="I15" s="122">
        <v>26.3</v>
      </c>
      <c r="J15" s="122">
        <v>2531.09</v>
      </c>
      <c r="K15" s="85">
        <v>0</v>
      </c>
      <c r="L15" s="86">
        <f>I15</f>
        <v>26.3</v>
      </c>
      <c r="M15" s="277">
        <f>K15*L15</f>
        <v>0</v>
      </c>
      <c r="N15" s="87">
        <f>H15+K15</f>
        <v>96.239000000000004</v>
      </c>
      <c r="O15" s="88">
        <f>I15</f>
        <v>26.3</v>
      </c>
      <c r="P15" s="278">
        <f>N15*O15</f>
        <v>2531.0857000000001</v>
      </c>
      <c r="T15" s="177"/>
    </row>
    <row r="16" spans="1:33" s="109" customFormat="1" ht="60" x14ac:dyDescent="0.2">
      <c r="A16" s="97"/>
      <c r="B16" s="116"/>
      <c r="C16" s="117" t="s">
        <v>8</v>
      </c>
      <c r="D16" s="117" t="s">
        <v>69</v>
      </c>
      <c r="E16" s="118" t="s">
        <v>74</v>
      </c>
      <c r="F16" s="119" t="s">
        <v>75</v>
      </c>
      <c r="G16" s="120" t="s">
        <v>72</v>
      </c>
      <c r="H16" s="121">
        <v>96.239000000000004</v>
      </c>
      <c r="I16" s="122">
        <v>40.770000000000003</v>
      </c>
      <c r="J16" s="122">
        <v>3923.66</v>
      </c>
      <c r="K16" s="85">
        <v>0</v>
      </c>
      <c r="L16" s="86">
        <f>I16</f>
        <v>40.770000000000003</v>
      </c>
      <c r="M16" s="277">
        <f>K16*L16</f>
        <v>0</v>
      </c>
      <c r="N16" s="87">
        <f>H16+K16</f>
        <v>96.239000000000004</v>
      </c>
      <c r="O16" s="88">
        <f>I16</f>
        <v>40.770000000000003</v>
      </c>
      <c r="P16" s="278">
        <f>N16*O16</f>
        <v>3923.6640300000004</v>
      </c>
      <c r="T16" s="177"/>
    </row>
    <row r="17" spans="1:20" s="109" customFormat="1" ht="48" x14ac:dyDescent="0.2">
      <c r="A17" s="97"/>
      <c r="B17" s="116"/>
      <c r="C17" s="117" t="s">
        <v>76</v>
      </c>
      <c r="D17" s="117" t="s">
        <v>69</v>
      </c>
      <c r="E17" s="118" t="s">
        <v>82</v>
      </c>
      <c r="F17" s="119" t="s">
        <v>83</v>
      </c>
      <c r="G17" s="120" t="s">
        <v>72</v>
      </c>
      <c r="H17" s="121">
        <v>96.239000000000004</v>
      </c>
      <c r="I17" s="122">
        <v>39.46</v>
      </c>
      <c r="J17" s="122">
        <v>3797.59</v>
      </c>
      <c r="K17" s="85">
        <v>0</v>
      </c>
      <c r="L17" s="86">
        <f t="shared" ref="L17:L75" si="0">I17</f>
        <v>39.46</v>
      </c>
      <c r="M17" s="277">
        <f t="shared" ref="M17:M75" si="1">K17*L17</f>
        <v>0</v>
      </c>
      <c r="N17" s="87">
        <f t="shared" ref="N17:N75" si="2">H17+K17</f>
        <v>96.239000000000004</v>
      </c>
      <c r="O17" s="88">
        <f t="shared" ref="O17:O75" si="3">I17</f>
        <v>39.46</v>
      </c>
      <c r="P17" s="278">
        <f t="shared" ref="P17:P75" si="4">N17*O17</f>
        <v>3797.59094</v>
      </c>
      <c r="T17" s="177"/>
    </row>
    <row r="18" spans="1:20" s="109" customFormat="1" ht="48" x14ac:dyDescent="0.2">
      <c r="A18" s="97"/>
      <c r="B18" s="116"/>
      <c r="C18" s="117" t="s">
        <v>73</v>
      </c>
      <c r="D18" s="117" t="s">
        <v>69</v>
      </c>
      <c r="E18" s="118" t="s">
        <v>85</v>
      </c>
      <c r="F18" s="119" t="s">
        <v>86</v>
      </c>
      <c r="G18" s="120" t="s">
        <v>72</v>
      </c>
      <c r="H18" s="121">
        <v>148.733</v>
      </c>
      <c r="I18" s="122">
        <v>55.24</v>
      </c>
      <c r="J18" s="122">
        <v>8216.01</v>
      </c>
      <c r="K18" s="85">
        <v>0</v>
      </c>
      <c r="L18" s="86">
        <f t="shared" si="0"/>
        <v>55.24</v>
      </c>
      <c r="M18" s="277">
        <f t="shared" si="1"/>
        <v>0</v>
      </c>
      <c r="N18" s="87">
        <f t="shared" si="2"/>
        <v>148.733</v>
      </c>
      <c r="O18" s="88">
        <f t="shared" si="3"/>
        <v>55.24</v>
      </c>
      <c r="P18" s="278">
        <f t="shared" si="4"/>
        <v>8216.0109200000006</v>
      </c>
      <c r="T18" s="177"/>
    </row>
    <row r="19" spans="1:20" s="109" customFormat="1" ht="84" x14ac:dyDescent="0.2">
      <c r="A19" s="97"/>
      <c r="B19" s="116"/>
      <c r="C19" s="117" t="s">
        <v>81</v>
      </c>
      <c r="D19" s="117" t="s">
        <v>69</v>
      </c>
      <c r="E19" s="118" t="s">
        <v>88</v>
      </c>
      <c r="F19" s="119" t="s">
        <v>89</v>
      </c>
      <c r="G19" s="120" t="s">
        <v>61</v>
      </c>
      <c r="H19" s="121">
        <v>4.4000000000000004</v>
      </c>
      <c r="I19" s="122">
        <v>170.98</v>
      </c>
      <c r="J19" s="122">
        <v>752.31</v>
      </c>
      <c r="K19" s="85">
        <f>ROUND(88.2/87.49*H19-H19,2)</f>
        <v>0.04</v>
      </c>
      <c r="L19" s="86">
        <f t="shared" si="0"/>
        <v>170.98</v>
      </c>
      <c r="M19" s="277">
        <f t="shared" si="1"/>
        <v>6.8391999999999999</v>
      </c>
      <c r="N19" s="87">
        <f t="shared" si="2"/>
        <v>4.4400000000000004</v>
      </c>
      <c r="O19" s="88">
        <f t="shared" si="3"/>
        <v>170.98</v>
      </c>
      <c r="P19" s="278">
        <f t="shared" si="4"/>
        <v>759.15120000000002</v>
      </c>
      <c r="T19" s="177"/>
    </row>
    <row r="20" spans="1:20" s="109" customFormat="1" ht="36" x14ac:dyDescent="0.2">
      <c r="A20" s="97"/>
      <c r="B20" s="116"/>
      <c r="C20" s="117" t="s">
        <v>84</v>
      </c>
      <c r="D20" s="117" t="s">
        <v>69</v>
      </c>
      <c r="E20" s="118" t="s">
        <v>318</v>
      </c>
      <c r="F20" s="119" t="s">
        <v>319</v>
      </c>
      <c r="G20" s="120" t="s">
        <v>61</v>
      </c>
      <c r="H20" s="121">
        <v>1.1000000000000001</v>
      </c>
      <c r="I20" s="122">
        <v>257.77999999999997</v>
      </c>
      <c r="J20" s="122">
        <v>283.56</v>
      </c>
      <c r="K20" s="85">
        <f t="shared" ref="K20:K38" si="5">ROUND(88.2/87.49*H20-H20,2)</f>
        <v>0.01</v>
      </c>
      <c r="L20" s="86">
        <f t="shared" si="0"/>
        <v>257.77999999999997</v>
      </c>
      <c r="M20" s="277">
        <f t="shared" si="1"/>
        <v>2.5777999999999999</v>
      </c>
      <c r="N20" s="87">
        <f t="shared" si="2"/>
        <v>1.1100000000000001</v>
      </c>
      <c r="O20" s="88">
        <f t="shared" si="3"/>
        <v>257.77999999999997</v>
      </c>
      <c r="P20" s="278">
        <f t="shared" si="4"/>
        <v>286.13580000000002</v>
      </c>
      <c r="T20" s="177"/>
    </row>
    <row r="21" spans="1:20" s="109" customFormat="1" ht="84" x14ac:dyDescent="0.2">
      <c r="A21" s="97"/>
      <c r="B21" s="116"/>
      <c r="C21" s="117" t="s">
        <v>87</v>
      </c>
      <c r="D21" s="117" t="s">
        <v>69</v>
      </c>
      <c r="E21" s="118" t="s">
        <v>91</v>
      </c>
      <c r="F21" s="119" t="s">
        <v>92</v>
      </c>
      <c r="G21" s="120" t="s">
        <v>61</v>
      </c>
      <c r="H21" s="121">
        <v>1.1000000000000001</v>
      </c>
      <c r="I21" s="122">
        <v>147.30000000000001</v>
      </c>
      <c r="J21" s="122">
        <v>162.03</v>
      </c>
      <c r="K21" s="85">
        <f t="shared" si="5"/>
        <v>0.01</v>
      </c>
      <c r="L21" s="86">
        <f t="shared" si="0"/>
        <v>147.30000000000001</v>
      </c>
      <c r="M21" s="277">
        <f t="shared" si="1"/>
        <v>1.4730000000000001</v>
      </c>
      <c r="N21" s="87">
        <f t="shared" si="2"/>
        <v>1.1100000000000001</v>
      </c>
      <c r="O21" s="88">
        <f t="shared" si="3"/>
        <v>147.30000000000001</v>
      </c>
      <c r="P21" s="278">
        <f t="shared" si="4"/>
        <v>163.50300000000001</v>
      </c>
      <c r="T21" s="177"/>
    </row>
    <row r="22" spans="1:20" s="109" customFormat="1" ht="36" x14ac:dyDescent="0.2">
      <c r="A22" s="97"/>
      <c r="B22" s="116"/>
      <c r="C22" s="117" t="s">
        <v>90</v>
      </c>
      <c r="D22" s="117" t="s">
        <v>69</v>
      </c>
      <c r="E22" s="118" t="s">
        <v>94</v>
      </c>
      <c r="F22" s="119" t="s">
        <v>95</v>
      </c>
      <c r="G22" s="120" t="s">
        <v>62</v>
      </c>
      <c r="H22" s="121">
        <v>22.8</v>
      </c>
      <c r="I22" s="122">
        <v>257.77999999999997</v>
      </c>
      <c r="J22" s="122">
        <v>5877.38</v>
      </c>
      <c r="K22" s="85">
        <f t="shared" si="5"/>
        <v>0.19</v>
      </c>
      <c r="L22" s="86">
        <f t="shared" si="0"/>
        <v>257.77999999999997</v>
      </c>
      <c r="M22" s="277">
        <f t="shared" si="1"/>
        <v>48.978199999999994</v>
      </c>
      <c r="N22" s="87">
        <f t="shared" si="2"/>
        <v>22.990000000000002</v>
      </c>
      <c r="O22" s="88">
        <f t="shared" si="3"/>
        <v>257.77999999999997</v>
      </c>
      <c r="P22" s="278">
        <f t="shared" si="4"/>
        <v>5926.3621999999996</v>
      </c>
      <c r="T22" s="177"/>
    </row>
    <row r="23" spans="1:20" s="109" customFormat="1" ht="48" x14ac:dyDescent="0.2">
      <c r="A23" s="97"/>
      <c r="B23" s="116"/>
      <c r="C23" s="117" t="s">
        <v>93</v>
      </c>
      <c r="D23" s="117" t="s">
        <v>69</v>
      </c>
      <c r="E23" s="118" t="s">
        <v>96</v>
      </c>
      <c r="F23" s="119" t="s">
        <v>97</v>
      </c>
      <c r="G23" s="120" t="s">
        <v>62</v>
      </c>
      <c r="H23" s="121">
        <v>68.400000000000006</v>
      </c>
      <c r="I23" s="122">
        <v>234.11</v>
      </c>
      <c r="J23" s="122">
        <v>16013.12</v>
      </c>
      <c r="K23" s="85">
        <f t="shared" si="5"/>
        <v>0.56000000000000005</v>
      </c>
      <c r="L23" s="86">
        <f t="shared" si="0"/>
        <v>234.11</v>
      </c>
      <c r="M23" s="277">
        <f t="shared" si="1"/>
        <v>131.10160000000002</v>
      </c>
      <c r="N23" s="87">
        <f t="shared" si="2"/>
        <v>68.960000000000008</v>
      </c>
      <c r="O23" s="88">
        <f t="shared" si="3"/>
        <v>234.11</v>
      </c>
      <c r="P23" s="278">
        <f t="shared" si="4"/>
        <v>16144.225600000003</v>
      </c>
      <c r="T23" s="177"/>
    </row>
    <row r="24" spans="1:20" s="109" customFormat="1" ht="48" x14ac:dyDescent="0.2">
      <c r="A24" s="97"/>
      <c r="B24" s="116"/>
      <c r="C24" s="117" t="s">
        <v>26</v>
      </c>
      <c r="D24" s="117" t="s">
        <v>69</v>
      </c>
      <c r="E24" s="118" t="s">
        <v>98</v>
      </c>
      <c r="F24" s="119" t="s">
        <v>99</v>
      </c>
      <c r="G24" s="120" t="s">
        <v>62</v>
      </c>
      <c r="H24" s="121">
        <v>95</v>
      </c>
      <c r="I24" s="122">
        <v>257.77999999999997</v>
      </c>
      <c r="J24" s="122">
        <v>24489.1</v>
      </c>
      <c r="K24" s="85">
        <f t="shared" si="5"/>
        <v>0.77</v>
      </c>
      <c r="L24" s="86">
        <f t="shared" si="0"/>
        <v>257.77999999999997</v>
      </c>
      <c r="M24" s="277">
        <f t="shared" si="1"/>
        <v>198.49059999999997</v>
      </c>
      <c r="N24" s="87">
        <f t="shared" si="2"/>
        <v>95.77</v>
      </c>
      <c r="O24" s="88">
        <f t="shared" si="3"/>
        <v>257.77999999999997</v>
      </c>
      <c r="P24" s="278">
        <f t="shared" si="4"/>
        <v>24687.590599999996</v>
      </c>
      <c r="T24" s="177"/>
    </row>
    <row r="25" spans="1:20" s="109" customFormat="1" ht="48" x14ac:dyDescent="0.2">
      <c r="A25" s="97"/>
      <c r="B25" s="116"/>
      <c r="C25" s="117" t="s">
        <v>28</v>
      </c>
      <c r="D25" s="117" t="s">
        <v>69</v>
      </c>
      <c r="E25" s="118" t="s">
        <v>100</v>
      </c>
      <c r="F25" s="119" t="s">
        <v>101</v>
      </c>
      <c r="G25" s="120" t="s">
        <v>62</v>
      </c>
      <c r="H25" s="121">
        <v>26.6</v>
      </c>
      <c r="I25" s="122">
        <v>315.64999999999998</v>
      </c>
      <c r="J25" s="122">
        <v>8396.2900000000009</v>
      </c>
      <c r="K25" s="85">
        <f t="shared" si="5"/>
        <v>0.22</v>
      </c>
      <c r="L25" s="86">
        <f t="shared" si="0"/>
        <v>315.64999999999998</v>
      </c>
      <c r="M25" s="277">
        <f t="shared" si="1"/>
        <v>69.442999999999998</v>
      </c>
      <c r="N25" s="87">
        <f t="shared" si="2"/>
        <v>26.82</v>
      </c>
      <c r="O25" s="88">
        <f t="shared" si="3"/>
        <v>315.64999999999998</v>
      </c>
      <c r="P25" s="278">
        <f t="shared" si="4"/>
        <v>8465.7330000000002</v>
      </c>
      <c r="T25" s="177"/>
    </row>
    <row r="26" spans="1:20" s="109" customFormat="1" ht="36" x14ac:dyDescent="0.2">
      <c r="A26" s="97"/>
      <c r="B26" s="116"/>
      <c r="C26" s="117" t="s">
        <v>30</v>
      </c>
      <c r="D26" s="117" t="s">
        <v>69</v>
      </c>
      <c r="E26" s="118" t="s">
        <v>102</v>
      </c>
      <c r="F26" s="119" t="s">
        <v>103</v>
      </c>
      <c r="G26" s="120" t="s">
        <v>72</v>
      </c>
      <c r="H26" s="121">
        <v>404.27</v>
      </c>
      <c r="I26" s="122">
        <v>69.709999999999994</v>
      </c>
      <c r="J26" s="122">
        <v>28181.66</v>
      </c>
      <c r="K26" s="85">
        <f t="shared" si="5"/>
        <v>3.28</v>
      </c>
      <c r="L26" s="86">
        <f t="shared" si="0"/>
        <v>69.709999999999994</v>
      </c>
      <c r="M26" s="277">
        <f t="shared" si="1"/>
        <v>228.64879999999997</v>
      </c>
      <c r="N26" s="87">
        <f t="shared" si="2"/>
        <v>407.54999999999995</v>
      </c>
      <c r="O26" s="88">
        <f t="shared" si="3"/>
        <v>69.709999999999994</v>
      </c>
      <c r="P26" s="278">
        <f t="shared" si="4"/>
        <v>28410.310499999996</v>
      </c>
      <c r="T26" s="177"/>
    </row>
    <row r="27" spans="1:20" s="109" customFormat="1" ht="36" x14ac:dyDescent="0.2">
      <c r="A27" s="97"/>
      <c r="B27" s="116"/>
      <c r="C27" s="117" t="s">
        <v>32</v>
      </c>
      <c r="D27" s="117" t="s">
        <v>69</v>
      </c>
      <c r="E27" s="118" t="s">
        <v>104</v>
      </c>
      <c r="F27" s="119" t="s">
        <v>105</v>
      </c>
      <c r="G27" s="120" t="s">
        <v>72</v>
      </c>
      <c r="H27" s="121">
        <v>404.27</v>
      </c>
      <c r="I27" s="122">
        <v>80.23</v>
      </c>
      <c r="J27" s="122">
        <v>32434.58</v>
      </c>
      <c r="K27" s="85">
        <f t="shared" si="5"/>
        <v>3.28</v>
      </c>
      <c r="L27" s="86">
        <f t="shared" si="0"/>
        <v>80.23</v>
      </c>
      <c r="M27" s="277">
        <f t="shared" si="1"/>
        <v>263.15440000000001</v>
      </c>
      <c r="N27" s="87">
        <f t="shared" si="2"/>
        <v>407.54999999999995</v>
      </c>
      <c r="O27" s="88">
        <f t="shared" si="3"/>
        <v>80.23</v>
      </c>
      <c r="P27" s="278">
        <f t="shared" si="4"/>
        <v>32697.736499999999</v>
      </c>
      <c r="T27" s="177"/>
    </row>
    <row r="28" spans="1:20" s="109" customFormat="1" ht="48" x14ac:dyDescent="0.2">
      <c r="A28" s="97"/>
      <c r="B28" s="116"/>
      <c r="C28" s="117" t="s">
        <v>34</v>
      </c>
      <c r="D28" s="117" t="s">
        <v>69</v>
      </c>
      <c r="E28" s="118" t="s">
        <v>106</v>
      </c>
      <c r="F28" s="119" t="s">
        <v>107</v>
      </c>
      <c r="G28" s="120" t="s">
        <v>62</v>
      </c>
      <c r="H28" s="121">
        <v>114</v>
      </c>
      <c r="I28" s="122">
        <v>13.15</v>
      </c>
      <c r="J28" s="122">
        <v>1499.1</v>
      </c>
      <c r="K28" s="85">
        <f t="shared" si="5"/>
        <v>0.93</v>
      </c>
      <c r="L28" s="86">
        <f t="shared" si="0"/>
        <v>13.15</v>
      </c>
      <c r="M28" s="277">
        <f t="shared" si="1"/>
        <v>12.229500000000002</v>
      </c>
      <c r="N28" s="87">
        <f t="shared" si="2"/>
        <v>114.93</v>
      </c>
      <c r="O28" s="88">
        <f t="shared" si="3"/>
        <v>13.15</v>
      </c>
      <c r="P28" s="278">
        <f t="shared" si="4"/>
        <v>1511.3295000000001</v>
      </c>
      <c r="T28" s="177"/>
    </row>
    <row r="29" spans="1:20" s="109" customFormat="1" ht="48" x14ac:dyDescent="0.2">
      <c r="A29" s="97"/>
      <c r="B29" s="116"/>
      <c r="C29" s="117" t="s">
        <v>1</v>
      </c>
      <c r="D29" s="117" t="s">
        <v>69</v>
      </c>
      <c r="E29" s="118" t="s">
        <v>108</v>
      </c>
      <c r="F29" s="119" t="s">
        <v>109</v>
      </c>
      <c r="G29" s="120" t="s">
        <v>62</v>
      </c>
      <c r="H29" s="121">
        <v>305.27</v>
      </c>
      <c r="I29" s="122">
        <v>185.29</v>
      </c>
      <c r="J29" s="122">
        <v>56563.48</v>
      </c>
      <c r="K29" s="85">
        <f t="shared" si="5"/>
        <v>2.48</v>
      </c>
      <c r="L29" s="86">
        <f t="shared" si="0"/>
        <v>185.29</v>
      </c>
      <c r="M29" s="277">
        <f t="shared" si="1"/>
        <v>459.51919999999996</v>
      </c>
      <c r="N29" s="87">
        <f t="shared" si="2"/>
        <v>307.75</v>
      </c>
      <c r="O29" s="88">
        <f t="shared" si="3"/>
        <v>185.29</v>
      </c>
      <c r="P29" s="278">
        <f t="shared" si="4"/>
        <v>57022.997499999998</v>
      </c>
      <c r="T29" s="177"/>
    </row>
    <row r="30" spans="1:20" s="109" customFormat="1" ht="36" x14ac:dyDescent="0.2">
      <c r="A30" s="97"/>
      <c r="B30" s="116"/>
      <c r="C30" s="117" t="s">
        <v>37</v>
      </c>
      <c r="D30" s="117" t="s">
        <v>69</v>
      </c>
      <c r="E30" s="118" t="s">
        <v>110</v>
      </c>
      <c r="F30" s="119" t="s">
        <v>111</v>
      </c>
      <c r="G30" s="120" t="s">
        <v>62</v>
      </c>
      <c r="H30" s="121">
        <v>190</v>
      </c>
      <c r="I30" s="122">
        <v>44.72</v>
      </c>
      <c r="J30" s="122">
        <v>8496.7999999999993</v>
      </c>
      <c r="K30" s="85">
        <f t="shared" si="5"/>
        <v>1.54</v>
      </c>
      <c r="L30" s="86">
        <f t="shared" si="0"/>
        <v>44.72</v>
      </c>
      <c r="M30" s="277">
        <f t="shared" si="1"/>
        <v>68.868799999999993</v>
      </c>
      <c r="N30" s="87">
        <f t="shared" si="2"/>
        <v>191.54</v>
      </c>
      <c r="O30" s="88">
        <f t="shared" si="3"/>
        <v>44.72</v>
      </c>
      <c r="P30" s="278">
        <f t="shared" si="4"/>
        <v>8565.6687999999995</v>
      </c>
      <c r="T30" s="177"/>
    </row>
    <row r="31" spans="1:20" s="109" customFormat="1" ht="48" x14ac:dyDescent="0.2">
      <c r="A31" s="97"/>
      <c r="B31" s="116"/>
      <c r="C31" s="117" t="s">
        <v>39</v>
      </c>
      <c r="D31" s="117" t="s">
        <v>69</v>
      </c>
      <c r="E31" s="118" t="s">
        <v>112</v>
      </c>
      <c r="F31" s="119" t="s">
        <v>113</v>
      </c>
      <c r="G31" s="120" t="s">
        <v>62</v>
      </c>
      <c r="H31" s="121">
        <v>74.2</v>
      </c>
      <c r="I31" s="122">
        <v>247.39</v>
      </c>
      <c r="J31" s="122">
        <v>18356.34</v>
      </c>
      <c r="K31" s="85">
        <f t="shared" si="5"/>
        <v>0.6</v>
      </c>
      <c r="L31" s="86">
        <f t="shared" si="0"/>
        <v>247.39</v>
      </c>
      <c r="M31" s="277">
        <f t="shared" si="1"/>
        <v>148.434</v>
      </c>
      <c r="N31" s="87">
        <f t="shared" si="2"/>
        <v>74.8</v>
      </c>
      <c r="O31" s="88">
        <f t="shared" si="3"/>
        <v>247.39</v>
      </c>
      <c r="P31" s="278">
        <f t="shared" si="4"/>
        <v>18504.771999999997</v>
      </c>
      <c r="T31" s="177"/>
    </row>
    <row r="32" spans="1:20" s="109" customFormat="1" ht="12" x14ac:dyDescent="0.2">
      <c r="A32" s="97"/>
      <c r="B32" s="116"/>
      <c r="C32" s="117" t="s">
        <v>41</v>
      </c>
      <c r="D32" s="117" t="s">
        <v>69</v>
      </c>
      <c r="E32" s="118" t="s">
        <v>115</v>
      </c>
      <c r="F32" s="119" t="s">
        <v>116</v>
      </c>
      <c r="G32" s="120" t="s">
        <v>62</v>
      </c>
      <c r="H32" s="121">
        <v>74.2</v>
      </c>
      <c r="I32" s="122">
        <v>11.84</v>
      </c>
      <c r="J32" s="122">
        <v>878.53</v>
      </c>
      <c r="K32" s="85">
        <f t="shared" si="5"/>
        <v>0.6</v>
      </c>
      <c r="L32" s="86">
        <f t="shared" si="0"/>
        <v>11.84</v>
      </c>
      <c r="M32" s="277">
        <f t="shared" si="1"/>
        <v>7.1040000000000001</v>
      </c>
      <c r="N32" s="87">
        <f t="shared" si="2"/>
        <v>74.8</v>
      </c>
      <c r="O32" s="88">
        <f t="shared" si="3"/>
        <v>11.84</v>
      </c>
      <c r="P32" s="278">
        <f t="shared" si="4"/>
        <v>885.63199999999995</v>
      </c>
      <c r="T32" s="177"/>
    </row>
    <row r="33" spans="1:35" s="109" customFormat="1" ht="36" x14ac:dyDescent="0.2">
      <c r="A33" s="97"/>
      <c r="B33" s="116"/>
      <c r="C33" s="117" t="s">
        <v>114</v>
      </c>
      <c r="D33" s="117" t="s">
        <v>69</v>
      </c>
      <c r="E33" s="118" t="s">
        <v>118</v>
      </c>
      <c r="F33" s="119" t="s">
        <v>119</v>
      </c>
      <c r="G33" s="120" t="s">
        <v>120</v>
      </c>
      <c r="H33" s="121">
        <v>118.583</v>
      </c>
      <c r="I33" s="122">
        <v>116</v>
      </c>
      <c r="J33" s="122">
        <v>13755.63</v>
      </c>
      <c r="K33" s="85">
        <f t="shared" si="5"/>
        <v>0.96</v>
      </c>
      <c r="L33" s="86">
        <f t="shared" si="0"/>
        <v>116</v>
      </c>
      <c r="M33" s="277">
        <f t="shared" si="1"/>
        <v>111.36</v>
      </c>
      <c r="N33" s="87">
        <f t="shared" si="2"/>
        <v>119.54299999999999</v>
      </c>
      <c r="O33" s="88">
        <f t="shared" si="3"/>
        <v>116</v>
      </c>
      <c r="P33" s="278">
        <f t="shared" si="4"/>
        <v>13866.987999999999</v>
      </c>
      <c r="T33" s="177"/>
    </row>
    <row r="34" spans="1:35" s="109" customFormat="1" ht="36" x14ac:dyDescent="0.2">
      <c r="A34" s="97"/>
      <c r="B34" s="116"/>
      <c r="C34" s="117" t="s">
        <v>117</v>
      </c>
      <c r="D34" s="117" t="s">
        <v>69</v>
      </c>
      <c r="E34" s="118" t="s">
        <v>121</v>
      </c>
      <c r="F34" s="119" t="s">
        <v>122</v>
      </c>
      <c r="G34" s="120" t="s">
        <v>62</v>
      </c>
      <c r="H34" s="121">
        <v>115.27</v>
      </c>
      <c r="I34" s="122">
        <v>286.72000000000003</v>
      </c>
      <c r="J34" s="122">
        <v>33050.21</v>
      </c>
      <c r="K34" s="85">
        <f t="shared" si="5"/>
        <v>0.94</v>
      </c>
      <c r="L34" s="86">
        <f t="shared" si="0"/>
        <v>286.72000000000003</v>
      </c>
      <c r="M34" s="277">
        <f t="shared" si="1"/>
        <v>269.51679999999999</v>
      </c>
      <c r="N34" s="87">
        <f t="shared" si="2"/>
        <v>116.21</v>
      </c>
      <c r="O34" s="88">
        <f t="shared" si="3"/>
        <v>286.72000000000003</v>
      </c>
      <c r="P34" s="278">
        <f t="shared" si="4"/>
        <v>33319.731200000002</v>
      </c>
      <c r="T34" s="177"/>
    </row>
    <row r="35" spans="1:35" s="109" customFormat="1" ht="60" x14ac:dyDescent="0.2">
      <c r="A35" s="97"/>
      <c r="B35" s="116"/>
      <c r="C35" s="117" t="s">
        <v>0</v>
      </c>
      <c r="D35" s="117" t="s">
        <v>69</v>
      </c>
      <c r="E35" s="118" t="s">
        <v>124</v>
      </c>
      <c r="F35" s="119" t="s">
        <v>125</v>
      </c>
      <c r="G35" s="120" t="s">
        <v>62</v>
      </c>
      <c r="H35" s="121">
        <v>49.01</v>
      </c>
      <c r="I35" s="122">
        <v>318.27999999999997</v>
      </c>
      <c r="J35" s="122">
        <v>15598.9</v>
      </c>
      <c r="K35" s="85">
        <f t="shared" si="5"/>
        <v>0.4</v>
      </c>
      <c r="L35" s="86">
        <f t="shared" si="0"/>
        <v>318.27999999999997</v>
      </c>
      <c r="M35" s="277">
        <f t="shared" si="1"/>
        <v>127.312</v>
      </c>
      <c r="N35" s="87">
        <f t="shared" si="2"/>
        <v>49.41</v>
      </c>
      <c r="O35" s="88">
        <f t="shared" si="3"/>
        <v>318.27999999999997</v>
      </c>
      <c r="P35" s="278">
        <f t="shared" si="4"/>
        <v>15726.214799999998</v>
      </c>
      <c r="T35" s="177"/>
    </row>
    <row r="36" spans="1:35" s="109" customFormat="1" ht="12" x14ac:dyDescent="0.2">
      <c r="A36" s="97"/>
      <c r="B36" s="116"/>
      <c r="C36" s="123" t="s">
        <v>123</v>
      </c>
      <c r="D36" s="123" t="s">
        <v>127</v>
      </c>
      <c r="E36" s="124" t="s">
        <v>128</v>
      </c>
      <c r="F36" s="125" t="s">
        <v>129</v>
      </c>
      <c r="G36" s="126" t="s">
        <v>120</v>
      </c>
      <c r="H36" s="127">
        <v>88.218000000000004</v>
      </c>
      <c r="I36" s="128">
        <v>190.76</v>
      </c>
      <c r="J36" s="128">
        <v>16828.47</v>
      </c>
      <c r="K36" s="85">
        <f t="shared" si="5"/>
        <v>0.72</v>
      </c>
      <c r="L36" s="86">
        <f t="shared" si="0"/>
        <v>190.76</v>
      </c>
      <c r="M36" s="277">
        <f t="shared" si="1"/>
        <v>137.34719999999999</v>
      </c>
      <c r="N36" s="87">
        <f t="shared" si="2"/>
        <v>88.938000000000002</v>
      </c>
      <c r="O36" s="88">
        <f t="shared" si="3"/>
        <v>190.76</v>
      </c>
      <c r="P36" s="278">
        <f t="shared" si="4"/>
        <v>16965.812880000001</v>
      </c>
      <c r="T36" s="177"/>
    </row>
    <row r="37" spans="1:35" s="110" customFormat="1" ht="12.75" x14ac:dyDescent="0.2">
      <c r="C37" s="245"/>
      <c r="D37" s="246" t="s">
        <v>3</v>
      </c>
      <c r="E37" s="247" t="s">
        <v>76</v>
      </c>
      <c r="F37" s="247" t="s">
        <v>130</v>
      </c>
      <c r="G37" s="245"/>
      <c r="H37" s="245"/>
      <c r="I37" s="245"/>
      <c r="J37" s="248">
        <v>2876.67</v>
      </c>
      <c r="K37" s="243"/>
      <c r="L37" s="244"/>
      <c r="M37" s="279">
        <f>M38</f>
        <v>23.344799999999999</v>
      </c>
      <c r="N37" s="280"/>
      <c r="O37" s="244"/>
      <c r="P37" s="279">
        <f>P38</f>
        <v>2900.0160000000001</v>
      </c>
    </row>
    <row r="38" spans="1:35" s="109" customFormat="1" ht="12" x14ac:dyDescent="0.2">
      <c r="A38" s="97"/>
      <c r="B38" s="116"/>
      <c r="C38" s="117" t="s">
        <v>126</v>
      </c>
      <c r="D38" s="117" t="s">
        <v>69</v>
      </c>
      <c r="E38" s="118" t="s">
        <v>132</v>
      </c>
      <c r="F38" s="119" t="s">
        <v>133</v>
      </c>
      <c r="G38" s="120" t="s">
        <v>61</v>
      </c>
      <c r="H38" s="121">
        <v>87.49</v>
      </c>
      <c r="I38" s="122">
        <v>32.880000000000003</v>
      </c>
      <c r="J38" s="122">
        <v>2876.67</v>
      </c>
      <c r="K38" s="85">
        <f t="shared" si="5"/>
        <v>0.71</v>
      </c>
      <c r="L38" s="86">
        <f t="shared" si="0"/>
        <v>32.880000000000003</v>
      </c>
      <c r="M38" s="277">
        <f t="shared" si="1"/>
        <v>23.344799999999999</v>
      </c>
      <c r="N38" s="87">
        <f t="shared" si="2"/>
        <v>88.199999999999989</v>
      </c>
      <c r="O38" s="88">
        <f t="shared" si="3"/>
        <v>32.880000000000003</v>
      </c>
      <c r="P38" s="278">
        <f t="shared" si="4"/>
        <v>2900.0160000000001</v>
      </c>
    </row>
    <row r="39" spans="1:35" s="110" customFormat="1" ht="12.75" x14ac:dyDescent="0.2">
      <c r="C39" s="245"/>
      <c r="D39" s="246" t="s">
        <v>3</v>
      </c>
      <c r="E39" s="247" t="s">
        <v>73</v>
      </c>
      <c r="F39" s="247" t="s">
        <v>134</v>
      </c>
      <c r="G39" s="245"/>
      <c r="H39" s="245"/>
      <c r="I39" s="245"/>
      <c r="J39" s="248">
        <v>2809.32</v>
      </c>
      <c r="K39" s="243"/>
      <c r="L39" s="244"/>
      <c r="M39" s="279">
        <f>SUM(M40:M41)</f>
        <v>0</v>
      </c>
      <c r="N39" s="280"/>
      <c r="O39" s="244"/>
      <c r="P39" s="279">
        <f>SUM(P40:P41)</f>
        <v>2809.3199999999997</v>
      </c>
    </row>
    <row r="40" spans="1:35" s="109" customFormat="1" ht="24" x14ac:dyDescent="0.2">
      <c r="A40" s="97"/>
      <c r="B40" s="116"/>
      <c r="C40" s="117" t="s">
        <v>131</v>
      </c>
      <c r="D40" s="117" t="s">
        <v>69</v>
      </c>
      <c r="E40" s="118" t="s">
        <v>136</v>
      </c>
      <c r="F40" s="119" t="s">
        <v>137</v>
      </c>
      <c r="G40" s="120" t="s">
        <v>138</v>
      </c>
      <c r="H40" s="121">
        <v>6</v>
      </c>
      <c r="I40" s="122">
        <v>122.32</v>
      </c>
      <c r="J40" s="122">
        <v>733.92</v>
      </c>
      <c r="K40" s="85">
        <v>0</v>
      </c>
      <c r="L40" s="86">
        <f t="shared" si="0"/>
        <v>122.32</v>
      </c>
      <c r="M40" s="277">
        <f t="shared" si="1"/>
        <v>0</v>
      </c>
      <c r="N40" s="87">
        <f t="shared" si="2"/>
        <v>6</v>
      </c>
      <c r="O40" s="88">
        <f t="shared" si="3"/>
        <v>122.32</v>
      </c>
      <c r="P40" s="278">
        <f t="shared" si="4"/>
        <v>733.92</v>
      </c>
    </row>
    <row r="41" spans="1:35" s="109" customFormat="1" ht="12" x14ac:dyDescent="0.2">
      <c r="A41" s="97"/>
      <c r="B41" s="116"/>
      <c r="C41" s="123" t="s">
        <v>135</v>
      </c>
      <c r="D41" s="123" t="s">
        <v>127</v>
      </c>
      <c r="E41" s="124" t="s">
        <v>146</v>
      </c>
      <c r="F41" s="125" t="s">
        <v>147</v>
      </c>
      <c r="G41" s="126" t="s">
        <v>138</v>
      </c>
      <c r="H41" s="127">
        <v>6</v>
      </c>
      <c r="I41" s="128">
        <v>345.9</v>
      </c>
      <c r="J41" s="128">
        <v>2075.4</v>
      </c>
      <c r="K41" s="85">
        <v>0</v>
      </c>
      <c r="L41" s="86">
        <f t="shared" si="0"/>
        <v>345.9</v>
      </c>
      <c r="M41" s="277">
        <f t="shared" si="1"/>
        <v>0</v>
      </c>
      <c r="N41" s="87">
        <f t="shared" si="2"/>
        <v>6</v>
      </c>
      <c r="O41" s="88">
        <f t="shared" si="3"/>
        <v>345.9</v>
      </c>
      <c r="P41" s="278">
        <f t="shared" si="4"/>
        <v>2075.3999999999996</v>
      </c>
    </row>
    <row r="42" spans="1:35" s="110" customFormat="1" ht="12.75" x14ac:dyDescent="0.2">
      <c r="C42" s="245"/>
      <c r="D42" s="246" t="s">
        <v>3</v>
      </c>
      <c r="E42" s="247" t="s">
        <v>81</v>
      </c>
      <c r="F42" s="247" t="s">
        <v>154</v>
      </c>
      <c r="G42" s="245"/>
      <c r="H42" s="245"/>
      <c r="I42" s="245"/>
      <c r="J42" s="248">
        <v>150089.27000000002</v>
      </c>
      <c r="K42" s="243"/>
      <c r="L42" s="244"/>
      <c r="M42" s="279">
        <f>SUM(M43:M47)</f>
        <v>0</v>
      </c>
      <c r="N42" s="280"/>
      <c r="O42" s="244"/>
      <c r="P42" s="279">
        <f>SUM(P43:P47)</f>
        <v>150089.26998000001</v>
      </c>
    </row>
    <row r="43" spans="1:35" s="109" customFormat="1" ht="36" x14ac:dyDescent="0.2">
      <c r="A43" s="97"/>
      <c r="B43" s="116"/>
      <c r="C43" s="117" t="s">
        <v>139</v>
      </c>
      <c r="D43" s="117" t="s">
        <v>69</v>
      </c>
      <c r="E43" s="118" t="s">
        <v>156</v>
      </c>
      <c r="F43" s="119" t="s">
        <v>157</v>
      </c>
      <c r="G43" s="120" t="s">
        <v>72</v>
      </c>
      <c r="H43" s="121">
        <v>96.239000000000004</v>
      </c>
      <c r="I43" s="122">
        <v>319.88</v>
      </c>
      <c r="J43" s="122">
        <v>30784.93</v>
      </c>
      <c r="K43" s="85">
        <v>0</v>
      </c>
      <c r="L43" s="86">
        <f t="shared" si="0"/>
        <v>319.88</v>
      </c>
      <c r="M43" s="277">
        <f t="shared" si="1"/>
        <v>0</v>
      </c>
      <c r="N43" s="87">
        <f t="shared" si="2"/>
        <v>96.239000000000004</v>
      </c>
      <c r="O43" s="88">
        <f t="shared" si="3"/>
        <v>319.88</v>
      </c>
      <c r="P43" s="278">
        <f t="shared" si="4"/>
        <v>30784.93132</v>
      </c>
    </row>
    <row r="44" spans="1:35" s="109" customFormat="1" ht="24" x14ac:dyDescent="0.2">
      <c r="A44" s="97"/>
      <c r="B44" s="116"/>
      <c r="C44" s="117" t="s">
        <v>142</v>
      </c>
      <c r="D44" s="117" t="s">
        <v>69</v>
      </c>
      <c r="E44" s="118" t="s">
        <v>162</v>
      </c>
      <c r="F44" s="119" t="s">
        <v>163</v>
      </c>
      <c r="G44" s="120" t="s">
        <v>72</v>
      </c>
      <c r="H44" s="121">
        <v>96.239000000000004</v>
      </c>
      <c r="I44" s="122">
        <v>155.66999999999999</v>
      </c>
      <c r="J44" s="122">
        <v>14981.53</v>
      </c>
      <c r="K44" s="85">
        <v>0</v>
      </c>
      <c r="L44" s="86">
        <f t="shared" si="0"/>
        <v>155.66999999999999</v>
      </c>
      <c r="M44" s="277">
        <f t="shared" si="1"/>
        <v>0</v>
      </c>
      <c r="N44" s="87">
        <f t="shared" si="2"/>
        <v>96.239000000000004</v>
      </c>
      <c r="O44" s="88">
        <f t="shared" si="3"/>
        <v>155.66999999999999</v>
      </c>
      <c r="P44" s="278">
        <f t="shared" si="4"/>
        <v>14981.52513</v>
      </c>
      <c r="AG44" s="150" t="s">
        <v>1219</v>
      </c>
      <c r="AH44" s="149" t="s">
        <v>1240</v>
      </c>
      <c r="AI44" s="150" t="s">
        <v>1254</v>
      </c>
    </row>
    <row r="45" spans="1:35" s="109" customFormat="1" ht="24" x14ac:dyDescent="0.2">
      <c r="A45" s="97"/>
      <c r="B45" s="116"/>
      <c r="C45" s="117" t="s">
        <v>145</v>
      </c>
      <c r="D45" s="117" t="s">
        <v>69</v>
      </c>
      <c r="E45" s="118" t="s">
        <v>168</v>
      </c>
      <c r="F45" s="119" t="s">
        <v>169</v>
      </c>
      <c r="G45" s="120" t="s">
        <v>72</v>
      </c>
      <c r="H45" s="121">
        <v>148.733</v>
      </c>
      <c r="I45" s="122">
        <v>18.04</v>
      </c>
      <c r="J45" s="122">
        <v>2683.14</v>
      </c>
      <c r="K45" s="85">
        <v>0</v>
      </c>
      <c r="L45" s="86">
        <f t="shared" si="0"/>
        <v>18.04</v>
      </c>
      <c r="M45" s="277">
        <f t="shared" si="1"/>
        <v>0</v>
      </c>
      <c r="N45" s="87">
        <f t="shared" si="2"/>
        <v>148.733</v>
      </c>
      <c r="O45" s="88">
        <f t="shared" si="3"/>
        <v>18.04</v>
      </c>
      <c r="P45" s="278">
        <f t="shared" si="4"/>
        <v>2683.1433200000001</v>
      </c>
    </row>
    <row r="46" spans="1:35" s="109" customFormat="1" ht="48" x14ac:dyDescent="0.2">
      <c r="A46" s="97"/>
      <c r="B46" s="116"/>
      <c r="C46" s="117" t="s">
        <v>148</v>
      </c>
      <c r="D46" s="117" t="s">
        <v>69</v>
      </c>
      <c r="E46" s="118" t="s">
        <v>171</v>
      </c>
      <c r="F46" s="119" t="s">
        <v>172</v>
      </c>
      <c r="G46" s="120" t="s">
        <v>72</v>
      </c>
      <c r="H46" s="121">
        <v>148.733</v>
      </c>
      <c r="I46" s="122">
        <v>396.71</v>
      </c>
      <c r="J46" s="122">
        <v>59003.87</v>
      </c>
      <c r="K46" s="85">
        <v>0</v>
      </c>
      <c r="L46" s="86">
        <f t="shared" si="0"/>
        <v>396.71</v>
      </c>
      <c r="M46" s="277">
        <f t="shared" si="1"/>
        <v>0</v>
      </c>
      <c r="N46" s="87">
        <f t="shared" si="2"/>
        <v>148.733</v>
      </c>
      <c r="O46" s="88">
        <f t="shared" si="3"/>
        <v>396.71</v>
      </c>
      <c r="P46" s="278">
        <f t="shared" si="4"/>
        <v>59003.868429999995</v>
      </c>
    </row>
    <row r="47" spans="1:35" s="109" customFormat="1" ht="36" x14ac:dyDescent="0.2">
      <c r="A47" s="97"/>
      <c r="B47" s="116"/>
      <c r="C47" s="117" t="s">
        <v>151</v>
      </c>
      <c r="D47" s="117" t="s">
        <v>69</v>
      </c>
      <c r="E47" s="118" t="s">
        <v>174</v>
      </c>
      <c r="F47" s="119" t="s">
        <v>175</v>
      </c>
      <c r="G47" s="120" t="s">
        <v>72</v>
      </c>
      <c r="H47" s="121">
        <v>96.239000000000004</v>
      </c>
      <c r="I47" s="122">
        <v>443.02</v>
      </c>
      <c r="J47" s="122">
        <v>42635.8</v>
      </c>
      <c r="K47" s="85">
        <v>0</v>
      </c>
      <c r="L47" s="86">
        <f t="shared" si="0"/>
        <v>443.02</v>
      </c>
      <c r="M47" s="277">
        <f t="shared" si="1"/>
        <v>0</v>
      </c>
      <c r="N47" s="87">
        <f t="shared" si="2"/>
        <v>96.239000000000004</v>
      </c>
      <c r="O47" s="88">
        <f t="shared" si="3"/>
        <v>443.02</v>
      </c>
      <c r="P47" s="278">
        <f t="shared" si="4"/>
        <v>42635.801780000002</v>
      </c>
    </row>
    <row r="48" spans="1:35" s="110" customFormat="1" ht="12.75" x14ac:dyDescent="0.2">
      <c r="C48" s="245"/>
      <c r="D48" s="246" t="s">
        <v>3</v>
      </c>
      <c r="E48" s="247" t="s">
        <v>90</v>
      </c>
      <c r="F48" s="247" t="s">
        <v>182</v>
      </c>
      <c r="G48" s="245"/>
      <c r="H48" s="245"/>
      <c r="I48" s="245"/>
      <c r="J48" s="248">
        <v>304023.81</v>
      </c>
      <c r="K48" s="243"/>
      <c r="L48" s="244"/>
      <c r="M48" s="279">
        <f>SUM(M49:M64)</f>
        <v>1519.2079999999999</v>
      </c>
      <c r="N48" s="280"/>
      <c r="O48" s="244"/>
      <c r="P48" s="279">
        <f>SUM(P49:P64)</f>
        <v>305543.01813999994</v>
      </c>
    </row>
    <row r="49" spans="1:25" s="109" customFormat="1" ht="36" x14ac:dyDescent="0.2">
      <c r="A49" s="97"/>
      <c r="B49" s="116"/>
      <c r="C49" s="117" t="s">
        <v>155</v>
      </c>
      <c r="D49" s="117" t="s">
        <v>69</v>
      </c>
      <c r="E49" s="118" t="s">
        <v>184</v>
      </c>
      <c r="F49" s="119" t="s">
        <v>185</v>
      </c>
      <c r="G49" s="120" t="s">
        <v>61</v>
      </c>
      <c r="H49" s="121">
        <v>87.49</v>
      </c>
      <c r="I49" s="122">
        <v>552.39</v>
      </c>
      <c r="J49" s="122">
        <v>48328.6</v>
      </c>
      <c r="K49" s="85">
        <f t="shared" ref="K49:K50" si="6">ROUND(88.2/87.49*H49-H49,2)</f>
        <v>0.71</v>
      </c>
      <c r="L49" s="86">
        <f t="shared" si="0"/>
        <v>552.39</v>
      </c>
      <c r="M49" s="277">
        <f t="shared" si="1"/>
        <v>392.19689999999997</v>
      </c>
      <c r="N49" s="87">
        <f t="shared" si="2"/>
        <v>88.199999999999989</v>
      </c>
      <c r="O49" s="88">
        <f t="shared" si="3"/>
        <v>552.39</v>
      </c>
      <c r="P49" s="278">
        <f t="shared" si="4"/>
        <v>48720.797999999995</v>
      </c>
      <c r="Y49" s="148" t="s">
        <v>1114</v>
      </c>
    </row>
    <row r="50" spans="1:25" s="109" customFormat="1" ht="24" x14ac:dyDescent="0.2">
      <c r="A50" s="97"/>
      <c r="B50" s="116"/>
      <c r="C50" s="123" t="s">
        <v>158</v>
      </c>
      <c r="D50" s="123" t="s">
        <v>127</v>
      </c>
      <c r="E50" s="124" t="s">
        <v>187</v>
      </c>
      <c r="F50" s="125" t="s">
        <v>188</v>
      </c>
      <c r="G50" s="126" t="s">
        <v>61</v>
      </c>
      <c r="H50" s="127">
        <v>88.802000000000007</v>
      </c>
      <c r="I50" s="128">
        <v>1060.07</v>
      </c>
      <c r="J50" s="128">
        <v>94136.34</v>
      </c>
      <c r="K50" s="85">
        <f t="shared" si="6"/>
        <v>0.72</v>
      </c>
      <c r="L50" s="86">
        <f t="shared" si="0"/>
        <v>1060.07</v>
      </c>
      <c r="M50" s="277">
        <f t="shared" si="1"/>
        <v>763.2503999999999</v>
      </c>
      <c r="N50" s="87">
        <f t="shared" si="2"/>
        <v>89.522000000000006</v>
      </c>
      <c r="O50" s="88">
        <f t="shared" si="3"/>
        <v>1060.07</v>
      </c>
      <c r="P50" s="278">
        <f t="shared" si="4"/>
        <v>94899.586540000004</v>
      </c>
    </row>
    <row r="51" spans="1:25" s="109" customFormat="1" ht="36" x14ac:dyDescent="0.2">
      <c r="A51" s="97"/>
      <c r="B51" s="116"/>
      <c r="C51" s="117" t="s">
        <v>161</v>
      </c>
      <c r="D51" s="117" t="s">
        <v>69</v>
      </c>
      <c r="E51" s="118" t="s">
        <v>202</v>
      </c>
      <c r="F51" s="119" t="s">
        <v>203</v>
      </c>
      <c r="G51" s="120" t="s">
        <v>138</v>
      </c>
      <c r="H51" s="121">
        <v>5</v>
      </c>
      <c r="I51" s="122">
        <v>260.41000000000003</v>
      </c>
      <c r="J51" s="122">
        <v>1302.05</v>
      </c>
      <c r="K51" s="85">
        <v>0</v>
      </c>
      <c r="L51" s="86">
        <f t="shared" si="0"/>
        <v>260.41000000000003</v>
      </c>
      <c r="M51" s="277">
        <f t="shared" si="1"/>
        <v>0</v>
      </c>
      <c r="N51" s="87">
        <f t="shared" si="2"/>
        <v>5</v>
      </c>
      <c r="O51" s="88">
        <f t="shared" si="3"/>
        <v>260.41000000000003</v>
      </c>
      <c r="P51" s="278">
        <f t="shared" si="4"/>
        <v>1302.0500000000002</v>
      </c>
    </row>
    <row r="52" spans="1:25" s="109" customFormat="1" ht="36" x14ac:dyDescent="0.2">
      <c r="A52" s="97"/>
      <c r="B52" s="116"/>
      <c r="C52" s="123" t="s">
        <v>164</v>
      </c>
      <c r="D52" s="123" t="s">
        <v>127</v>
      </c>
      <c r="E52" s="124" t="s">
        <v>205</v>
      </c>
      <c r="F52" s="125" t="s">
        <v>206</v>
      </c>
      <c r="G52" s="126" t="s">
        <v>138</v>
      </c>
      <c r="H52" s="127">
        <v>5</v>
      </c>
      <c r="I52" s="128">
        <v>1801.85</v>
      </c>
      <c r="J52" s="128">
        <v>9009.25</v>
      </c>
      <c r="K52" s="85">
        <v>0</v>
      </c>
      <c r="L52" s="86">
        <f t="shared" si="0"/>
        <v>1801.85</v>
      </c>
      <c r="M52" s="277">
        <f t="shared" si="1"/>
        <v>0</v>
      </c>
      <c r="N52" s="87">
        <f t="shared" si="2"/>
        <v>5</v>
      </c>
      <c r="O52" s="88">
        <f t="shared" si="3"/>
        <v>1801.85</v>
      </c>
      <c r="P52" s="278">
        <f t="shared" si="4"/>
        <v>9009.25</v>
      </c>
      <c r="S52" s="148" t="s">
        <v>1089</v>
      </c>
    </row>
    <row r="53" spans="1:25" s="109" customFormat="1" ht="24" x14ac:dyDescent="0.2">
      <c r="A53" s="97"/>
      <c r="B53" s="116"/>
      <c r="C53" s="117" t="s">
        <v>167</v>
      </c>
      <c r="D53" s="117" t="s">
        <v>69</v>
      </c>
      <c r="E53" s="118" t="s">
        <v>211</v>
      </c>
      <c r="F53" s="119" t="s">
        <v>212</v>
      </c>
      <c r="G53" s="120" t="s">
        <v>213</v>
      </c>
      <c r="H53" s="121">
        <v>2</v>
      </c>
      <c r="I53" s="122">
        <v>2564.6799999999998</v>
      </c>
      <c r="J53" s="122">
        <v>5129.3599999999997</v>
      </c>
      <c r="K53" s="85">
        <f t="shared" ref="K53" si="7">ROUND(88.2/87.49*H53-H53,2)</f>
        <v>0.02</v>
      </c>
      <c r="L53" s="86">
        <f t="shared" si="0"/>
        <v>2564.6799999999998</v>
      </c>
      <c r="M53" s="277">
        <f t="shared" si="1"/>
        <v>51.293599999999998</v>
      </c>
      <c r="N53" s="87">
        <f t="shared" si="2"/>
        <v>2.02</v>
      </c>
      <c r="O53" s="88">
        <f t="shared" si="3"/>
        <v>2564.6799999999998</v>
      </c>
      <c r="P53" s="278">
        <f t="shared" si="4"/>
        <v>5180.6535999999996</v>
      </c>
    </row>
    <row r="54" spans="1:25" s="109" customFormat="1" ht="24" x14ac:dyDescent="0.2">
      <c r="A54" s="97"/>
      <c r="B54" s="116"/>
      <c r="C54" s="117" t="s">
        <v>170</v>
      </c>
      <c r="D54" s="117" t="s">
        <v>69</v>
      </c>
      <c r="E54" s="118" t="s">
        <v>215</v>
      </c>
      <c r="F54" s="119" t="s">
        <v>216</v>
      </c>
      <c r="G54" s="120" t="s">
        <v>138</v>
      </c>
      <c r="H54" s="121">
        <v>7</v>
      </c>
      <c r="I54" s="122">
        <v>2016.23</v>
      </c>
      <c r="J54" s="122">
        <v>14113.61</v>
      </c>
      <c r="K54" s="85">
        <v>0</v>
      </c>
      <c r="L54" s="86">
        <f t="shared" si="0"/>
        <v>2016.23</v>
      </c>
      <c r="M54" s="277">
        <f t="shared" si="1"/>
        <v>0</v>
      </c>
      <c r="N54" s="87">
        <f t="shared" si="2"/>
        <v>7</v>
      </c>
      <c r="O54" s="88">
        <f t="shared" si="3"/>
        <v>2016.23</v>
      </c>
      <c r="P54" s="278">
        <f t="shared" si="4"/>
        <v>14113.61</v>
      </c>
    </row>
    <row r="55" spans="1:25" s="109" customFormat="1" ht="24" x14ac:dyDescent="0.2">
      <c r="A55" s="97"/>
      <c r="B55" s="116"/>
      <c r="C55" s="123" t="s">
        <v>173</v>
      </c>
      <c r="D55" s="123" t="s">
        <v>127</v>
      </c>
      <c r="E55" s="124" t="s">
        <v>221</v>
      </c>
      <c r="F55" s="125" t="s">
        <v>222</v>
      </c>
      <c r="G55" s="126" t="s">
        <v>138</v>
      </c>
      <c r="H55" s="127">
        <v>3</v>
      </c>
      <c r="I55" s="128">
        <v>14898.16</v>
      </c>
      <c r="J55" s="128">
        <v>44694.48</v>
      </c>
      <c r="K55" s="85">
        <v>0</v>
      </c>
      <c r="L55" s="86">
        <f t="shared" si="0"/>
        <v>14898.16</v>
      </c>
      <c r="M55" s="277">
        <f t="shared" si="1"/>
        <v>0</v>
      </c>
      <c r="N55" s="87">
        <f t="shared" si="2"/>
        <v>3</v>
      </c>
      <c r="O55" s="88">
        <f t="shared" si="3"/>
        <v>14898.16</v>
      </c>
      <c r="P55" s="278">
        <f t="shared" si="4"/>
        <v>44694.479999999996</v>
      </c>
    </row>
    <row r="56" spans="1:25" s="109" customFormat="1" ht="24" x14ac:dyDescent="0.2">
      <c r="A56" s="97"/>
      <c r="B56" s="116"/>
      <c r="C56" s="123" t="s">
        <v>176</v>
      </c>
      <c r="D56" s="123" t="s">
        <v>127</v>
      </c>
      <c r="E56" s="124" t="s">
        <v>224</v>
      </c>
      <c r="F56" s="125" t="s">
        <v>225</v>
      </c>
      <c r="G56" s="126" t="s">
        <v>138</v>
      </c>
      <c r="H56" s="127">
        <v>3</v>
      </c>
      <c r="I56" s="128">
        <v>1530.92</v>
      </c>
      <c r="J56" s="128">
        <v>4592.76</v>
      </c>
      <c r="K56" s="85">
        <v>0</v>
      </c>
      <c r="L56" s="86">
        <f t="shared" si="0"/>
        <v>1530.92</v>
      </c>
      <c r="M56" s="277">
        <f t="shared" si="1"/>
        <v>0</v>
      </c>
      <c r="N56" s="87">
        <f t="shared" si="2"/>
        <v>3</v>
      </c>
      <c r="O56" s="88">
        <f t="shared" si="3"/>
        <v>1530.92</v>
      </c>
      <c r="P56" s="278">
        <f t="shared" si="4"/>
        <v>4592.76</v>
      </c>
    </row>
    <row r="57" spans="1:25" s="109" customFormat="1" ht="24" x14ac:dyDescent="0.2">
      <c r="A57" s="97"/>
      <c r="B57" s="116"/>
      <c r="C57" s="123" t="s">
        <v>179</v>
      </c>
      <c r="D57" s="123" t="s">
        <v>127</v>
      </c>
      <c r="E57" s="124" t="s">
        <v>230</v>
      </c>
      <c r="F57" s="125" t="s">
        <v>231</v>
      </c>
      <c r="G57" s="126" t="s">
        <v>138</v>
      </c>
      <c r="H57" s="127">
        <v>3</v>
      </c>
      <c r="I57" s="128">
        <v>1202.1099999999999</v>
      </c>
      <c r="J57" s="128">
        <v>3606.33</v>
      </c>
      <c r="K57" s="85">
        <v>0</v>
      </c>
      <c r="L57" s="86">
        <f t="shared" si="0"/>
        <v>1202.1099999999999</v>
      </c>
      <c r="M57" s="277">
        <f t="shared" si="1"/>
        <v>0</v>
      </c>
      <c r="N57" s="87">
        <f t="shared" si="2"/>
        <v>3</v>
      </c>
      <c r="O57" s="88">
        <f t="shared" si="3"/>
        <v>1202.1099999999999</v>
      </c>
      <c r="P57" s="278">
        <f t="shared" si="4"/>
        <v>3606.33</v>
      </c>
    </row>
    <row r="58" spans="1:25" s="109" customFormat="1" ht="24" x14ac:dyDescent="0.2">
      <c r="A58" s="97"/>
      <c r="B58" s="116"/>
      <c r="C58" s="123" t="s">
        <v>183</v>
      </c>
      <c r="D58" s="123" t="s">
        <v>127</v>
      </c>
      <c r="E58" s="124" t="s">
        <v>236</v>
      </c>
      <c r="F58" s="125" t="s">
        <v>237</v>
      </c>
      <c r="G58" s="126" t="s">
        <v>138</v>
      </c>
      <c r="H58" s="127">
        <v>6</v>
      </c>
      <c r="I58" s="128">
        <v>211.75</v>
      </c>
      <c r="J58" s="128">
        <v>1270.5</v>
      </c>
      <c r="K58" s="85">
        <v>0</v>
      </c>
      <c r="L58" s="86">
        <f t="shared" si="0"/>
        <v>211.75</v>
      </c>
      <c r="M58" s="277">
        <f t="shared" si="1"/>
        <v>0</v>
      </c>
      <c r="N58" s="87">
        <f t="shared" si="2"/>
        <v>6</v>
      </c>
      <c r="O58" s="88">
        <f t="shared" si="3"/>
        <v>211.75</v>
      </c>
      <c r="P58" s="278">
        <f t="shared" si="4"/>
        <v>1270.5</v>
      </c>
    </row>
    <row r="59" spans="1:25" s="109" customFormat="1" ht="36" x14ac:dyDescent="0.2">
      <c r="A59" s="97"/>
      <c r="B59" s="116"/>
      <c r="C59" s="117" t="s">
        <v>186</v>
      </c>
      <c r="D59" s="117" t="s">
        <v>69</v>
      </c>
      <c r="E59" s="118" t="s">
        <v>239</v>
      </c>
      <c r="F59" s="119" t="s">
        <v>240</v>
      </c>
      <c r="G59" s="120" t="s">
        <v>138</v>
      </c>
      <c r="H59" s="121">
        <v>3</v>
      </c>
      <c r="I59" s="122">
        <v>5935.59</v>
      </c>
      <c r="J59" s="122">
        <v>17806.77</v>
      </c>
      <c r="K59" s="85">
        <v>0</v>
      </c>
      <c r="L59" s="86">
        <f t="shared" si="0"/>
        <v>5935.59</v>
      </c>
      <c r="M59" s="277">
        <f t="shared" si="1"/>
        <v>0</v>
      </c>
      <c r="N59" s="87">
        <f t="shared" si="2"/>
        <v>3</v>
      </c>
      <c r="O59" s="88">
        <f t="shared" si="3"/>
        <v>5935.59</v>
      </c>
      <c r="P59" s="278">
        <f t="shared" si="4"/>
        <v>17806.77</v>
      </c>
    </row>
    <row r="60" spans="1:25" s="109" customFormat="1" ht="24" x14ac:dyDescent="0.2">
      <c r="A60" s="97"/>
      <c r="B60" s="116"/>
      <c r="C60" s="117" t="s">
        <v>189</v>
      </c>
      <c r="D60" s="117" t="s">
        <v>69</v>
      </c>
      <c r="E60" s="118" t="s">
        <v>242</v>
      </c>
      <c r="F60" s="119" t="s">
        <v>243</v>
      </c>
      <c r="G60" s="120" t="s">
        <v>138</v>
      </c>
      <c r="H60" s="121">
        <v>3</v>
      </c>
      <c r="I60" s="122">
        <v>485.32</v>
      </c>
      <c r="J60" s="122">
        <v>1455.96</v>
      </c>
      <c r="K60" s="85">
        <v>0</v>
      </c>
      <c r="L60" s="86">
        <f t="shared" si="0"/>
        <v>485.32</v>
      </c>
      <c r="M60" s="277">
        <f t="shared" si="1"/>
        <v>0</v>
      </c>
      <c r="N60" s="87">
        <f t="shared" si="2"/>
        <v>3</v>
      </c>
      <c r="O60" s="88">
        <f t="shared" si="3"/>
        <v>485.32</v>
      </c>
      <c r="P60" s="278">
        <f t="shared" si="4"/>
        <v>1455.96</v>
      </c>
    </row>
    <row r="61" spans="1:25" s="109" customFormat="1" ht="12" x14ac:dyDescent="0.2">
      <c r="A61" s="97"/>
      <c r="B61" s="116"/>
      <c r="C61" s="123" t="s">
        <v>192</v>
      </c>
      <c r="D61" s="123" t="s">
        <v>127</v>
      </c>
      <c r="E61" s="124" t="s">
        <v>311</v>
      </c>
      <c r="F61" s="125" t="s">
        <v>312</v>
      </c>
      <c r="G61" s="126" t="s">
        <v>138</v>
      </c>
      <c r="H61" s="127">
        <v>1</v>
      </c>
      <c r="I61" s="128">
        <v>6510.34</v>
      </c>
      <c r="J61" s="128">
        <v>6510.34</v>
      </c>
      <c r="K61" s="85">
        <v>0</v>
      </c>
      <c r="L61" s="86">
        <f t="shared" si="0"/>
        <v>6510.34</v>
      </c>
      <c r="M61" s="277">
        <f t="shared" si="1"/>
        <v>0</v>
      </c>
      <c r="N61" s="87">
        <f t="shared" si="2"/>
        <v>1</v>
      </c>
      <c r="O61" s="88">
        <f t="shared" si="3"/>
        <v>6510.34</v>
      </c>
      <c r="P61" s="278">
        <f t="shared" si="4"/>
        <v>6510.34</v>
      </c>
    </row>
    <row r="62" spans="1:25" s="109" customFormat="1" ht="24" x14ac:dyDescent="0.2">
      <c r="A62" s="97"/>
      <c r="B62" s="116"/>
      <c r="C62" s="123" t="s">
        <v>195</v>
      </c>
      <c r="D62" s="123" t="s">
        <v>127</v>
      </c>
      <c r="E62" s="124" t="s">
        <v>245</v>
      </c>
      <c r="F62" s="125" t="s">
        <v>246</v>
      </c>
      <c r="G62" s="126" t="s">
        <v>138</v>
      </c>
      <c r="H62" s="127">
        <v>2</v>
      </c>
      <c r="I62" s="128">
        <v>6510.34</v>
      </c>
      <c r="J62" s="128">
        <v>13020.68</v>
      </c>
      <c r="K62" s="85">
        <v>0</v>
      </c>
      <c r="L62" s="86">
        <f t="shared" si="0"/>
        <v>6510.34</v>
      </c>
      <c r="M62" s="277">
        <f t="shared" si="1"/>
        <v>0</v>
      </c>
      <c r="N62" s="87">
        <f t="shared" si="2"/>
        <v>2</v>
      </c>
      <c r="O62" s="88">
        <f t="shared" si="3"/>
        <v>6510.34</v>
      </c>
      <c r="P62" s="278">
        <f t="shared" si="4"/>
        <v>13020.68</v>
      </c>
    </row>
    <row r="63" spans="1:25" s="109" customFormat="1" ht="24" x14ac:dyDescent="0.2">
      <c r="A63" s="97"/>
      <c r="B63" s="116"/>
      <c r="C63" s="117" t="s">
        <v>198</v>
      </c>
      <c r="D63" s="117" t="s">
        <v>69</v>
      </c>
      <c r="E63" s="118" t="s">
        <v>254</v>
      </c>
      <c r="F63" s="119" t="s">
        <v>255</v>
      </c>
      <c r="G63" s="120" t="s">
        <v>62</v>
      </c>
      <c r="H63" s="121">
        <v>12.5</v>
      </c>
      <c r="I63" s="122">
        <v>3059.28</v>
      </c>
      <c r="J63" s="122">
        <v>38241</v>
      </c>
      <c r="K63" s="85">
        <f t="shared" ref="K63:K64" si="8">ROUND(88.2/87.49*H63-H63,2)</f>
        <v>0.1</v>
      </c>
      <c r="L63" s="86">
        <f t="shared" si="0"/>
        <v>3059.28</v>
      </c>
      <c r="M63" s="277">
        <f t="shared" si="1"/>
        <v>305.92800000000005</v>
      </c>
      <c r="N63" s="87">
        <f t="shared" si="2"/>
        <v>12.6</v>
      </c>
      <c r="O63" s="88">
        <f t="shared" si="3"/>
        <v>3059.28</v>
      </c>
      <c r="P63" s="278">
        <f t="shared" si="4"/>
        <v>38546.928</v>
      </c>
      <c r="Y63" s="148" t="s">
        <v>1114</v>
      </c>
    </row>
    <row r="64" spans="1:25" s="109" customFormat="1" ht="12" x14ac:dyDescent="0.2">
      <c r="A64" s="97"/>
      <c r="B64" s="116"/>
      <c r="C64" s="117" t="s">
        <v>201</v>
      </c>
      <c r="D64" s="117" t="s">
        <v>69</v>
      </c>
      <c r="E64" s="118" t="s">
        <v>266</v>
      </c>
      <c r="F64" s="119" t="s">
        <v>267</v>
      </c>
      <c r="G64" s="120" t="s">
        <v>61</v>
      </c>
      <c r="H64" s="121">
        <v>87.49</v>
      </c>
      <c r="I64" s="122">
        <v>9.2100000000000009</v>
      </c>
      <c r="J64" s="122">
        <v>805.78</v>
      </c>
      <c r="K64" s="85">
        <f t="shared" si="8"/>
        <v>0.71</v>
      </c>
      <c r="L64" s="86">
        <f t="shared" si="0"/>
        <v>9.2100000000000009</v>
      </c>
      <c r="M64" s="277">
        <f t="shared" si="1"/>
        <v>6.5391000000000004</v>
      </c>
      <c r="N64" s="87">
        <f t="shared" si="2"/>
        <v>88.199999999999989</v>
      </c>
      <c r="O64" s="88">
        <f t="shared" si="3"/>
        <v>9.2100000000000009</v>
      </c>
      <c r="P64" s="278">
        <f t="shared" si="4"/>
        <v>812.322</v>
      </c>
      <c r="Y64" s="148" t="s">
        <v>1114</v>
      </c>
    </row>
    <row r="65" spans="1:26" s="110" customFormat="1" ht="12.75" x14ac:dyDescent="0.2">
      <c r="C65" s="245"/>
      <c r="D65" s="246" t="s">
        <v>3</v>
      </c>
      <c r="E65" s="247" t="s">
        <v>93</v>
      </c>
      <c r="F65" s="247" t="s">
        <v>268</v>
      </c>
      <c r="G65" s="245"/>
      <c r="H65" s="245"/>
      <c r="I65" s="245"/>
      <c r="J65" s="248">
        <v>56900.479999999996</v>
      </c>
      <c r="K65" s="243"/>
      <c r="L65" s="244"/>
      <c r="M65" s="279">
        <f>SUM(M66:M69)</f>
        <v>0</v>
      </c>
      <c r="N65" s="280"/>
      <c r="O65" s="244"/>
      <c r="P65" s="279">
        <f>SUM(P66:P69)</f>
        <v>56900.474600000001</v>
      </c>
    </row>
    <row r="66" spans="1:26" s="109" customFormat="1" ht="48" x14ac:dyDescent="0.2">
      <c r="A66" s="97"/>
      <c r="B66" s="116"/>
      <c r="C66" s="117" t="s">
        <v>204</v>
      </c>
      <c r="D66" s="117" t="s">
        <v>69</v>
      </c>
      <c r="E66" s="118" t="s">
        <v>270</v>
      </c>
      <c r="F66" s="119" t="s">
        <v>271</v>
      </c>
      <c r="G66" s="120" t="s">
        <v>61</v>
      </c>
      <c r="H66" s="121">
        <v>174.98</v>
      </c>
      <c r="I66" s="122">
        <v>87.65</v>
      </c>
      <c r="J66" s="122">
        <v>15337</v>
      </c>
      <c r="K66" s="85">
        <v>0</v>
      </c>
      <c r="L66" s="86">
        <f t="shared" si="0"/>
        <v>87.65</v>
      </c>
      <c r="M66" s="277">
        <f t="shared" si="1"/>
        <v>0</v>
      </c>
      <c r="N66" s="87">
        <f t="shared" si="2"/>
        <v>174.98</v>
      </c>
      <c r="O66" s="88">
        <f t="shared" si="3"/>
        <v>87.65</v>
      </c>
      <c r="P66" s="278">
        <f t="shared" si="4"/>
        <v>15336.996999999999</v>
      </c>
    </row>
    <row r="67" spans="1:26" s="109" customFormat="1" ht="36" x14ac:dyDescent="0.2">
      <c r="A67" s="97"/>
      <c r="B67" s="116"/>
      <c r="C67" s="117" t="s">
        <v>207</v>
      </c>
      <c r="D67" s="117" t="s">
        <v>69</v>
      </c>
      <c r="E67" s="118" t="s">
        <v>273</v>
      </c>
      <c r="F67" s="119" t="s">
        <v>274</v>
      </c>
      <c r="G67" s="120" t="s">
        <v>61</v>
      </c>
      <c r="H67" s="121">
        <v>349.96</v>
      </c>
      <c r="I67" s="122">
        <v>32.22</v>
      </c>
      <c r="J67" s="122">
        <v>11275.71</v>
      </c>
      <c r="K67" s="85">
        <v>0</v>
      </c>
      <c r="L67" s="86">
        <f t="shared" si="0"/>
        <v>32.22</v>
      </c>
      <c r="M67" s="277">
        <f t="shared" si="1"/>
        <v>0</v>
      </c>
      <c r="N67" s="87">
        <f t="shared" si="2"/>
        <v>349.96</v>
      </c>
      <c r="O67" s="88">
        <f t="shared" si="3"/>
        <v>32.22</v>
      </c>
      <c r="P67" s="278">
        <f t="shared" si="4"/>
        <v>11275.7112</v>
      </c>
    </row>
    <row r="68" spans="1:26" s="109" customFormat="1" ht="24" x14ac:dyDescent="0.2">
      <c r="A68" s="97"/>
      <c r="B68" s="116"/>
      <c r="C68" s="117" t="s">
        <v>210</v>
      </c>
      <c r="D68" s="117" t="s">
        <v>69</v>
      </c>
      <c r="E68" s="118" t="s">
        <v>276</v>
      </c>
      <c r="F68" s="119" t="s">
        <v>277</v>
      </c>
      <c r="G68" s="120" t="s">
        <v>61</v>
      </c>
      <c r="H68" s="121">
        <v>349.96</v>
      </c>
      <c r="I68" s="122">
        <v>72.34</v>
      </c>
      <c r="J68" s="122">
        <v>25316.11</v>
      </c>
      <c r="K68" s="85">
        <v>0</v>
      </c>
      <c r="L68" s="86">
        <f t="shared" si="0"/>
        <v>72.34</v>
      </c>
      <c r="M68" s="277">
        <f t="shared" si="1"/>
        <v>0</v>
      </c>
      <c r="N68" s="87">
        <f t="shared" si="2"/>
        <v>349.96</v>
      </c>
      <c r="O68" s="88">
        <f t="shared" si="3"/>
        <v>72.34</v>
      </c>
      <c r="P68" s="278">
        <f t="shared" si="4"/>
        <v>25316.106400000001</v>
      </c>
    </row>
    <row r="69" spans="1:26" s="109" customFormat="1" ht="48" x14ac:dyDescent="0.2">
      <c r="A69" s="97"/>
      <c r="B69" s="116"/>
      <c r="C69" s="117" t="s">
        <v>214</v>
      </c>
      <c r="D69" s="117" t="s">
        <v>69</v>
      </c>
      <c r="E69" s="118" t="s">
        <v>279</v>
      </c>
      <c r="F69" s="119" t="s">
        <v>280</v>
      </c>
      <c r="G69" s="120" t="s">
        <v>138</v>
      </c>
      <c r="H69" s="121">
        <v>3</v>
      </c>
      <c r="I69" s="122">
        <v>1657.22</v>
      </c>
      <c r="J69" s="122">
        <v>4971.66</v>
      </c>
      <c r="K69" s="85">
        <v>0</v>
      </c>
      <c r="L69" s="86">
        <f t="shared" si="0"/>
        <v>1657.22</v>
      </c>
      <c r="M69" s="277">
        <f t="shared" si="1"/>
        <v>0</v>
      </c>
      <c r="N69" s="87">
        <f t="shared" si="2"/>
        <v>3</v>
      </c>
      <c r="O69" s="88">
        <f t="shared" si="3"/>
        <v>1657.22</v>
      </c>
      <c r="P69" s="278">
        <f t="shared" si="4"/>
        <v>4971.66</v>
      </c>
    </row>
    <row r="70" spans="1:26" s="110" customFormat="1" ht="12.75" x14ac:dyDescent="0.2">
      <c r="C70" s="245"/>
      <c r="D70" s="246" t="s">
        <v>3</v>
      </c>
      <c r="E70" s="247" t="s">
        <v>281</v>
      </c>
      <c r="F70" s="247" t="s">
        <v>282</v>
      </c>
      <c r="G70" s="245"/>
      <c r="H70" s="245"/>
      <c r="I70" s="245"/>
      <c r="J70" s="248">
        <v>31666.800000000003</v>
      </c>
      <c r="K70" s="243"/>
      <c r="L70" s="244"/>
      <c r="M70" s="279">
        <f>SUM(M71:M73)</f>
        <v>197.24990000000003</v>
      </c>
      <c r="N70" s="280"/>
      <c r="O70" s="244"/>
      <c r="P70" s="279">
        <f>SUM(P71:P73)</f>
        <v>31864.043180000001</v>
      </c>
    </row>
    <row r="71" spans="1:26" s="109" customFormat="1" ht="36" x14ac:dyDescent="0.2">
      <c r="A71" s="97"/>
      <c r="B71" s="116"/>
      <c r="C71" s="117" t="s">
        <v>217</v>
      </c>
      <c r="D71" s="117" t="s">
        <v>69</v>
      </c>
      <c r="E71" s="118" t="s">
        <v>284</v>
      </c>
      <c r="F71" s="119" t="s">
        <v>285</v>
      </c>
      <c r="G71" s="120" t="s">
        <v>120</v>
      </c>
      <c r="H71" s="121">
        <v>98.722999999999999</v>
      </c>
      <c r="I71" s="122">
        <v>136.36000000000001</v>
      </c>
      <c r="J71" s="122">
        <v>13461.87</v>
      </c>
      <c r="K71" s="85">
        <f t="shared" ref="K71" si="9">ROUND(88.2/87.49*H71-H71,2)</f>
        <v>0.8</v>
      </c>
      <c r="L71" s="86">
        <f t="shared" si="0"/>
        <v>136.36000000000001</v>
      </c>
      <c r="M71" s="277">
        <f t="shared" si="1"/>
        <v>109.08800000000002</v>
      </c>
      <c r="N71" s="87">
        <f t="shared" si="2"/>
        <v>99.522999999999996</v>
      </c>
      <c r="O71" s="88">
        <f t="shared" si="3"/>
        <v>136.36000000000001</v>
      </c>
      <c r="P71" s="278">
        <f t="shared" si="4"/>
        <v>13570.95628</v>
      </c>
    </row>
    <row r="72" spans="1:26" s="109" customFormat="1" ht="48" x14ac:dyDescent="0.2">
      <c r="A72" s="97"/>
      <c r="B72" s="116"/>
      <c r="C72" s="117" t="s">
        <v>220</v>
      </c>
      <c r="D72" s="117" t="s">
        <v>69</v>
      </c>
      <c r="E72" s="118" t="s">
        <v>287</v>
      </c>
      <c r="F72" s="119" t="s">
        <v>288</v>
      </c>
      <c r="G72" s="120" t="s">
        <v>120</v>
      </c>
      <c r="H72" s="121">
        <v>28.469000000000001</v>
      </c>
      <c r="I72" s="122">
        <v>257.77999999999997</v>
      </c>
      <c r="J72" s="122">
        <v>7338.74</v>
      </c>
      <c r="K72" s="85">
        <v>0</v>
      </c>
      <c r="L72" s="86">
        <f t="shared" si="0"/>
        <v>257.77999999999997</v>
      </c>
      <c r="M72" s="277">
        <f t="shared" si="1"/>
        <v>0</v>
      </c>
      <c r="N72" s="87">
        <f t="shared" si="2"/>
        <v>28.469000000000001</v>
      </c>
      <c r="O72" s="88">
        <f t="shared" si="3"/>
        <v>257.77999999999997</v>
      </c>
      <c r="P72" s="278">
        <f t="shared" si="4"/>
        <v>7338.7388199999996</v>
      </c>
      <c r="S72" s="150" t="s">
        <v>1090</v>
      </c>
    </row>
    <row r="73" spans="1:26" s="109" customFormat="1" ht="36" x14ac:dyDescent="0.2">
      <c r="A73" s="97"/>
      <c r="B73" s="116"/>
      <c r="C73" s="117" t="s">
        <v>223</v>
      </c>
      <c r="D73" s="117" t="s">
        <v>69</v>
      </c>
      <c r="E73" s="118" t="s">
        <v>290</v>
      </c>
      <c r="F73" s="119" t="s">
        <v>119</v>
      </c>
      <c r="G73" s="120" t="s">
        <v>120</v>
      </c>
      <c r="H73" s="121">
        <v>70.254000000000005</v>
      </c>
      <c r="I73" s="122">
        <v>154.66999999999999</v>
      </c>
      <c r="J73" s="122">
        <v>10866.19</v>
      </c>
      <c r="K73" s="85">
        <f t="shared" ref="K73" si="10">ROUND(88.2/87.49*H73-H73,2)</f>
        <v>0.56999999999999995</v>
      </c>
      <c r="L73" s="86">
        <f t="shared" si="0"/>
        <v>154.66999999999999</v>
      </c>
      <c r="M73" s="277">
        <f t="shared" si="1"/>
        <v>88.161899999999989</v>
      </c>
      <c r="N73" s="87">
        <f t="shared" si="2"/>
        <v>70.823999999999998</v>
      </c>
      <c r="O73" s="88">
        <f t="shared" si="3"/>
        <v>154.66999999999999</v>
      </c>
      <c r="P73" s="278">
        <f t="shared" si="4"/>
        <v>10954.348079999998</v>
      </c>
      <c r="Z73" s="148" t="s">
        <v>1137</v>
      </c>
    </row>
    <row r="74" spans="1:26" s="110" customFormat="1" ht="12.75" x14ac:dyDescent="0.2">
      <c r="C74" s="245"/>
      <c r="D74" s="246" t="s">
        <v>3</v>
      </c>
      <c r="E74" s="247" t="s">
        <v>291</v>
      </c>
      <c r="F74" s="247" t="s">
        <v>292</v>
      </c>
      <c r="G74" s="245"/>
      <c r="H74" s="245"/>
      <c r="I74" s="245"/>
      <c r="J74" s="248">
        <v>3270.7</v>
      </c>
      <c r="K74" s="243"/>
      <c r="L74" s="244"/>
      <c r="M74" s="279">
        <f>M75</f>
        <v>26.316600000000001</v>
      </c>
      <c r="N74" s="280"/>
      <c r="O74" s="244"/>
      <c r="P74" s="279">
        <f>P75</f>
        <v>3297.0123000000003</v>
      </c>
    </row>
    <row r="75" spans="1:26" s="109" customFormat="1" ht="36" x14ac:dyDescent="0.2">
      <c r="A75" s="97"/>
      <c r="B75" s="116"/>
      <c r="C75" s="117" t="s">
        <v>226</v>
      </c>
      <c r="D75" s="117" t="s">
        <v>69</v>
      </c>
      <c r="E75" s="118" t="s">
        <v>294</v>
      </c>
      <c r="F75" s="119" t="s">
        <v>295</v>
      </c>
      <c r="G75" s="120" t="s">
        <v>120</v>
      </c>
      <c r="H75" s="121">
        <v>28.585000000000001</v>
      </c>
      <c r="I75" s="122">
        <v>114.42</v>
      </c>
      <c r="J75" s="122">
        <v>3270.7</v>
      </c>
      <c r="K75" s="85">
        <f t="shared" ref="K75" si="11">ROUND(88.2/87.49*H75-H75,2)</f>
        <v>0.23</v>
      </c>
      <c r="L75" s="86">
        <f t="shared" si="0"/>
        <v>114.42</v>
      </c>
      <c r="M75" s="277">
        <f t="shared" si="1"/>
        <v>26.316600000000001</v>
      </c>
      <c r="N75" s="87">
        <f t="shared" si="2"/>
        <v>28.815000000000001</v>
      </c>
      <c r="O75" s="88">
        <f t="shared" si="3"/>
        <v>114.42</v>
      </c>
      <c r="P75" s="278">
        <f t="shared" si="4"/>
        <v>3297.0123000000003</v>
      </c>
    </row>
    <row r="76" spans="1:26" s="109" customFormat="1" x14ac:dyDescent="0.2">
      <c r="A76" s="97"/>
      <c r="B76" s="97"/>
      <c r="C76" s="97"/>
      <c r="D76" s="97"/>
      <c r="E76" s="97"/>
      <c r="F76" s="97"/>
      <c r="G76" s="97"/>
      <c r="H76" s="97"/>
      <c r="I76" s="97"/>
      <c r="J76" s="97"/>
    </row>
    <row r="77" spans="1:26" ht="12.75" x14ac:dyDescent="0.2">
      <c r="D77" s="89"/>
      <c r="E77" s="141" t="str">
        <f>CONCATENATE("CELKEM ",C$12)</f>
        <v>CELKEM 14 - SO 01.M - Stoka B.1</v>
      </c>
      <c r="F77" s="90"/>
      <c r="G77" s="90"/>
      <c r="H77" s="91"/>
      <c r="I77" s="90"/>
      <c r="J77" s="92">
        <v>851722.89</v>
      </c>
      <c r="K77" s="94"/>
      <c r="L77" s="92"/>
      <c r="M77" s="147">
        <f>M74+M70+M65+M48+M42+M39+M37+M14</f>
        <v>4058.5173999999997</v>
      </c>
      <c r="N77" s="147"/>
      <c r="O77" s="147"/>
      <c r="P77" s="147">
        <f t="shared" ref="P77" si="12">P74+P70+P65+P48+P42+P39+P37+P14</f>
        <v>855781.4008699999</v>
      </c>
    </row>
    <row r="78" spans="1:26" x14ac:dyDescent="0.2">
      <c r="I78" s="95"/>
    </row>
    <row r="79" spans="1:26" ht="14.25" x14ac:dyDescent="0.2">
      <c r="E79" s="58" t="s">
        <v>994</v>
      </c>
      <c r="F79" s="58"/>
      <c r="H79" s="96"/>
      <c r="J79" s="161"/>
      <c r="K79" s="58" t="s">
        <v>995</v>
      </c>
    </row>
  </sheetData>
  <protectedRanges>
    <protectedRange password="CCAA" sqref="K8" name="Oblast1_1_1_1_1"/>
    <protectedRange password="CCAA" sqref="D11:H11" name="Oblast1_2_1_1"/>
    <protectedRange password="CCAA" sqref="D9:H10" name="Oblast1_2_1_1_1"/>
  </protectedRanges>
  <autoFilter ref="C10:P75" xr:uid="{00000000-0001-0000-0E00-000000000000}"/>
  <mergeCells count="3">
    <mergeCell ref="K9:M9"/>
    <mergeCell ref="N9:P9"/>
    <mergeCell ref="S12:S14"/>
  </mergeCells>
  <conditionalFormatting sqref="D3:E7 H3:J7 K8:GF8 Q9:GF11 D1:J2 K1:GE7 K15:L75">
    <cfRule type="cellIs" dxfId="212" priority="87" operator="lessThan">
      <formula>0</formula>
    </cfRule>
  </conditionalFormatting>
  <conditionalFormatting sqref="G4">
    <cfRule type="cellIs" dxfId="211" priority="86" operator="lessThan">
      <formula>0</formula>
    </cfRule>
  </conditionalFormatting>
  <conditionalFormatting sqref="G3">
    <cfRule type="cellIs" dxfId="210" priority="85" operator="lessThan">
      <formula>0</formula>
    </cfRule>
  </conditionalFormatting>
  <conditionalFormatting sqref="D11:J11 D8:E8 H8:J8">
    <cfRule type="cellIs" dxfId="209" priority="84" operator="lessThan">
      <formula>0</formula>
    </cfRule>
  </conditionalFormatting>
  <conditionalFormatting sqref="K11:L11">
    <cfRule type="cellIs" dxfId="208" priority="40" operator="lessThan">
      <formula>0</formula>
    </cfRule>
  </conditionalFormatting>
  <conditionalFormatting sqref="M11:P11">
    <cfRule type="cellIs" dxfId="207" priority="39" operator="lessThan">
      <formula>0</formula>
    </cfRule>
  </conditionalFormatting>
  <conditionalFormatting sqref="N15:O75">
    <cfRule type="cellIs" dxfId="206" priority="35" operator="lessThan">
      <formula>0</formula>
    </cfRule>
  </conditionalFormatting>
  <conditionalFormatting sqref="N15:O75">
    <cfRule type="cellIs" dxfId="205" priority="34" operator="lessThan">
      <formula>0</formula>
    </cfRule>
  </conditionalFormatting>
  <conditionalFormatting sqref="K77 Q77:GP77">
    <cfRule type="cellIs" dxfId="204" priority="33" operator="lessThan">
      <formula>0</formula>
    </cfRule>
  </conditionalFormatting>
  <conditionalFormatting sqref="D77:J77">
    <cfRule type="cellIs" dxfId="203" priority="31" operator="lessThan">
      <formula>0</formula>
    </cfRule>
  </conditionalFormatting>
  <conditionalFormatting sqref="L79:HS79 D79 G79:I79">
    <cfRule type="cellIs" dxfId="202" priority="21" operator="lessThan">
      <formula>0</formula>
    </cfRule>
  </conditionalFormatting>
  <conditionalFormatting sqref="G79:I79 L79:M79">
    <cfRule type="cellIs" dxfId="201" priority="20" operator="lessThan">
      <formula>0</formula>
    </cfRule>
  </conditionalFormatting>
  <conditionalFormatting sqref="G79:I79">
    <cfRule type="cellIs" dxfId="200" priority="19" operator="lessThan">
      <formula>0</formula>
    </cfRule>
  </conditionalFormatting>
  <conditionalFormatting sqref="G79:I79">
    <cfRule type="cellIs" dxfId="199" priority="18" operator="lessThan">
      <formula>0</formula>
    </cfRule>
  </conditionalFormatting>
  <conditionalFormatting sqref="M77:P77">
    <cfRule type="cellIs" dxfId="198" priority="8" operator="lessThan">
      <formula>0</formula>
    </cfRule>
  </conditionalFormatting>
  <conditionalFormatting sqref="L77">
    <cfRule type="cellIs" dxfId="197" priority="6" operator="lessThan">
      <formula>0</formula>
    </cfRule>
  </conditionalFormatting>
  <conditionalFormatting sqref="D9:J10">
    <cfRule type="cellIs" dxfId="196" priority="5" operator="lessThan">
      <formula>0</formula>
    </cfRule>
  </conditionalFormatting>
  <conditionalFormatting sqref="N9">
    <cfRule type="cellIs" dxfId="195" priority="4" operator="lessThan">
      <formula>0</formula>
    </cfRule>
  </conditionalFormatting>
  <conditionalFormatting sqref="K10:L10 K9">
    <cfRule type="cellIs" dxfId="194" priority="3" operator="lessThan">
      <formula>0</formula>
    </cfRule>
  </conditionalFormatting>
  <conditionalFormatting sqref="M10:N10">
    <cfRule type="cellIs" dxfId="193" priority="2" operator="lessThan">
      <formula>0</formula>
    </cfRule>
  </conditionalFormatting>
  <conditionalFormatting sqref="O10:P10">
    <cfRule type="cellIs" dxfId="192" priority="1" operator="lessThan">
      <formula>0</formula>
    </cfRule>
  </conditionalFormatting>
  <pageMargins left="0.39370078740157483" right="0.39370078740157483" top="0.39370078740157483" bottom="0.39370078740157483" header="0" footer="0"/>
  <pageSetup paperSize="9" scale="48" fitToHeight="0" orientation="portrait" r:id="rId1"/>
  <headerFooter>
    <oddFooter>&amp;CStrana &amp;P z &amp;N</oddFooter>
  </headerFooter>
  <rowBreaks count="1" manualBreakCount="1">
    <brk id="50" min="1" max="15" man="1"/>
  </rowBreaks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pageSetUpPr fitToPage="1"/>
  </sheetPr>
  <dimension ref="A1:AA98"/>
  <sheetViews>
    <sheetView showGridLines="0" view="pageBreakPreview" topLeftCell="A76" zoomScale="85" zoomScaleNormal="100" zoomScaleSheetLayoutView="85" workbookViewId="0">
      <selection activeCell="J98" sqref="J98"/>
    </sheetView>
  </sheetViews>
  <sheetFormatPr defaultColWidth="9.33203125" defaultRowHeight="11.25" x14ac:dyDescent="0.2"/>
  <cols>
    <col min="1" max="1" width="8.33203125" style="60" customWidth="1"/>
    <col min="2" max="2" width="1.6640625" style="60" customWidth="1"/>
    <col min="3" max="3" width="4.1640625" style="60" customWidth="1"/>
    <col min="4" max="4" width="4.33203125" style="60" customWidth="1"/>
    <col min="5" max="5" width="17.1640625" style="60" customWidth="1"/>
    <col min="6" max="6" width="50.83203125" style="60" customWidth="1"/>
    <col min="7" max="7" width="7" style="60" customWidth="1"/>
    <col min="8" max="8" width="11.5" style="60" customWidth="1"/>
    <col min="9" max="10" width="20.1640625" style="60" customWidth="1"/>
    <col min="11" max="11" width="11" style="60" customWidth="1"/>
    <col min="12" max="12" width="21.6640625" style="60" customWidth="1"/>
    <col min="13" max="13" width="17.83203125" style="60" bestFit="1" customWidth="1"/>
    <col min="14" max="14" width="11.5" style="60" customWidth="1"/>
    <col min="15" max="15" width="28.33203125" style="60" customWidth="1"/>
    <col min="16" max="16" width="21" style="60" bestFit="1" customWidth="1"/>
    <col min="17" max="18" width="24.33203125" style="60" hidden="1" customWidth="1"/>
    <col min="19" max="19" width="44.83203125" style="60" hidden="1" customWidth="1"/>
    <col min="20" max="20" width="37.1640625" style="60" hidden="1" customWidth="1"/>
    <col min="21" max="22" width="0" style="60" hidden="1" customWidth="1"/>
    <col min="23" max="23" width="24" style="60" hidden="1" customWidth="1"/>
    <col min="24" max="24" width="20.5" style="60" hidden="1" customWidth="1"/>
    <col min="25" max="25" width="0" style="60" hidden="1" customWidth="1"/>
    <col min="26" max="26" width="26.1640625" style="60" hidden="1" customWidth="1"/>
    <col min="27" max="27" width="13.1640625" style="60" hidden="1" customWidth="1"/>
    <col min="28" max="16384" width="9.33203125" style="60"/>
  </cols>
  <sheetData>
    <row r="1" spans="1:26" ht="15" x14ac:dyDescent="0.2">
      <c r="F1" s="3"/>
      <c r="G1" s="4"/>
      <c r="H1" s="1"/>
      <c r="J1" s="61"/>
    </row>
    <row r="2" spans="1:26" s="1" customFormat="1" ht="15" x14ac:dyDescent="0.2">
      <c r="E2" s="2"/>
      <c r="F2" s="3" t="s">
        <v>979</v>
      </c>
      <c r="G2" s="4" t="s">
        <v>1058</v>
      </c>
      <c r="I2" s="5"/>
      <c r="J2" s="63"/>
      <c r="K2" s="10"/>
      <c r="L2" s="11"/>
      <c r="M2" s="11"/>
      <c r="N2" s="64"/>
    </row>
    <row r="3" spans="1:26" s="1" customFormat="1" ht="15" x14ac:dyDescent="0.2">
      <c r="E3" s="2"/>
      <c r="F3" s="3" t="s">
        <v>980</v>
      </c>
      <c r="G3" s="4" t="str">
        <f>+'Rekapitulace stavby'!D2</f>
        <v>ÚHERCE, výstavba kanalizace - UZNATELNÉ NÁKLADY - doměrky</v>
      </c>
      <c r="H3" s="2"/>
      <c r="I3" s="5"/>
      <c r="J3" s="63"/>
      <c r="K3" s="10"/>
      <c r="L3" s="11"/>
      <c r="M3" s="11"/>
      <c r="N3" s="64"/>
    </row>
    <row r="4" spans="1:26" s="2" customFormat="1" ht="15" x14ac:dyDescent="0.2">
      <c r="F4" s="12" t="s">
        <v>981</v>
      </c>
      <c r="G4" s="13" t="str">
        <f>'[1]VRN 01'!G5</f>
        <v>VRI/SOD/2020/Ži</v>
      </c>
      <c r="I4" s="5"/>
      <c r="J4" s="65"/>
      <c r="K4" s="18"/>
      <c r="L4" s="19"/>
      <c r="M4" s="19"/>
      <c r="N4" s="66"/>
    </row>
    <row r="5" spans="1:26" s="2" customFormat="1" ht="15" x14ac:dyDescent="0.2">
      <c r="F5" s="12" t="s">
        <v>983</v>
      </c>
      <c r="G5" s="13" t="s">
        <v>1001</v>
      </c>
      <c r="I5" s="5"/>
      <c r="J5" s="65"/>
      <c r="K5" s="18"/>
      <c r="L5" s="19"/>
      <c r="M5" s="19"/>
      <c r="N5" s="66"/>
    </row>
    <row r="6" spans="1:26" s="2" customFormat="1" ht="15" x14ac:dyDescent="0.2">
      <c r="F6" s="3" t="s">
        <v>984</v>
      </c>
      <c r="G6" s="13" t="str">
        <f>'[1]VRN 01'!G7</f>
        <v>Vododvody a kanalizace Mladá Boleslav, a.s.</v>
      </c>
      <c r="I6" s="5"/>
      <c r="J6" s="65"/>
      <c r="K6" s="18"/>
      <c r="L6" s="19"/>
      <c r="M6" s="19"/>
      <c r="N6" s="66"/>
    </row>
    <row r="7" spans="1:26" s="2" customFormat="1" ht="15" x14ac:dyDescent="0.2">
      <c r="F7" s="3" t="s">
        <v>986</v>
      </c>
      <c r="G7" s="20" t="str">
        <f>'[1]VRN 01'!G8</f>
        <v>VCES a.s.</v>
      </c>
      <c r="H7" s="67"/>
      <c r="I7" s="5"/>
      <c r="J7" s="65"/>
      <c r="K7" s="18"/>
      <c r="L7" s="19"/>
      <c r="M7" s="19"/>
      <c r="N7" s="66"/>
    </row>
    <row r="8" spans="1:26" s="68" customFormat="1" ht="12.75" x14ac:dyDescent="0.2">
      <c r="D8" s="69"/>
      <c r="F8" s="3"/>
      <c r="G8" s="20"/>
      <c r="H8" s="67"/>
      <c r="K8" s="72" t="s">
        <v>996</v>
      </c>
      <c r="L8" s="73" t="str">
        <f>+C12</f>
        <v>15 - SO 01.N - Stoka B.2</v>
      </c>
      <c r="M8" s="73"/>
      <c r="O8" s="74"/>
    </row>
    <row r="9" spans="1:26" s="75" customFormat="1" ht="12.75" customHeight="1" x14ac:dyDescent="0.2">
      <c r="C9" s="76"/>
      <c r="D9" s="77"/>
      <c r="E9" s="77"/>
      <c r="F9" s="77"/>
      <c r="G9" s="77"/>
      <c r="H9" s="77"/>
      <c r="I9" s="78"/>
      <c r="J9" s="79"/>
      <c r="K9" s="332" t="s">
        <v>1266</v>
      </c>
      <c r="L9" s="332"/>
      <c r="M9" s="332"/>
      <c r="N9" s="339" t="s">
        <v>1267</v>
      </c>
      <c r="O9" s="339"/>
      <c r="P9" s="340"/>
    </row>
    <row r="10" spans="1:26" s="75" customFormat="1" ht="21.75" customHeight="1" x14ac:dyDescent="0.2">
      <c r="C10" s="80"/>
      <c r="D10" s="81" t="s">
        <v>997</v>
      </c>
      <c r="E10" s="81" t="s">
        <v>976</v>
      </c>
      <c r="F10" s="81" t="s">
        <v>977</v>
      </c>
      <c r="G10" s="81" t="s">
        <v>64</v>
      </c>
      <c r="H10" s="82" t="s">
        <v>65</v>
      </c>
      <c r="I10" s="83" t="s">
        <v>998</v>
      </c>
      <c r="J10" s="84" t="s">
        <v>978</v>
      </c>
      <c r="K10" s="218" t="s">
        <v>999</v>
      </c>
      <c r="L10" s="219" t="s">
        <v>1260</v>
      </c>
      <c r="M10" s="220" t="s">
        <v>978</v>
      </c>
      <c r="N10" s="263" t="s">
        <v>1264</v>
      </c>
      <c r="O10" s="264" t="s">
        <v>1260</v>
      </c>
      <c r="P10" s="265" t="s">
        <v>978</v>
      </c>
      <c r="Q10" s="157" t="s">
        <v>1012</v>
      </c>
      <c r="R10" s="157" t="s">
        <v>1019</v>
      </c>
      <c r="W10" s="157" t="s">
        <v>1106</v>
      </c>
      <c r="X10" s="157" t="s">
        <v>1132</v>
      </c>
      <c r="Z10" s="157" t="s">
        <v>1150</v>
      </c>
    </row>
    <row r="12" spans="1:26" s="109" customFormat="1" ht="15.75" x14ac:dyDescent="0.25">
      <c r="A12" s="97"/>
      <c r="B12" s="97"/>
      <c r="C12" s="98" t="s">
        <v>383</v>
      </c>
      <c r="D12" s="97"/>
      <c r="E12" s="97"/>
      <c r="F12" s="97"/>
      <c r="G12" s="97"/>
      <c r="H12" s="97"/>
      <c r="I12" s="97"/>
      <c r="J12" s="99">
        <v>2514766.6100000003</v>
      </c>
    </row>
    <row r="13" spans="1:26" s="110" customFormat="1" ht="33.75" x14ac:dyDescent="0.2">
      <c r="D13" s="111" t="s">
        <v>3</v>
      </c>
      <c r="E13" s="112" t="s">
        <v>66</v>
      </c>
      <c r="F13" s="112" t="s">
        <v>67</v>
      </c>
      <c r="J13" s="113">
        <v>2514766.6100000003</v>
      </c>
      <c r="W13" s="150" t="s">
        <v>1115</v>
      </c>
      <c r="Z13" s="176" t="s">
        <v>1102</v>
      </c>
    </row>
    <row r="14" spans="1:26" s="110" customFormat="1" ht="12.75" x14ac:dyDescent="0.2">
      <c r="C14" s="252"/>
      <c r="D14" s="253" t="s">
        <v>3</v>
      </c>
      <c r="E14" s="254" t="s">
        <v>7</v>
      </c>
      <c r="F14" s="254" t="s">
        <v>68</v>
      </c>
      <c r="G14" s="252"/>
      <c r="H14" s="252"/>
      <c r="I14" s="252"/>
      <c r="J14" s="255">
        <v>1268501.2500000002</v>
      </c>
      <c r="K14" s="252"/>
      <c r="L14" s="252"/>
      <c r="M14" s="258">
        <f>SUM(M15:M41)</f>
        <v>-4934.2729000000008</v>
      </c>
      <c r="N14" s="252"/>
      <c r="O14" s="252"/>
      <c r="P14" s="258">
        <f>SUM(P15:P41)</f>
        <v>1263566.9725200003</v>
      </c>
    </row>
    <row r="15" spans="1:26" s="109" customFormat="1" ht="60" x14ac:dyDescent="0.2">
      <c r="A15" s="97"/>
      <c r="B15" s="116"/>
      <c r="C15" s="117" t="s">
        <v>7</v>
      </c>
      <c r="D15" s="117" t="s">
        <v>69</v>
      </c>
      <c r="E15" s="118" t="s">
        <v>79</v>
      </c>
      <c r="F15" s="119" t="s">
        <v>80</v>
      </c>
      <c r="G15" s="120" t="s">
        <v>72</v>
      </c>
      <c r="H15" s="121">
        <v>178.51900000000001</v>
      </c>
      <c r="I15" s="122">
        <v>26.3</v>
      </c>
      <c r="J15" s="122">
        <v>4695.05</v>
      </c>
      <c r="K15" s="85">
        <v>0</v>
      </c>
      <c r="L15" s="86">
        <f>I15</f>
        <v>26.3</v>
      </c>
      <c r="M15" s="277">
        <f>K15*L15</f>
        <v>0</v>
      </c>
      <c r="N15" s="87">
        <f>H15+K15</f>
        <v>178.51900000000001</v>
      </c>
      <c r="O15" s="88">
        <f>I15</f>
        <v>26.3</v>
      </c>
      <c r="P15" s="278">
        <f>N15*O15</f>
        <v>4695.0497000000005</v>
      </c>
      <c r="W15" s="149" t="s">
        <v>1119</v>
      </c>
    </row>
    <row r="16" spans="1:26" s="109" customFormat="1" ht="60" x14ac:dyDescent="0.2">
      <c r="A16" s="97"/>
      <c r="B16" s="116"/>
      <c r="C16" s="117" t="s">
        <v>8</v>
      </c>
      <c r="D16" s="117" t="s">
        <v>69</v>
      </c>
      <c r="E16" s="118" t="s">
        <v>314</v>
      </c>
      <c r="F16" s="119" t="s">
        <v>315</v>
      </c>
      <c r="G16" s="120" t="s">
        <v>72</v>
      </c>
      <c r="H16" s="121">
        <v>178.51900000000001</v>
      </c>
      <c r="I16" s="122">
        <v>519.33000000000004</v>
      </c>
      <c r="J16" s="122">
        <v>92710.27</v>
      </c>
      <c r="K16" s="85">
        <v>0</v>
      </c>
      <c r="L16" s="86">
        <f>I16</f>
        <v>519.33000000000004</v>
      </c>
      <c r="M16" s="277">
        <f>K16*L16</f>
        <v>0</v>
      </c>
      <c r="N16" s="87">
        <f>H16+K16</f>
        <v>178.51900000000001</v>
      </c>
      <c r="O16" s="88">
        <f>I16</f>
        <v>519.33000000000004</v>
      </c>
      <c r="P16" s="278">
        <f>N16*O16</f>
        <v>92710.272270000016</v>
      </c>
    </row>
    <row r="17" spans="1:17" s="109" customFormat="1" ht="60" x14ac:dyDescent="0.2">
      <c r="A17" s="97"/>
      <c r="B17" s="116"/>
      <c r="C17" s="117" t="s">
        <v>76</v>
      </c>
      <c r="D17" s="117" t="s">
        <v>69</v>
      </c>
      <c r="E17" s="118" t="s">
        <v>316</v>
      </c>
      <c r="F17" s="119" t="s">
        <v>317</v>
      </c>
      <c r="G17" s="120" t="s">
        <v>72</v>
      </c>
      <c r="H17" s="121">
        <v>178.51900000000001</v>
      </c>
      <c r="I17" s="122">
        <v>77.599999999999994</v>
      </c>
      <c r="J17" s="122">
        <v>13853.07</v>
      </c>
      <c r="K17" s="85">
        <v>0</v>
      </c>
      <c r="L17" s="86">
        <f t="shared" ref="L17:L80" si="0">I17</f>
        <v>77.599999999999994</v>
      </c>
      <c r="M17" s="277">
        <f t="shared" ref="M17:M80" si="1">K17*L17</f>
        <v>0</v>
      </c>
      <c r="N17" s="87">
        <f t="shared" ref="N17:N80" si="2">H17+K17</f>
        <v>178.51900000000001</v>
      </c>
      <c r="O17" s="88">
        <f t="shared" ref="O17:O80" si="3">I17</f>
        <v>77.599999999999994</v>
      </c>
      <c r="P17" s="278">
        <f t="shared" ref="P17:P80" si="4">N17*O17</f>
        <v>13853.0744</v>
      </c>
    </row>
    <row r="18" spans="1:17" s="109" customFormat="1" ht="48" x14ac:dyDescent="0.2">
      <c r="A18" s="97"/>
      <c r="B18" s="116"/>
      <c r="C18" s="117" t="s">
        <v>73</v>
      </c>
      <c r="D18" s="117" t="s">
        <v>69</v>
      </c>
      <c r="E18" s="118" t="s">
        <v>85</v>
      </c>
      <c r="F18" s="119" t="s">
        <v>86</v>
      </c>
      <c r="G18" s="120" t="s">
        <v>72</v>
      </c>
      <c r="H18" s="121">
        <v>340.80900000000003</v>
      </c>
      <c r="I18" s="122">
        <v>55.24</v>
      </c>
      <c r="J18" s="122">
        <v>18826.29</v>
      </c>
      <c r="K18" s="85">
        <v>0</v>
      </c>
      <c r="L18" s="86">
        <f t="shared" si="0"/>
        <v>55.24</v>
      </c>
      <c r="M18" s="277">
        <f t="shared" si="1"/>
        <v>0</v>
      </c>
      <c r="N18" s="87">
        <f t="shared" si="2"/>
        <v>340.80900000000003</v>
      </c>
      <c r="O18" s="88">
        <f t="shared" si="3"/>
        <v>55.24</v>
      </c>
      <c r="P18" s="278">
        <f t="shared" si="4"/>
        <v>18826.289160000004</v>
      </c>
    </row>
    <row r="19" spans="1:17" s="109" customFormat="1" ht="84" x14ac:dyDescent="0.2">
      <c r="A19" s="97"/>
      <c r="B19" s="116"/>
      <c r="C19" s="117" t="s">
        <v>81</v>
      </c>
      <c r="D19" s="117" t="s">
        <v>69</v>
      </c>
      <c r="E19" s="118" t="s">
        <v>88</v>
      </c>
      <c r="F19" s="119" t="s">
        <v>89</v>
      </c>
      <c r="G19" s="120" t="s">
        <v>61</v>
      </c>
      <c r="H19" s="121">
        <v>4.4000000000000004</v>
      </c>
      <c r="I19" s="122">
        <v>170.98</v>
      </c>
      <c r="J19" s="122">
        <v>752.31</v>
      </c>
      <c r="K19" s="85">
        <f>ROUND(181.6/182.39*H19-H19,2)</f>
        <v>-0.02</v>
      </c>
      <c r="L19" s="86">
        <f t="shared" si="0"/>
        <v>170.98</v>
      </c>
      <c r="M19" s="277">
        <f t="shared" si="1"/>
        <v>-3.4196</v>
      </c>
      <c r="N19" s="87">
        <f t="shared" si="2"/>
        <v>4.3800000000000008</v>
      </c>
      <c r="O19" s="88">
        <f t="shared" si="3"/>
        <v>170.98</v>
      </c>
      <c r="P19" s="278">
        <f t="shared" si="4"/>
        <v>748.89240000000007</v>
      </c>
    </row>
    <row r="20" spans="1:17" s="109" customFormat="1" ht="84" x14ac:dyDescent="0.2">
      <c r="A20" s="97"/>
      <c r="B20" s="116"/>
      <c r="C20" s="117" t="s">
        <v>84</v>
      </c>
      <c r="D20" s="117" t="s">
        <v>69</v>
      </c>
      <c r="E20" s="118" t="s">
        <v>91</v>
      </c>
      <c r="F20" s="119" t="s">
        <v>92</v>
      </c>
      <c r="G20" s="120" t="s">
        <v>61</v>
      </c>
      <c r="H20" s="121">
        <v>2.2000000000000002</v>
      </c>
      <c r="I20" s="122">
        <v>147.30000000000001</v>
      </c>
      <c r="J20" s="122">
        <v>324.06</v>
      </c>
      <c r="K20" s="85">
        <f t="shared" ref="K20:K41" si="5">ROUND(181.6/182.39*H20-H20,2)</f>
        <v>-0.01</v>
      </c>
      <c r="L20" s="86">
        <f t="shared" si="0"/>
        <v>147.30000000000001</v>
      </c>
      <c r="M20" s="277">
        <f t="shared" si="1"/>
        <v>-1.4730000000000001</v>
      </c>
      <c r="N20" s="87">
        <f t="shared" si="2"/>
        <v>2.1900000000000004</v>
      </c>
      <c r="O20" s="88">
        <f t="shared" si="3"/>
        <v>147.30000000000001</v>
      </c>
      <c r="P20" s="278">
        <f t="shared" si="4"/>
        <v>322.5870000000001</v>
      </c>
    </row>
    <row r="21" spans="1:17" s="109" customFormat="1" ht="48" x14ac:dyDescent="0.2">
      <c r="A21" s="97"/>
      <c r="B21" s="116"/>
      <c r="C21" s="117" t="s">
        <v>87</v>
      </c>
      <c r="D21" s="117" t="s">
        <v>69</v>
      </c>
      <c r="E21" s="118" t="s">
        <v>297</v>
      </c>
      <c r="F21" s="119" t="s">
        <v>298</v>
      </c>
      <c r="G21" s="120" t="s">
        <v>62</v>
      </c>
      <c r="H21" s="121">
        <v>2.2109999999999999</v>
      </c>
      <c r="I21" s="122">
        <v>57.87</v>
      </c>
      <c r="J21" s="122">
        <v>127.95</v>
      </c>
      <c r="K21" s="85">
        <f t="shared" si="5"/>
        <v>-0.01</v>
      </c>
      <c r="L21" s="86">
        <f t="shared" si="0"/>
        <v>57.87</v>
      </c>
      <c r="M21" s="277">
        <f t="shared" si="1"/>
        <v>-0.57869999999999999</v>
      </c>
      <c r="N21" s="87">
        <f t="shared" si="2"/>
        <v>2.2010000000000001</v>
      </c>
      <c r="O21" s="88">
        <f t="shared" si="3"/>
        <v>57.87</v>
      </c>
      <c r="P21" s="278">
        <f t="shared" si="4"/>
        <v>127.37187</v>
      </c>
    </row>
    <row r="22" spans="1:17" s="109" customFormat="1" ht="36" x14ac:dyDescent="0.2">
      <c r="A22" s="97"/>
      <c r="B22" s="116"/>
      <c r="C22" s="117" t="s">
        <v>90</v>
      </c>
      <c r="D22" s="117" t="s">
        <v>69</v>
      </c>
      <c r="E22" s="118" t="s">
        <v>94</v>
      </c>
      <c r="F22" s="119" t="s">
        <v>95</v>
      </c>
      <c r="G22" s="120" t="s">
        <v>62</v>
      </c>
      <c r="H22" s="121">
        <v>42.9</v>
      </c>
      <c r="I22" s="122">
        <v>257.77999999999997</v>
      </c>
      <c r="J22" s="122">
        <v>11058.76</v>
      </c>
      <c r="K22" s="85">
        <f t="shared" si="5"/>
        <v>-0.19</v>
      </c>
      <c r="L22" s="86">
        <f t="shared" si="0"/>
        <v>257.77999999999997</v>
      </c>
      <c r="M22" s="277">
        <f t="shared" si="1"/>
        <v>-48.978199999999994</v>
      </c>
      <c r="N22" s="87">
        <f t="shared" si="2"/>
        <v>42.71</v>
      </c>
      <c r="O22" s="88">
        <f t="shared" si="3"/>
        <v>257.77999999999997</v>
      </c>
      <c r="P22" s="278">
        <f t="shared" si="4"/>
        <v>11009.783799999999</v>
      </c>
    </row>
    <row r="23" spans="1:17" s="109" customFormat="1" ht="48" x14ac:dyDescent="0.2">
      <c r="A23" s="97"/>
      <c r="B23" s="116"/>
      <c r="C23" s="117" t="s">
        <v>93</v>
      </c>
      <c r="D23" s="117" t="s">
        <v>69</v>
      </c>
      <c r="E23" s="118" t="s">
        <v>96</v>
      </c>
      <c r="F23" s="119" t="s">
        <v>97</v>
      </c>
      <c r="G23" s="120" t="s">
        <v>62</v>
      </c>
      <c r="H23" s="121">
        <v>171.58</v>
      </c>
      <c r="I23" s="122">
        <v>234.11</v>
      </c>
      <c r="J23" s="122">
        <v>40168.589999999997</v>
      </c>
      <c r="K23" s="85">
        <f t="shared" si="5"/>
        <v>-0.74</v>
      </c>
      <c r="L23" s="86">
        <f t="shared" si="0"/>
        <v>234.11</v>
      </c>
      <c r="M23" s="277">
        <f t="shared" si="1"/>
        <v>-173.2414</v>
      </c>
      <c r="N23" s="87">
        <f t="shared" si="2"/>
        <v>170.84</v>
      </c>
      <c r="O23" s="88">
        <f t="shared" si="3"/>
        <v>234.11</v>
      </c>
      <c r="P23" s="278">
        <f t="shared" si="4"/>
        <v>39995.352400000003</v>
      </c>
      <c r="Q23" s="331"/>
    </row>
    <row r="24" spans="1:17" s="109" customFormat="1" ht="48" x14ac:dyDescent="0.2">
      <c r="A24" s="97"/>
      <c r="B24" s="116"/>
      <c r="C24" s="117" t="s">
        <v>26</v>
      </c>
      <c r="D24" s="117" t="s">
        <v>69</v>
      </c>
      <c r="E24" s="118" t="s">
        <v>98</v>
      </c>
      <c r="F24" s="119" t="s">
        <v>99</v>
      </c>
      <c r="G24" s="120" t="s">
        <v>62</v>
      </c>
      <c r="H24" s="121">
        <v>257.38</v>
      </c>
      <c r="I24" s="122">
        <v>257.77999999999997</v>
      </c>
      <c r="J24" s="122">
        <v>66347.42</v>
      </c>
      <c r="K24" s="85">
        <f t="shared" si="5"/>
        <v>-1.1100000000000001</v>
      </c>
      <c r="L24" s="86">
        <f t="shared" si="0"/>
        <v>257.77999999999997</v>
      </c>
      <c r="M24" s="277">
        <f t="shared" si="1"/>
        <v>-286.13580000000002</v>
      </c>
      <c r="N24" s="87">
        <f t="shared" si="2"/>
        <v>256.27</v>
      </c>
      <c r="O24" s="88">
        <f t="shared" si="3"/>
        <v>257.77999999999997</v>
      </c>
      <c r="P24" s="278">
        <f t="shared" si="4"/>
        <v>66061.280599999984</v>
      </c>
      <c r="Q24" s="331"/>
    </row>
    <row r="25" spans="1:17" s="109" customFormat="1" ht="48" x14ac:dyDescent="0.2">
      <c r="A25" s="97"/>
      <c r="B25" s="116"/>
      <c r="C25" s="117" t="s">
        <v>28</v>
      </c>
      <c r="D25" s="117" t="s">
        <v>69</v>
      </c>
      <c r="E25" s="118" t="s">
        <v>100</v>
      </c>
      <c r="F25" s="119" t="s">
        <v>101</v>
      </c>
      <c r="G25" s="120" t="s">
        <v>62</v>
      </c>
      <c r="H25" s="121">
        <v>343.17</v>
      </c>
      <c r="I25" s="122">
        <v>315.64999999999998</v>
      </c>
      <c r="J25" s="122">
        <v>108321.61</v>
      </c>
      <c r="K25" s="85">
        <f t="shared" si="5"/>
        <v>-1.49</v>
      </c>
      <c r="L25" s="86">
        <f t="shared" si="0"/>
        <v>315.64999999999998</v>
      </c>
      <c r="M25" s="277">
        <f t="shared" si="1"/>
        <v>-470.31849999999997</v>
      </c>
      <c r="N25" s="87">
        <f t="shared" si="2"/>
        <v>341.68</v>
      </c>
      <c r="O25" s="88">
        <f t="shared" si="3"/>
        <v>315.64999999999998</v>
      </c>
      <c r="P25" s="278">
        <f t="shared" si="4"/>
        <v>107851.292</v>
      </c>
      <c r="Q25" s="331"/>
    </row>
    <row r="26" spans="1:17" s="109" customFormat="1" ht="36" x14ac:dyDescent="0.2">
      <c r="A26" s="97"/>
      <c r="B26" s="116"/>
      <c r="C26" s="117" t="s">
        <v>30</v>
      </c>
      <c r="D26" s="117" t="s">
        <v>69</v>
      </c>
      <c r="E26" s="118" t="s">
        <v>102</v>
      </c>
      <c r="F26" s="119" t="s">
        <v>103</v>
      </c>
      <c r="G26" s="120" t="s">
        <v>72</v>
      </c>
      <c r="H26" s="121">
        <v>1513.65</v>
      </c>
      <c r="I26" s="122">
        <v>69.709999999999994</v>
      </c>
      <c r="J26" s="122">
        <v>105516.54</v>
      </c>
      <c r="K26" s="85">
        <f t="shared" si="5"/>
        <v>-6.56</v>
      </c>
      <c r="L26" s="86">
        <f t="shared" si="0"/>
        <v>69.709999999999994</v>
      </c>
      <c r="M26" s="277">
        <f t="shared" si="1"/>
        <v>-457.29759999999993</v>
      </c>
      <c r="N26" s="87">
        <f t="shared" si="2"/>
        <v>1507.0900000000001</v>
      </c>
      <c r="O26" s="88">
        <f t="shared" si="3"/>
        <v>69.709999999999994</v>
      </c>
      <c r="P26" s="278">
        <f t="shared" si="4"/>
        <v>105059.2439</v>
      </c>
      <c r="Q26" s="331"/>
    </row>
    <row r="27" spans="1:17" s="109" customFormat="1" ht="36" x14ac:dyDescent="0.2">
      <c r="A27" s="97"/>
      <c r="B27" s="116"/>
      <c r="C27" s="117" t="s">
        <v>32</v>
      </c>
      <c r="D27" s="117" t="s">
        <v>69</v>
      </c>
      <c r="E27" s="118" t="s">
        <v>104</v>
      </c>
      <c r="F27" s="119" t="s">
        <v>105</v>
      </c>
      <c r="G27" s="120" t="s">
        <v>72</v>
      </c>
      <c r="H27" s="121">
        <v>1513.65</v>
      </c>
      <c r="I27" s="122">
        <v>80.23</v>
      </c>
      <c r="J27" s="122">
        <v>121440.14</v>
      </c>
      <c r="K27" s="85">
        <f t="shared" si="5"/>
        <v>-6.56</v>
      </c>
      <c r="L27" s="86">
        <f t="shared" si="0"/>
        <v>80.23</v>
      </c>
      <c r="M27" s="277">
        <f t="shared" si="1"/>
        <v>-526.30880000000002</v>
      </c>
      <c r="N27" s="87">
        <f t="shared" si="2"/>
        <v>1507.0900000000001</v>
      </c>
      <c r="O27" s="88">
        <f t="shared" si="3"/>
        <v>80.23</v>
      </c>
      <c r="P27" s="278">
        <f t="shared" si="4"/>
        <v>120913.83070000002</v>
      </c>
      <c r="Q27" s="331"/>
    </row>
    <row r="28" spans="1:17" s="109" customFormat="1" ht="48" x14ac:dyDescent="0.2">
      <c r="A28" s="97"/>
      <c r="B28" s="116"/>
      <c r="C28" s="117" t="s">
        <v>34</v>
      </c>
      <c r="D28" s="117" t="s">
        <v>69</v>
      </c>
      <c r="E28" s="118" t="s">
        <v>106</v>
      </c>
      <c r="F28" s="119" t="s">
        <v>107</v>
      </c>
      <c r="G28" s="120" t="s">
        <v>62</v>
      </c>
      <c r="H28" s="121">
        <v>514.75199999999995</v>
      </c>
      <c r="I28" s="122">
        <v>13.15</v>
      </c>
      <c r="J28" s="122">
        <v>6768.99</v>
      </c>
      <c r="K28" s="85">
        <f t="shared" si="5"/>
        <v>-2.23</v>
      </c>
      <c r="L28" s="86">
        <f t="shared" si="0"/>
        <v>13.15</v>
      </c>
      <c r="M28" s="277">
        <f t="shared" si="1"/>
        <v>-29.3245</v>
      </c>
      <c r="N28" s="87">
        <f t="shared" si="2"/>
        <v>512.52199999999993</v>
      </c>
      <c r="O28" s="88">
        <f t="shared" si="3"/>
        <v>13.15</v>
      </c>
      <c r="P28" s="278">
        <f t="shared" si="4"/>
        <v>6739.6642999999995</v>
      </c>
      <c r="Q28" s="331"/>
    </row>
    <row r="29" spans="1:17" s="109" customFormat="1" ht="48" x14ac:dyDescent="0.2">
      <c r="A29" s="97"/>
      <c r="B29" s="116"/>
      <c r="C29" s="117" t="s">
        <v>1</v>
      </c>
      <c r="D29" s="117" t="s">
        <v>69</v>
      </c>
      <c r="E29" s="118" t="s">
        <v>108</v>
      </c>
      <c r="F29" s="119" t="s">
        <v>109</v>
      </c>
      <c r="G29" s="120" t="s">
        <v>62</v>
      </c>
      <c r="H29" s="121">
        <v>1539.57</v>
      </c>
      <c r="I29" s="122">
        <v>189.58</v>
      </c>
      <c r="J29" s="122">
        <v>291871.68</v>
      </c>
      <c r="K29" s="85">
        <f t="shared" si="5"/>
        <v>-6.67</v>
      </c>
      <c r="L29" s="86">
        <f t="shared" si="0"/>
        <v>189.58</v>
      </c>
      <c r="M29" s="277">
        <f t="shared" si="1"/>
        <v>-1264.4986000000001</v>
      </c>
      <c r="N29" s="87">
        <f t="shared" si="2"/>
        <v>1532.8999999999999</v>
      </c>
      <c r="O29" s="88">
        <f t="shared" si="3"/>
        <v>189.58</v>
      </c>
      <c r="P29" s="278">
        <f t="shared" si="4"/>
        <v>290607.18199999997</v>
      </c>
    </row>
    <row r="30" spans="1:17" s="109" customFormat="1" ht="36" x14ac:dyDescent="0.2">
      <c r="A30" s="97"/>
      <c r="B30" s="116"/>
      <c r="C30" s="117" t="s">
        <v>37</v>
      </c>
      <c r="D30" s="117" t="s">
        <v>69</v>
      </c>
      <c r="E30" s="118" t="s">
        <v>110</v>
      </c>
      <c r="F30" s="119" t="s">
        <v>111</v>
      </c>
      <c r="G30" s="120" t="s">
        <v>62</v>
      </c>
      <c r="H30" s="121">
        <v>857.92</v>
      </c>
      <c r="I30" s="122">
        <v>44.72</v>
      </c>
      <c r="J30" s="122">
        <v>38366.18</v>
      </c>
      <c r="K30" s="85">
        <f t="shared" si="5"/>
        <v>-3.72</v>
      </c>
      <c r="L30" s="86">
        <f t="shared" si="0"/>
        <v>44.72</v>
      </c>
      <c r="M30" s="277">
        <f t="shared" si="1"/>
        <v>-166.35840000000002</v>
      </c>
      <c r="N30" s="87">
        <f t="shared" si="2"/>
        <v>854.19999999999993</v>
      </c>
      <c r="O30" s="88">
        <f t="shared" si="3"/>
        <v>44.72</v>
      </c>
      <c r="P30" s="278">
        <f t="shared" si="4"/>
        <v>38199.823999999993</v>
      </c>
    </row>
    <row r="31" spans="1:17" s="109" customFormat="1" ht="48" x14ac:dyDescent="0.2">
      <c r="A31" s="97"/>
      <c r="B31" s="116"/>
      <c r="C31" s="117" t="s">
        <v>39</v>
      </c>
      <c r="D31" s="117" t="s">
        <v>69</v>
      </c>
      <c r="E31" s="118" t="s">
        <v>112</v>
      </c>
      <c r="F31" s="119" t="s">
        <v>113</v>
      </c>
      <c r="G31" s="120" t="s">
        <v>62</v>
      </c>
      <c r="H31" s="121">
        <v>175.12</v>
      </c>
      <c r="I31" s="122">
        <v>247.39</v>
      </c>
      <c r="J31" s="122">
        <v>43322.94</v>
      </c>
      <c r="K31" s="85">
        <f t="shared" si="5"/>
        <v>-0.76</v>
      </c>
      <c r="L31" s="86">
        <f t="shared" si="0"/>
        <v>247.39</v>
      </c>
      <c r="M31" s="277">
        <f t="shared" si="1"/>
        <v>-188.0164</v>
      </c>
      <c r="N31" s="87">
        <f t="shared" si="2"/>
        <v>174.36</v>
      </c>
      <c r="O31" s="88">
        <f t="shared" si="3"/>
        <v>247.39</v>
      </c>
      <c r="P31" s="278">
        <f t="shared" si="4"/>
        <v>43134.920400000003</v>
      </c>
    </row>
    <row r="32" spans="1:17" s="109" customFormat="1" ht="12" x14ac:dyDescent="0.2">
      <c r="A32" s="97"/>
      <c r="B32" s="116"/>
      <c r="C32" s="117" t="s">
        <v>41</v>
      </c>
      <c r="D32" s="117" t="s">
        <v>69</v>
      </c>
      <c r="E32" s="118" t="s">
        <v>115</v>
      </c>
      <c r="F32" s="119" t="s">
        <v>116</v>
      </c>
      <c r="G32" s="120" t="s">
        <v>62</v>
      </c>
      <c r="H32" s="121">
        <v>175.12</v>
      </c>
      <c r="I32" s="122">
        <v>11.84</v>
      </c>
      <c r="J32" s="122">
        <v>2073.42</v>
      </c>
      <c r="K32" s="85">
        <f t="shared" si="5"/>
        <v>-0.76</v>
      </c>
      <c r="L32" s="86">
        <f t="shared" si="0"/>
        <v>11.84</v>
      </c>
      <c r="M32" s="277">
        <f t="shared" si="1"/>
        <v>-8.9984000000000002</v>
      </c>
      <c r="N32" s="87">
        <f t="shared" si="2"/>
        <v>174.36</v>
      </c>
      <c r="O32" s="88">
        <f t="shared" si="3"/>
        <v>11.84</v>
      </c>
      <c r="P32" s="278">
        <f t="shared" si="4"/>
        <v>2064.4223999999999</v>
      </c>
    </row>
    <row r="33" spans="1:19" s="109" customFormat="1" ht="36" x14ac:dyDescent="0.2">
      <c r="A33" s="97"/>
      <c r="B33" s="116"/>
      <c r="C33" s="117" t="s">
        <v>114</v>
      </c>
      <c r="D33" s="117" t="s">
        <v>69</v>
      </c>
      <c r="E33" s="118" t="s">
        <v>118</v>
      </c>
      <c r="F33" s="119" t="s">
        <v>119</v>
      </c>
      <c r="G33" s="120" t="s">
        <v>120</v>
      </c>
      <c r="H33" s="121">
        <v>279.86799999999999</v>
      </c>
      <c r="I33" s="122">
        <v>116</v>
      </c>
      <c r="J33" s="122">
        <v>32464.69</v>
      </c>
      <c r="K33" s="85">
        <f t="shared" si="5"/>
        <v>-1.21</v>
      </c>
      <c r="L33" s="86">
        <f t="shared" si="0"/>
        <v>116</v>
      </c>
      <c r="M33" s="277">
        <f t="shared" si="1"/>
        <v>-140.35999999999999</v>
      </c>
      <c r="N33" s="87">
        <f t="shared" si="2"/>
        <v>278.65800000000002</v>
      </c>
      <c r="O33" s="88">
        <f t="shared" si="3"/>
        <v>116</v>
      </c>
      <c r="P33" s="278">
        <f t="shared" si="4"/>
        <v>32324.328000000001</v>
      </c>
    </row>
    <row r="34" spans="1:19" s="109" customFormat="1" ht="36" x14ac:dyDescent="0.2">
      <c r="A34" s="97"/>
      <c r="B34" s="116"/>
      <c r="C34" s="117" t="s">
        <v>117</v>
      </c>
      <c r="D34" s="117" t="s">
        <v>69</v>
      </c>
      <c r="E34" s="118" t="s">
        <v>121</v>
      </c>
      <c r="F34" s="119" t="s">
        <v>122</v>
      </c>
      <c r="G34" s="120" t="s">
        <v>62</v>
      </c>
      <c r="H34" s="121">
        <v>681.65</v>
      </c>
      <c r="I34" s="122">
        <v>286.72000000000003</v>
      </c>
      <c r="J34" s="122">
        <v>195442.69</v>
      </c>
      <c r="K34" s="85">
        <f t="shared" si="5"/>
        <v>-2.95</v>
      </c>
      <c r="L34" s="86">
        <f t="shared" si="0"/>
        <v>286.72000000000003</v>
      </c>
      <c r="M34" s="277">
        <f t="shared" si="1"/>
        <v>-845.82400000000018</v>
      </c>
      <c r="N34" s="87">
        <f t="shared" si="2"/>
        <v>678.69999999999993</v>
      </c>
      <c r="O34" s="88">
        <f t="shared" si="3"/>
        <v>286.72000000000003</v>
      </c>
      <c r="P34" s="278">
        <f t="shared" si="4"/>
        <v>194596.864</v>
      </c>
    </row>
    <row r="35" spans="1:19" s="109" customFormat="1" ht="60" x14ac:dyDescent="0.2">
      <c r="A35" s="97"/>
      <c r="B35" s="116"/>
      <c r="C35" s="117" t="s">
        <v>0</v>
      </c>
      <c r="D35" s="117" t="s">
        <v>69</v>
      </c>
      <c r="E35" s="118" t="s">
        <v>124</v>
      </c>
      <c r="F35" s="119" t="s">
        <v>125</v>
      </c>
      <c r="G35" s="120" t="s">
        <v>62</v>
      </c>
      <c r="H35" s="121">
        <v>109.72</v>
      </c>
      <c r="I35" s="122">
        <v>318.27999999999997</v>
      </c>
      <c r="J35" s="122">
        <v>34921.68</v>
      </c>
      <c r="K35" s="85">
        <f t="shared" si="5"/>
        <v>-0.48</v>
      </c>
      <c r="L35" s="86">
        <f t="shared" si="0"/>
        <v>318.27999999999997</v>
      </c>
      <c r="M35" s="277">
        <f t="shared" si="1"/>
        <v>-152.77439999999999</v>
      </c>
      <c r="N35" s="87">
        <f t="shared" si="2"/>
        <v>109.24</v>
      </c>
      <c r="O35" s="88">
        <f t="shared" si="3"/>
        <v>318.27999999999997</v>
      </c>
      <c r="P35" s="278">
        <f t="shared" si="4"/>
        <v>34768.907199999994</v>
      </c>
    </row>
    <row r="36" spans="1:19" s="109" customFormat="1" ht="12" x14ac:dyDescent="0.2">
      <c r="A36" s="97"/>
      <c r="B36" s="116"/>
      <c r="C36" s="123" t="s">
        <v>123</v>
      </c>
      <c r="D36" s="123" t="s">
        <v>127</v>
      </c>
      <c r="E36" s="124" t="s">
        <v>128</v>
      </c>
      <c r="F36" s="125" t="s">
        <v>129</v>
      </c>
      <c r="G36" s="126" t="s">
        <v>120</v>
      </c>
      <c r="H36" s="127">
        <v>197.49600000000001</v>
      </c>
      <c r="I36" s="128">
        <v>190.76</v>
      </c>
      <c r="J36" s="128">
        <v>37674.339999999997</v>
      </c>
      <c r="K36" s="85">
        <f t="shared" si="5"/>
        <v>-0.86</v>
      </c>
      <c r="L36" s="86">
        <f t="shared" si="0"/>
        <v>190.76</v>
      </c>
      <c r="M36" s="277">
        <f t="shared" si="1"/>
        <v>-164.05359999999999</v>
      </c>
      <c r="N36" s="87">
        <f t="shared" si="2"/>
        <v>196.636</v>
      </c>
      <c r="O36" s="88">
        <f t="shared" si="3"/>
        <v>190.76</v>
      </c>
      <c r="P36" s="278">
        <f t="shared" si="4"/>
        <v>37510.283359999994</v>
      </c>
    </row>
    <row r="37" spans="1:19" s="109" customFormat="1" ht="36" x14ac:dyDescent="0.2">
      <c r="A37" s="97"/>
      <c r="B37" s="116"/>
      <c r="C37" s="117" t="s">
        <v>126</v>
      </c>
      <c r="D37" s="117" t="s">
        <v>69</v>
      </c>
      <c r="E37" s="118" t="s">
        <v>299</v>
      </c>
      <c r="F37" s="119" t="s">
        <v>300</v>
      </c>
      <c r="G37" s="120" t="s">
        <v>72</v>
      </c>
      <c r="H37" s="121">
        <v>22.11</v>
      </c>
      <c r="I37" s="122">
        <v>18.41</v>
      </c>
      <c r="J37" s="122">
        <v>407.05</v>
      </c>
      <c r="K37" s="85">
        <f t="shared" si="5"/>
        <v>-0.1</v>
      </c>
      <c r="L37" s="86">
        <f t="shared" si="0"/>
        <v>18.41</v>
      </c>
      <c r="M37" s="277">
        <f t="shared" si="1"/>
        <v>-1.8410000000000002</v>
      </c>
      <c r="N37" s="87">
        <f t="shared" si="2"/>
        <v>22.009999999999998</v>
      </c>
      <c r="O37" s="88">
        <f t="shared" si="3"/>
        <v>18.41</v>
      </c>
      <c r="P37" s="278">
        <f t="shared" si="4"/>
        <v>405.20409999999998</v>
      </c>
      <c r="R37" s="148" t="s">
        <v>1030</v>
      </c>
      <c r="S37" s="109" t="s">
        <v>1008</v>
      </c>
    </row>
    <row r="38" spans="1:19" s="109" customFormat="1" ht="24" x14ac:dyDescent="0.2">
      <c r="A38" s="97"/>
      <c r="B38" s="116"/>
      <c r="C38" s="117" t="s">
        <v>131</v>
      </c>
      <c r="D38" s="117" t="s">
        <v>69</v>
      </c>
      <c r="E38" s="118" t="s">
        <v>301</v>
      </c>
      <c r="F38" s="119" t="s">
        <v>302</v>
      </c>
      <c r="G38" s="120" t="s">
        <v>72</v>
      </c>
      <c r="H38" s="121">
        <v>22.11</v>
      </c>
      <c r="I38" s="122">
        <v>27.62</v>
      </c>
      <c r="J38" s="122">
        <v>610.67999999999995</v>
      </c>
      <c r="K38" s="85">
        <f t="shared" si="5"/>
        <v>-0.1</v>
      </c>
      <c r="L38" s="86">
        <f t="shared" si="0"/>
        <v>27.62</v>
      </c>
      <c r="M38" s="277">
        <f t="shared" si="1"/>
        <v>-2.7620000000000005</v>
      </c>
      <c r="N38" s="87">
        <f t="shared" si="2"/>
        <v>22.009999999999998</v>
      </c>
      <c r="O38" s="88">
        <f t="shared" si="3"/>
        <v>27.62</v>
      </c>
      <c r="P38" s="278">
        <f t="shared" si="4"/>
        <v>607.9162</v>
      </c>
    </row>
    <row r="39" spans="1:19" s="109" customFormat="1" ht="12" x14ac:dyDescent="0.2">
      <c r="A39" s="97"/>
      <c r="B39" s="116"/>
      <c r="C39" s="117" t="s">
        <v>135</v>
      </c>
      <c r="D39" s="117" t="s">
        <v>69</v>
      </c>
      <c r="E39" s="118" t="s">
        <v>303</v>
      </c>
      <c r="F39" s="119" t="s">
        <v>304</v>
      </c>
      <c r="G39" s="120" t="s">
        <v>72</v>
      </c>
      <c r="H39" s="121">
        <v>22.11</v>
      </c>
      <c r="I39" s="122">
        <v>11.84</v>
      </c>
      <c r="J39" s="122">
        <v>261.77999999999997</v>
      </c>
      <c r="K39" s="85">
        <f t="shared" si="5"/>
        <v>-0.1</v>
      </c>
      <c r="L39" s="86">
        <f t="shared" si="0"/>
        <v>11.84</v>
      </c>
      <c r="M39" s="277">
        <f t="shared" si="1"/>
        <v>-1.1839999999999999</v>
      </c>
      <c r="N39" s="87">
        <f t="shared" si="2"/>
        <v>22.009999999999998</v>
      </c>
      <c r="O39" s="88">
        <f t="shared" si="3"/>
        <v>11.84</v>
      </c>
      <c r="P39" s="278">
        <f t="shared" si="4"/>
        <v>260.59839999999997</v>
      </c>
    </row>
    <row r="40" spans="1:19" s="109" customFormat="1" ht="12" x14ac:dyDescent="0.2">
      <c r="A40" s="97"/>
      <c r="B40" s="116"/>
      <c r="C40" s="123" t="s">
        <v>139</v>
      </c>
      <c r="D40" s="123" t="s">
        <v>127</v>
      </c>
      <c r="E40" s="124" t="s">
        <v>305</v>
      </c>
      <c r="F40" s="125" t="s">
        <v>306</v>
      </c>
      <c r="G40" s="126" t="s">
        <v>307</v>
      </c>
      <c r="H40" s="127">
        <v>0.33200000000000002</v>
      </c>
      <c r="I40" s="128">
        <v>170.98</v>
      </c>
      <c r="J40" s="128">
        <v>56.77</v>
      </c>
      <c r="K40" s="85">
        <f t="shared" si="5"/>
        <v>0</v>
      </c>
      <c r="L40" s="86">
        <f t="shared" si="0"/>
        <v>170.98</v>
      </c>
      <c r="M40" s="277">
        <f t="shared" si="1"/>
        <v>0</v>
      </c>
      <c r="N40" s="87">
        <f t="shared" si="2"/>
        <v>0.33200000000000002</v>
      </c>
      <c r="O40" s="88">
        <f t="shared" si="3"/>
        <v>170.98</v>
      </c>
      <c r="P40" s="278">
        <f t="shared" si="4"/>
        <v>56.765360000000001</v>
      </c>
    </row>
    <row r="41" spans="1:19" s="109" customFormat="1" ht="24" x14ac:dyDescent="0.2">
      <c r="A41" s="97"/>
      <c r="B41" s="116"/>
      <c r="C41" s="117" t="s">
        <v>142</v>
      </c>
      <c r="D41" s="117" t="s">
        <v>69</v>
      </c>
      <c r="E41" s="118" t="s">
        <v>308</v>
      </c>
      <c r="F41" s="119" t="s">
        <v>309</v>
      </c>
      <c r="G41" s="120" t="s">
        <v>72</v>
      </c>
      <c r="H41" s="121">
        <v>22.11</v>
      </c>
      <c r="I41" s="122">
        <v>5.26</v>
      </c>
      <c r="J41" s="122">
        <v>116.3</v>
      </c>
      <c r="K41" s="85">
        <f t="shared" si="5"/>
        <v>-0.1</v>
      </c>
      <c r="L41" s="86">
        <f t="shared" si="0"/>
        <v>5.26</v>
      </c>
      <c r="M41" s="277">
        <f t="shared" si="1"/>
        <v>-0.52600000000000002</v>
      </c>
      <c r="N41" s="87">
        <f t="shared" si="2"/>
        <v>22.009999999999998</v>
      </c>
      <c r="O41" s="88">
        <f t="shared" si="3"/>
        <v>5.26</v>
      </c>
      <c r="P41" s="278">
        <f t="shared" si="4"/>
        <v>115.77259999999998</v>
      </c>
    </row>
    <row r="42" spans="1:19" s="110" customFormat="1" ht="12.75" x14ac:dyDescent="0.2">
      <c r="C42" s="245"/>
      <c r="D42" s="246" t="s">
        <v>3</v>
      </c>
      <c r="E42" s="247" t="s">
        <v>73</v>
      </c>
      <c r="F42" s="247" t="s">
        <v>134</v>
      </c>
      <c r="G42" s="245"/>
      <c r="H42" s="245"/>
      <c r="I42" s="245"/>
      <c r="J42" s="248">
        <v>2473.9499999999998</v>
      </c>
      <c r="K42" s="243"/>
      <c r="L42" s="244"/>
      <c r="M42" s="279">
        <f>SUM(M43:M47)</f>
        <v>0</v>
      </c>
      <c r="N42" s="280"/>
      <c r="O42" s="244"/>
      <c r="P42" s="279">
        <f>SUM(P43:P47)</f>
        <v>2473.9499999999998</v>
      </c>
    </row>
    <row r="43" spans="1:19" s="109" customFormat="1" ht="24" x14ac:dyDescent="0.2">
      <c r="A43" s="97"/>
      <c r="B43" s="116"/>
      <c r="C43" s="117" t="s">
        <v>145</v>
      </c>
      <c r="D43" s="117" t="s">
        <v>69</v>
      </c>
      <c r="E43" s="118" t="s">
        <v>136</v>
      </c>
      <c r="F43" s="119" t="s">
        <v>137</v>
      </c>
      <c r="G43" s="120" t="s">
        <v>138</v>
      </c>
      <c r="H43" s="121">
        <v>2</v>
      </c>
      <c r="I43" s="122">
        <v>122.32</v>
      </c>
      <c r="J43" s="122">
        <v>244.64</v>
      </c>
      <c r="K43" s="85">
        <v>0</v>
      </c>
      <c r="L43" s="86">
        <f t="shared" si="0"/>
        <v>122.32</v>
      </c>
      <c r="M43" s="277">
        <f t="shared" si="1"/>
        <v>0</v>
      </c>
      <c r="N43" s="87">
        <f t="shared" si="2"/>
        <v>2</v>
      </c>
      <c r="O43" s="88">
        <f t="shared" si="3"/>
        <v>122.32</v>
      </c>
      <c r="P43" s="278">
        <f t="shared" si="4"/>
        <v>244.64</v>
      </c>
    </row>
    <row r="44" spans="1:19" s="109" customFormat="1" ht="12" x14ac:dyDescent="0.2">
      <c r="A44" s="97"/>
      <c r="B44" s="116"/>
      <c r="C44" s="123" t="s">
        <v>148</v>
      </c>
      <c r="D44" s="123" t="s">
        <v>127</v>
      </c>
      <c r="E44" s="124" t="s">
        <v>140</v>
      </c>
      <c r="F44" s="125" t="s">
        <v>141</v>
      </c>
      <c r="G44" s="126" t="s">
        <v>138</v>
      </c>
      <c r="H44" s="127">
        <v>1</v>
      </c>
      <c r="I44" s="128">
        <v>270.94</v>
      </c>
      <c r="J44" s="128">
        <v>270.94</v>
      </c>
      <c r="K44" s="85">
        <v>0</v>
      </c>
      <c r="L44" s="86">
        <f t="shared" si="0"/>
        <v>270.94</v>
      </c>
      <c r="M44" s="277">
        <f t="shared" si="1"/>
        <v>0</v>
      </c>
      <c r="N44" s="87">
        <f t="shared" si="2"/>
        <v>1</v>
      </c>
      <c r="O44" s="88">
        <f t="shared" si="3"/>
        <v>270.94</v>
      </c>
      <c r="P44" s="278">
        <f t="shared" si="4"/>
        <v>270.94</v>
      </c>
    </row>
    <row r="45" spans="1:19" s="109" customFormat="1" ht="24" x14ac:dyDescent="0.2">
      <c r="A45" s="97"/>
      <c r="B45" s="116"/>
      <c r="C45" s="123" t="s">
        <v>151</v>
      </c>
      <c r="D45" s="123" t="s">
        <v>127</v>
      </c>
      <c r="E45" s="124" t="s">
        <v>143</v>
      </c>
      <c r="F45" s="125" t="s">
        <v>144</v>
      </c>
      <c r="G45" s="126" t="s">
        <v>138</v>
      </c>
      <c r="H45" s="127">
        <v>1</v>
      </c>
      <c r="I45" s="128">
        <v>313.02</v>
      </c>
      <c r="J45" s="128">
        <v>313.02</v>
      </c>
      <c r="K45" s="85">
        <v>0</v>
      </c>
      <c r="L45" s="86">
        <f t="shared" si="0"/>
        <v>313.02</v>
      </c>
      <c r="M45" s="277">
        <f t="shared" si="1"/>
        <v>0</v>
      </c>
      <c r="N45" s="87">
        <f t="shared" si="2"/>
        <v>1</v>
      </c>
      <c r="O45" s="88">
        <f t="shared" si="3"/>
        <v>313.02</v>
      </c>
      <c r="P45" s="278">
        <f t="shared" si="4"/>
        <v>313.02</v>
      </c>
    </row>
    <row r="46" spans="1:19" s="109" customFormat="1" ht="24" x14ac:dyDescent="0.2">
      <c r="A46" s="97"/>
      <c r="B46" s="116"/>
      <c r="C46" s="117" t="s">
        <v>155</v>
      </c>
      <c r="D46" s="117" t="s">
        <v>69</v>
      </c>
      <c r="E46" s="118" t="s">
        <v>149</v>
      </c>
      <c r="F46" s="119" t="s">
        <v>150</v>
      </c>
      <c r="G46" s="120" t="s">
        <v>138</v>
      </c>
      <c r="H46" s="121">
        <v>3</v>
      </c>
      <c r="I46" s="122">
        <v>152.57</v>
      </c>
      <c r="J46" s="122">
        <v>457.71</v>
      </c>
      <c r="K46" s="85">
        <v>0</v>
      </c>
      <c r="L46" s="86">
        <f t="shared" si="0"/>
        <v>152.57</v>
      </c>
      <c r="M46" s="277">
        <f t="shared" si="1"/>
        <v>0</v>
      </c>
      <c r="N46" s="87">
        <f t="shared" si="2"/>
        <v>3</v>
      </c>
      <c r="O46" s="88">
        <f t="shared" si="3"/>
        <v>152.57</v>
      </c>
      <c r="P46" s="278">
        <f t="shared" si="4"/>
        <v>457.71</v>
      </c>
    </row>
    <row r="47" spans="1:19" s="109" customFormat="1" ht="12" x14ac:dyDescent="0.2">
      <c r="A47" s="97"/>
      <c r="B47" s="116"/>
      <c r="C47" s="123" t="s">
        <v>158</v>
      </c>
      <c r="D47" s="123" t="s">
        <v>127</v>
      </c>
      <c r="E47" s="124" t="s">
        <v>152</v>
      </c>
      <c r="F47" s="125" t="s">
        <v>153</v>
      </c>
      <c r="G47" s="126" t="s">
        <v>138</v>
      </c>
      <c r="H47" s="127">
        <v>3</v>
      </c>
      <c r="I47" s="128">
        <v>395.88</v>
      </c>
      <c r="J47" s="128">
        <v>1187.6400000000001</v>
      </c>
      <c r="K47" s="85">
        <v>0</v>
      </c>
      <c r="L47" s="86">
        <f t="shared" si="0"/>
        <v>395.88</v>
      </c>
      <c r="M47" s="277">
        <f t="shared" si="1"/>
        <v>0</v>
      </c>
      <c r="N47" s="87">
        <f t="shared" si="2"/>
        <v>3</v>
      </c>
      <c r="O47" s="88">
        <f t="shared" si="3"/>
        <v>395.88</v>
      </c>
      <c r="P47" s="278">
        <f t="shared" si="4"/>
        <v>1187.6399999999999</v>
      </c>
    </row>
    <row r="48" spans="1:19" s="110" customFormat="1" ht="12.75" x14ac:dyDescent="0.2">
      <c r="C48" s="245"/>
      <c r="D48" s="246" t="s">
        <v>3</v>
      </c>
      <c r="E48" s="247" t="s">
        <v>81</v>
      </c>
      <c r="F48" s="247" t="s">
        <v>154</v>
      </c>
      <c r="G48" s="245"/>
      <c r="H48" s="245"/>
      <c r="I48" s="245"/>
      <c r="J48" s="248">
        <v>377431.18999999994</v>
      </c>
      <c r="K48" s="243"/>
      <c r="L48" s="244"/>
      <c r="M48" s="279">
        <f>SUM(M49:M54)</f>
        <v>0</v>
      </c>
      <c r="N48" s="280"/>
      <c r="O48" s="244"/>
      <c r="P48" s="279">
        <f>SUM(P49:P54)</f>
        <v>377431.19911000005</v>
      </c>
    </row>
    <row r="49" spans="1:21" s="109" customFormat="1" ht="24" x14ac:dyDescent="0.2">
      <c r="A49" s="97"/>
      <c r="B49" s="116"/>
      <c r="C49" s="117" t="s">
        <v>161</v>
      </c>
      <c r="D49" s="117" t="s">
        <v>69</v>
      </c>
      <c r="E49" s="118" t="s">
        <v>162</v>
      </c>
      <c r="F49" s="119" t="s">
        <v>163</v>
      </c>
      <c r="G49" s="120" t="s">
        <v>72</v>
      </c>
      <c r="H49" s="121">
        <v>178.51900000000001</v>
      </c>
      <c r="I49" s="122">
        <v>155.66999999999999</v>
      </c>
      <c r="J49" s="122">
        <v>27790.05</v>
      </c>
      <c r="K49" s="85">
        <v>0</v>
      </c>
      <c r="L49" s="86">
        <f t="shared" si="0"/>
        <v>155.66999999999999</v>
      </c>
      <c r="M49" s="277">
        <f t="shared" si="1"/>
        <v>0</v>
      </c>
      <c r="N49" s="87">
        <f t="shared" si="2"/>
        <v>178.51900000000001</v>
      </c>
      <c r="O49" s="88">
        <f t="shared" si="3"/>
        <v>155.66999999999999</v>
      </c>
      <c r="P49" s="278">
        <f t="shared" si="4"/>
        <v>27790.052729999999</v>
      </c>
    </row>
    <row r="50" spans="1:21" s="109" customFormat="1" ht="48" x14ac:dyDescent="0.2">
      <c r="A50" s="97"/>
      <c r="B50" s="116"/>
      <c r="C50" s="117" t="s">
        <v>164</v>
      </c>
      <c r="D50" s="117" t="s">
        <v>69</v>
      </c>
      <c r="E50" s="118" t="s">
        <v>325</v>
      </c>
      <c r="F50" s="119" t="s">
        <v>326</v>
      </c>
      <c r="G50" s="120" t="s">
        <v>72</v>
      </c>
      <c r="H50" s="121">
        <v>178.51900000000001</v>
      </c>
      <c r="I50" s="122">
        <v>420.19</v>
      </c>
      <c r="J50" s="122">
        <v>75011.899999999994</v>
      </c>
      <c r="K50" s="85">
        <v>0</v>
      </c>
      <c r="L50" s="86">
        <f t="shared" si="0"/>
        <v>420.19</v>
      </c>
      <c r="M50" s="277">
        <f t="shared" si="1"/>
        <v>0</v>
      </c>
      <c r="N50" s="87">
        <f t="shared" si="2"/>
        <v>178.51900000000001</v>
      </c>
      <c r="O50" s="88">
        <f t="shared" si="3"/>
        <v>420.19</v>
      </c>
      <c r="P50" s="278">
        <f t="shared" si="4"/>
        <v>75011.898610000004</v>
      </c>
      <c r="R50" s="150" t="s">
        <v>1028</v>
      </c>
      <c r="S50" s="151"/>
      <c r="T50" s="148" t="s">
        <v>1036</v>
      </c>
      <c r="U50" s="109" t="s">
        <v>1047</v>
      </c>
    </row>
    <row r="51" spans="1:21" s="109" customFormat="1" ht="36" x14ac:dyDescent="0.2">
      <c r="A51" s="97"/>
      <c r="B51" s="116"/>
      <c r="C51" s="117" t="s">
        <v>167</v>
      </c>
      <c r="D51" s="117" t="s">
        <v>69</v>
      </c>
      <c r="E51" s="118" t="s">
        <v>327</v>
      </c>
      <c r="F51" s="119" t="s">
        <v>328</v>
      </c>
      <c r="G51" s="120" t="s">
        <v>72</v>
      </c>
      <c r="H51" s="121">
        <v>178.51900000000001</v>
      </c>
      <c r="I51" s="122">
        <v>315.11</v>
      </c>
      <c r="J51" s="122">
        <v>56253.120000000003</v>
      </c>
      <c r="K51" s="85">
        <v>0</v>
      </c>
      <c r="L51" s="86">
        <f t="shared" si="0"/>
        <v>315.11</v>
      </c>
      <c r="M51" s="277">
        <f t="shared" si="1"/>
        <v>0</v>
      </c>
      <c r="N51" s="87">
        <f t="shared" si="2"/>
        <v>178.51900000000001</v>
      </c>
      <c r="O51" s="88">
        <f t="shared" si="3"/>
        <v>315.11</v>
      </c>
      <c r="P51" s="278">
        <f t="shared" si="4"/>
        <v>56253.122090000004</v>
      </c>
      <c r="Q51" s="148"/>
      <c r="S51" s="151"/>
    </row>
    <row r="52" spans="1:21" s="109" customFormat="1" ht="33.75" x14ac:dyDescent="0.2">
      <c r="A52" s="97"/>
      <c r="B52" s="116"/>
      <c r="C52" s="117" t="s">
        <v>170</v>
      </c>
      <c r="D52" s="117" t="s">
        <v>69</v>
      </c>
      <c r="E52" s="118" t="s">
        <v>168</v>
      </c>
      <c r="F52" s="119" t="s">
        <v>169</v>
      </c>
      <c r="G52" s="120" t="s">
        <v>72</v>
      </c>
      <c r="H52" s="121">
        <v>340.80900000000003</v>
      </c>
      <c r="I52" s="122">
        <v>18.04</v>
      </c>
      <c r="J52" s="122">
        <v>6148.19</v>
      </c>
      <c r="K52" s="85">
        <v>0</v>
      </c>
      <c r="L52" s="86">
        <f t="shared" si="0"/>
        <v>18.04</v>
      </c>
      <c r="M52" s="277">
        <f t="shared" si="1"/>
        <v>0</v>
      </c>
      <c r="N52" s="87">
        <f t="shared" si="2"/>
        <v>340.80900000000003</v>
      </c>
      <c r="O52" s="88">
        <f t="shared" si="3"/>
        <v>18.04</v>
      </c>
      <c r="P52" s="278">
        <f t="shared" si="4"/>
        <v>6148.1943600000004</v>
      </c>
      <c r="R52" s="150" t="s">
        <v>1028</v>
      </c>
      <c r="S52" s="151"/>
      <c r="T52" s="148" t="s">
        <v>1036</v>
      </c>
      <c r="U52" s="109" t="s">
        <v>1045</v>
      </c>
    </row>
    <row r="53" spans="1:21" s="109" customFormat="1" ht="48" x14ac:dyDescent="0.2">
      <c r="A53" s="97"/>
      <c r="B53" s="116"/>
      <c r="C53" s="117" t="s">
        <v>173</v>
      </c>
      <c r="D53" s="117" t="s">
        <v>69</v>
      </c>
      <c r="E53" s="118" t="s">
        <v>329</v>
      </c>
      <c r="F53" s="119" t="s">
        <v>330</v>
      </c>
      <c r="G53" s="120" t="s">
        <v>72</v>
      </c>
      <c r="H53" s="121">
        <v>340.80900000000003</v>
      </c>
      <c r="I53" s="122">
        <v>396.71</v>
      </c>
      <c r="J53" s="122">
        <v>135202.34</v>
      </c>
      <c r="K53" s="85">
        <v>0</v>
      </c>
      <c r="L53" s="86">
        <f t="shared" si="0"/>
        <v>396.71</v>
      </c>
      <c r="M53" s="277">
        <f t="shared" si="1"/>
        <v>0</v>
      </c>
      <c r="N53" s="87">
        <f t="shared" si="2"/>
        <v>340.80900000000003</v>
      </c>
      <c r="O53" s="88">
        <f t="shared" si="3"/>
        <v>396.71</v>
      </c>
      <c r="P53" s="278">
        <f t="shared" si="4"/>
        <v>135202.33838999999</v>
      </c>
      <c r="R53" s="150" t="s">
        <v>1028</v>
      </c>
      <c r="S53" s="151"/>
      <c r="T53" s="148" t="s">
        <v>1036</v>
      </c>
      <c r="U53" s="109" t="s">
        <v>1046</v>
      </c>
    </row>
    <row r="54" spans="1:21" s="109" customFormat="1" ht="36" x14ac:dyDescent="0.2">
      <c r="A54" s="97"/>
      <c r="B54" s="116"/>
      <c r="C54" s="117" t="s">
        <v>176</v>
      </c>
      <c r="D54" s="117" t="s">
        <v>69</v>
      </c>
      <c r="E54" s="118" t="s">
        <v>331</v>
      </c>
      <c r="F54" s="119" t="s">
        <v>332</v>
      </c>
      <c r="G54" s="120" t="s">
        <v>72</v>
      </c>
      <c r="H54" s="121">
        <v>178.51900000000001</v>
      </c>
      <c r="I54" s="122">
        <v>431.47</v>
      </c>
      <c r="J54" s="122">
        <v>77025.59</v>
      </c>
      <c r="K54" s="85">
        <v>0</v>
      </c>
      <c r="L54" s="86">
        <f t="shared" si="0"/>
        <v>431.47</v>
      </c>
      <c r="M54" s="277">
        <f t="shared" si="1"/>
        <v>0</v>
      </c>
      <c r="N54" s="87">
        <f t="shared" si="2"/>
        <v>178.51900000000001</v>
      </c>
      <c r="O54" s="88">
        <f t="shared" si="3"/>
        <v>431.47</v>
      </c>
      <c r="P54" s="278">
        <f t="shared" si="4"/>
        <v>77025.592930000013</v>
      </c>
      <c r="R54" s="150" t="s">
        <v>1028</v>
      </c>
      <c r="S54" s="151"/>
      <c r="T54" s="148" t="s">
        <v>1036</v>
      </c>
      <c r="U54" s="109" t="s">
        <v>1046</v>
      </c>
    </row>
    <row r="55" spans="1:21" s="110" customFormat="1" ht="12.75" x14ac:dyDescent="0.2">
      <c r="C55" s="245"/>
      <c r="D55" s="246" t="s">
        <v>3</v>
      </c>
      <c r="E55" s="247" t="s">
        <v>90</v>
      </c>
      <c r="F55" s="247" t="s">
        <v>182</v>
      </c>
      <c r="G55" s="245"/>
      <c r="H55" s="245"/>
      <c r="I55" s="245"/>
      <c r="J55" s="248">
        <v>702006.6100000001</v>
      </c>
      <c r="K55" s="243"/>
      <c r="L55" s="244"/>
      <c r="M55" s="279">
        <f>SUM(M56:M81)</f>
        <v>-1351.8674000000003</v>
      </c>
      <c r="N55" s="280"/>
      <c r="O55" s="244"/>
      <c r="P55" s="279">
        <f>SUM(P56:P81)</f>
        <v>700654.73862000008</v>
      </c>
      <c r="S55" s="153"/>
    </row>
    <row r="56" spans="1:21" s="109" customFormat="1" ht="36" x14ac:dyDescent="0.2">
      <c r="A56" s="97"/>
      <c r="B56" s="116"/>
      <c r="C56" s="117" t="s">
        <v>179</v>
      </c>
      <c r="D56" s="117" t="s">
        <v>69</v>
      </c>
      <c r="E56" s="118" t="s">
        <v>184</v>
      </c>
      <c r="F56" s="119" t="s">
        <v>185</v>
      </c>
      <c r="G56" s="120" t="s">
        <v>61</v>
      </c>
      <c r="H56" s="121">
        <v>182.39</v>
      </c>
      <c r="I56" s="122">
        <v>552.39</v>
      </c>
      <c r="J56" s="122">
        <v>100750.41</v>
      </c>
      <c r="K56" s="85">
        <f t="shared" ref="K56:K57" si="6">ROUND(181.6/182.39*H56-H56,2)</f>
        <v>-0.79</v>
      </c>
      <c r="L56" s="86">
        <f t="shared" si="0"/>
        <v>552.39</v>
      </c>
      <c r="M56" s="277">
        <f t="shared" si="1"/>
        <v>-436.38810000000001</v>
      </c>
      <c r="N56" s="87">
        <f t="shared" si="2"/>
        <v>181.6</v>
      </c>
      <c r="O56" s="88">
        <f t="shared" si="3"/>
        <v>552.39</v>
      </c>
      <c r="P56" s="278">
        <f t="shared" si="4"/>
        <v>100314.02399999999</v>
      </c>
      <c r="Q56" s="151"/>
    </row>
    <row r="57" spans="1:21" s="109" customFormat="1" ht="24" x14ac:dyDescent="0.2">
      <c r="A57" s="97"/>
      <c r="B57" s="116"/>
      <c r="C57" s="123" t="s">
        <v>183</v>
      </c>
      <c r="D57" s="123" t="s">
        <v>127</v>
      </c>
      <c r="E57" s="124" t="s">
        <v>187</v>
      </c>
      <c r="F57" s="125" t="s">
        <v>188</v>
      </c>
      <c r="G57" s="126" t="s">
        <v>61</v>
      </c>
      <c r="H57" s="127">
        <v>185.126</v>
      </c>
      <c r="I57" s="128">
        <v>1060.07</v>
      </c>
      <c r="J57" s="128">
        <v>196246.52</v>
      </c>
      <c r="K57" s="85">
        <f t="shared" si="6"/>
        <v>-0.8</v>
      </c>
      <c r="L57" s="86">
        <f t="shared" si="0"/>
        <v>1060.07</v>
      </c>
      <c r="M57" s="277">
        <f t="shared" si="1"/>
        <v>-848.05600000000004</v>
      </c>
      <c r="N57" s="87">
        <f t="shared" si="2"/>
        <v>184.32599999999999</v>
      </c>
      <c r="O57" s="88">
        <f t="shared" si="3"/>
        <v>1060.07</v>
      </c>
      <c r="P57" s="278">
        <f t="shared" si="4"/>
        <v>195398.46281999999</v>
      </c>
    </row>
    <row r="58" spans="1:21" s="109" customFormat="1" ht="36" x14ac:dyDescent="0.2">
      <c r="A58" s="97"/>
      <c r="B58" s="116"/>
      <c r="C58" s="117" t="s">
        <v>186</v>
      </c>
      <c r="D58" s="117" t="s">
        <v>69</v>
      </c>
      <c r="E58" s="118" t="s">
        <v>384</v>
      </c>
      <c r="F58" s="119" t="s">
        <v>385</v>
      </c>
      <c r="G58" s="120" t="s">
        <v>138</v>
      </c>
      <c r="H58" s="121">
        <v>3</v>
      </c>
      <c r="I58" s="122">
        <v>159.13999999999999</v>
      </c>
      <c r="J58" s="122">
        <v>477.42</v>
      </c>
      <c r="K58" s="85">
        <v>0</v>
      </c>
      <c r="L58" s="86">
        <f t="shared" si="0"/>
        <v>159.13999999999999</v>
      </c>
      <c r="M58" s="277">
        <f t="shared" si="1"/>
        <v>0</v>
      </c>
      <c r="N58" s="87">
        <f t="shared" si="2"/>
        <v>3</v>
      </c>
      <c r="O58" s="88">
        <f t="shared" si="3"/>
        <v>159.13999999999999</v>
      </c>
      <c r="P58" s="278">
        <f t="shared" si="4"/>
        <v>477.41999999999996</v>
      </c>
    </row>
    <row r="59" spans="1:21" s="109" customFormat="1" ht="24" x14ac:dyDescent="0.2">
      <c r="A59" s="97"/>
      <c r="B59" s="116"/>
      <c r="C59" s="123" t="s">
        <v>189</v>
      </c>
      <c r="D59" s="123" t="s">
        <v>127</v>
      </c>
      <c r="E59" s="124" t="s">
        <v>386</v>
      </c>
      <c r="F59" s="125" t="s">
        <v>387</v>
      </c>
      <c r="G59" s="126" t="s">
        <v>138</v>
      </c>
      <c r="H59" s="127">
        <v>1</v>
      </c>
      <c r="I59" s="128">
        <v>436.65</v>
      </c>
      <c r="J59" s="128">
        <v>436.65</v>
      </c>
      <c r="K59" s="85">
        <v>0</v>
      </c>
      <c r="L59" s="86">
        <f t="shared" si="0"/>
        <v>436.65</v>
      </c>
      <c r="M59" s="277">
        <f t="shared" si="1"/>
        <v>0</v>
      </c>
      <c r="N59" s="87">
        <f t="shared" si="2"/>
        <v>1</v>
      </c>
      <c r="O59" s="88">
        <f t="shared" si="3"/>
        <v>436.65</v>
      </c>
      <c r="P59" s="278">
        <f t="shared" si="4"/>
        <v>436.65</v>
      </c>
    </row>
    <row r="60" spans="1:21" s="109" customFormat="1" ht="24" x14ac:dyDescent="0.2">
      <c r="A60" s="97"/>
      <c r="B60" s="116"/>
      <c r="C60" s="123" t="s">
        <v>192</v>
      </c>
      <c r="D60" s="123" t="s">
        <v>127</v>
      </c>
      <c r="E60" s="124" t="s">
        <v>388</v>
      </c>
      <c r="F60" s="125" t="s">
        <v>389</v>
      </c>
      <c r="G60" s="126" t="s">
        <v>138</v>
      </c>
      <c r="H60" s="127">
        <v>1</v>
      </c>
      <c r="I60" s="128">
        <v>303.82</v>
      </c>
      <c r="J60" s="128">
        <v>303.82</v>
      </c>
      <c r="K60" s="85">
        <v>0</v>
      </c>
      <c r="L60" s="86">
        <f t="shared" si="0"/>
        <v>303.82</v>
      </c>
      <c r="M60" s="277">
        <f t="shared" si="1"/>
        <v>0</v>
      </c>
      <c r="N60" s="87">
        <f t="shared" si="2"/>
        <v>1</v>
      </c>
      <c r="O60" s="88">
        <f t="shared" si="3"/>
        <v>303.82</v>
      </c>
      <c r="P60" s="278">
        <f t="shared" si="4"/>
        <v>303.82</v>
      </c>
    </row>
    <row r="61" spans="1:21" s="109" customFormat="1" ht="24" x14ac:dyDescent="0.2">
      <c r="A61" s="97"/>
      <c r="B61" s="116"/>
      <c r="C61" s="123" t="s">
        <v>195</v>
      </c>
      <c r="D61" s="123" t="s">
        <v>127</v>
      </c>
      <c r="E61" s="124" t="s">
        <v>390</v>
      </c>
      <c r="F61" s="125" t="s">
        <v>391</v>
      </c>
      <c r="G61" s="126" t="s">
        <v>138</v>
      </c>
      <c r="H61" s="127">
        <v>1</v>
      </c>
      <c r="I61" s="128">
        <v>462.96</v>
      </c>
      <c r="J61" s="128">
        <v>462.96</v>
      </c>
      <c r="K61" s="85">
        <v>0</v>
      </c>
      <c r="L61" s="86">
        <f t="shared" si="0"/>
        <v>462.96</v>
      </c>
      <c r="M61" s="277">
        <f t="shared" si="1"/>
        <v>0</v>
      </c>
      <c r="N61" s="87">
        <f t="shared" si="2"/>
        <v>1</v>
      </c>
      <c r="O61" s="88">
        <f t="shared" si="3"/>
        <v>462.96</v>
      </c>
      <c r="P61" s="278">
        <f t="shared" si="4"/>
        <v>462.96</v>
      </c>
    </row>
    <row r="62" spans="1:21" s="109" customFormat="1" ht="36" x14ac:dyDescent="0.2">
      <c r="A62" s="97"/>
      <c r="B62" s="116"/>
      <c r="C62" s="117" t="s">
        <v>198</v>
      </c>
      <c r="D62" s="117" t="s">
        <v>69</v>
      </c>
      <c r="E62" s="118" t="s">
        <v>202</v>
      </c>
      <c r="F62" s="119" t="s">
        <v>203</v>
      </c>
      <c r="G62" s="120" t="s">
        <v>138</v>
      </c>
      <c r="H62" s="121">
        <v>3</v>
      </c>
      <c r="I62" s="122">
        <v>260.41000000000003</v>
      </c>
      <c r="J62" s="122">
        <v>781.23</v>
      </c>
      <c r="K62" s="85">
        <v>0</v>
      </c>
      <c r="L62" s="86">
        <f t="shared" si="0"/>
        <v>260.41000000000003</v>
      </c>
      <c r="M62" s="277">
        <f t="shared" si="1"/>
        <v>0</v>
      </c>
      <c r="N62" s="87">
        <f t="shared" si="2"/>
        <v>3</v>
      </c>
      <c r="O62" s="88">
        <f t="shared" si="3"/>
        <v>260.41000000000003</v>
      </c>
      <c r="P62" s="278">
        <f t="shared" si="4"/>
        <v>781.23</v>
      </c>
    </row>
    <row r="63" spans="1:21" s="109" customFormat="1" ht="36" x14ac:dyDescent="0.2">
      <c r="A63" s="97"/>
      <c r="B63" s="116"/>
      <c r="C63" s="123" t="s">
        <v>201</v>
      </c>
      <c r="D63" s="123" t="s">
        <v>127</v>
      </c>
      <c r="E63" s="124" t="s">
        <v>205</v>
      </c>
      <c r="F63" s="125" t="s">
        <v>206</v>
      </c>
      <c r="G63" s="126" t="s">
        <v>138</v>
      </c>
      <c r="H63" s="127">
        <v>2</v>
      </c>
      <c r="I63" s="128">
        <v>1801.85</v>
      </c>
      <c r="J63" s="128">
        <v>3603.7</v>
      </c>
      <c r="K63" s="85">
        <v>0</v>
      </c>
      <c r="L63" s="86">
        <f t="shared" si="0"/>
        <v>1801.85</v>
      </c>
      <c r="M63" s="277">
        <f t="shared" si="1"/>
        <v>0</v>
      </c>
      <c r="N63" s="87">
        <f t="shared" si="2"/>
        <v>2</v>
      </c>
      <c r="O63" s="88">
        <f t="shared" si="3"/>
        <v>1801.85</v>
      </c>
      <c r="P63" s="278">
        <f t="shared" si="4"/>
        <v>3603.7</v>
      </c>
    </row>
    <row r="64" spans="1:21" s="109" customFormat="1" ht="24" x14ac:dyDescent="0.2">
      <c r="A64" s="97"/>
      <c r="B64" s="116"/>
      <c r="C64" s="123" t="s">
        <v>204</v>
      </c>
      <c r="D64" s="123" t="s">
        <v>127</v>
      </c>
      <c r="E64" s="124" t="s">
        <v>392</v>
      </c>
      <c r="F64" s="125" t="s">
        <v>393</v>
      </c>
      <c r="G64" s="126" t="s">
        <v>138</v>
      </c>
      <c r="H64" s="127">
        <v>1</v>
      </c>
      <c r="I64" s="128">
        <v>750.99</v>
      </c>
      <c r="J64" s="128">
        <v>750.99</v>
      </c>
      <c r="K64" s="85">
        <v>0</v>
      </c>
      <c r="L64" s="86">
        <f t="shared" si="0"/>
        <v>750.99</v>
      </c>
      <c r="M64" s="277">
        <f t="shared" si="1"/>
        <v>0</v>
      </c>
      <c r="N64" s="87">
        <f t="shared" si="2"/>
        <v>1</v>
      </c>
      <c r="O64" s="88">
        <f t="shared" si="3"/>
        <v>750.99</v>
      </c>
      <c r="P64" s="278">
        <f t="shared" si="4"/>
        <v>750.99</v>
      </c>
    </row>
    <row r="65" spans="1:20" s="109" customFormat="1" ht="67.5" x14ac:dyDescent="0.2">
      <c r="A65" s="97"/>
      <c r="B65" s="116"/>
      <c r="C65" s="117" t="s">
        <v>207</v>
      </c>
      <c r="D65" s="117" t="s">
        <v>69</v>
      </c>
      <c r="E65" s="118" t="s">
        <v>211</v>
      </c>
      <c r="F65" s="119" t="s">
        <v>212</v>
      </c>
      <c r="G65" s="120" t="s">
        <v>213</v>
      </c>
      <c r="H65" s="121">
        <v>4</v>
      </c>
      <c r="I65" s="122">
        <v>2564.6799999999998</v>
      </c>
      <c r="J65" s="122">
        <v>10258.719999999999</v>
      </c>
      <c r="K65" s="85">
        <f t="shared" ref="K65" si="7">ROUND(181.6/182.39*H65-H65,2)</f>
        <v>-0.02</v>
      </c>
      <c r="L65" s="86">
        <f t="shared" si="0"/>
        <v>2564.6799999999998</v>
      </c>
      <c r="M65" s="277">
        <f t="shared" si="1"/>
        <v>-51.293599999999998</v>
      </c>
      <c r="N65" s="87">
        <f t="shared" si="2"/>
        <v>3.98</v>
      </c>
      <c r="O65" s="88">
        <f t="shared" si="3"/>
        <v>2564.6799999999998</v>
      </c>
      <c r="P65" s="278">
        <f t="shared" si="4"/>
        <v>10207.426399999998</v>
      </c>
      <c r="R65" s="150" t="s">
        <v>1027</v>
      </c>
      <c r="S65" s="152"/>
      <c r="T65" s="150" t="s">
        <v>1038</v>
      </c>
    </row>
    <row r="66" spans="1:20" s="109" customFormat="1" ht="36" x14ac:dyDescent="0.2">
      <c r="A66" s="97"/>
      <c r="B66" s="116"/>
      <c r="C66" s="117" t="s">
        <v>210</v>
      </c>
      <c r="D66" s="117" t="s">
        <v>69</v>
      </c>
      <c r="E66" s="118" t="s">
        <v>239</v>
      </c>
      <c r="F66" s="119" t="s">
        <v>240</v>
      </c>
      <c r="G66" s="120" t="s">
        <v>138</v>
      </c>
      <c r="H66" s="121">
        <v>6</v>
      </c>
      <c r="I66" s="122">
        <v>5935.59</v>
      </c>
      <c r="J66" s="122">
        <v>35613.54</v>
      </c>
      <c r="K66" s="85">
        <v>0</v>
      </c>
      <c r="L66" s="86">
        <f t="shared" si="0"/>
        <v>5935.59</v>
      </c>
      <c r="M66" s="277">
        <f t="shared" si="1"/>
        <v>0</v>
      </c>
      <c r="N66" s="87">
        <f t="shared" si="2"/>
        <v>6</v>
      </c>
      <c r="O66" s="88">
        <f t="shared" si="3"/>
        <v>5935.59</v>
      </c>
      <c r="P66" s="278">
        <f t="shared" si="4"/>
        <v>35613.54</v>
      </c>
    </row>
    <row r="67" spans="1:20" s="109" customFormat="1" ht="24" x14ac:dyDescent="0.2">
      <c r="A67" s="97"/>
      <c r="B67" s="116"/>
      <c r="C67" s="117" t="s">
        <v>214</v>
      </c>
      <c r="D67" s="117" t="s">
        <v>69</v>
      </c>
      <c r="E67" s="118" t="s">
        <v>215</v>
      </c>
      <c r="F67" s="119" t="s">
        <v>216</v>
      </c>
      <c r="G67" s="120" t="s">
        <v>138</v>
      </c>
      <c r="H67" s="121">
        <v>25</v>
      </c>
      <c r="I67" s="122">
        <v>2016.23</v>
      </c>
      <c r="J67" s="122">
        <v>50405.75</v>
      </c>
      <c r="K67" s="85">
        <v>0</v>
      </c>
      <c r="L67" s="86">
        <f t="shared" si="0"/>
        <v>2016.23</v>
      </c>
      <c r="M67" s="277">
        <f t="shared" si="1"/>
        <v>0</v>
      </c>
      <c r="N67" s="87">
        <f t="shared" si="2"/>
        <v>25</v>
      </c>
      <c r="O67" s="88">
        <f t="shared" si="3"/>
        <v>2016.23</v>
      </c>
      <c r="P67" s="278">
        <f t="shared" si="4"/>
        <v>50405.75</v>
      </c>
    </row>
    <row r="68" spans="1:20" s="109" customFormat="1" ht="24" x14ac:dyDescent="0.2">
      <c r="A68" s="97"/>
      <c r="B68" s="116"/>
      <c r="C68" s="123" t="s">
        <v>217</v>
      </c>
      <c r="D68" s="123" t="s">
        <v>127</v>
      </c>
      <c r="E68" s="124" t="s">
        <v>218</v>
      </c>
      <c r="F68" s="125" t="s">
        <v>219</v>
      </c>
      <c r="G68" s="126" t="s">
        <v>138</v>
      </c>
      <c r="H68" s="127">
        <v>6</v>
      </c>
      <c r="I68" s="128">
        <v>14898.16</v>
      </c>
      <c r="J68" s="128">
        <v>89388.96</v>
      </c>
      <c r="K68" s="85">
        <v>0</v>
      </c>
      <c r="L68" s="86">
        <f t="shared" si="0"/>
        <v>14898.16</v>
      </c>
      <c r="M68" s="277">
        <f t="shared" si="1"/>
        <v>0</v>
      </c>
      <c r="N68" s="87">
        <f t="shared" si="2"/>
        <v>6</v>
      </c>
      <c r="O68" s="88">
        <f t="shared" si="3"/>
        <v>14898.16</v>
      </c>
      <c r="P68" s="278">
        <f t="shared" si="4"/>
        <v>89388.959999999992</v>
      </c>
    </row>
    <row r="69" spans="1:20" s="109" customFormat="1" ht="24" x14ac:dyDescent="0.2">
      <c r="A69" s="97"/>
      <c r="B69" s="116"/>
      <c r="C69" s="123" t="s">
        <v>220</v>
      </c>
      <c r="D69" s="123" t="s">
        <v>127</v>
      </c>
      <c r="E69" s="124" t="s">
        <v>224</v>
      </c>
      <c r="F69" s="125" t="s">
        <v>225</v>
      </c>
      <c r="G69" s="126" t="s">
        <v>138</v>
      </c>
      <c r="H69" s="127">
        <v>5</v>
      </c>
      <c r="I69" s="128">
        <v>1530.92</v>
      </c>
      <c r="J69" s="128">
        <v>7654.6</v>
      </c>
      <c r="K69" s="85">
        <v>0</v>
      </c>
      <c r="L69" s="86">
        <f t="shared" si="0"/>
        <v>1530.92</v>
      </c>
      <c r="M69" s="277">
        <f t="shared" si="1"/>
        <v>0</v>
      </c>
      <c r="N69" s="87">
        <f t="shared" si="2"/>
        <v>5</v>
      </c>
      <c r="O69" s="88">
        <f t="shared" si="3"/>
        <v>1530.92</v>
      </c>
      <c r="P69" s="278">
        <f t="shared" si="4"/>
        <v>7654.6</v>
      </c>
    </row>
    <row r="70" spans="1:20" s="109" customFormat="1" ht="24" x14ac:dyDescent="0.2">
      <c r="A70" s="97"/>
      <c r="B70" s="116"/>
      <c r="C70" s="123" t="s">
        <v>223</v>
      </c>
      <c r="D70" s="123" t="s">
        <v>127</v>
      </c>
      <c r="E70" s="124" t="s">
        <v>227</v>
      </c>
      <c r="F70" s="125" t="s">
        <v>228</v>
      </c>
      <c r="G70" s="126" t="s">
        <v>138</v>
      </c>
      <c r="H70" s="127">
        <v>2</v>
      </c>
      <c r="I70" s="128">
        <v>775.98</v>
      </c>
      <c r="J70" s="128">
        <v>1551.96</v>
      </c>
      <c r="K70" s="85">
        <v>0</v>
      </c>
      <c r="L70" s="86">
        <f t="shared" si="0"/>
        <v>775.98</v>
      </c>
      <c r="M70" s="277">
        <f t="shared" si="1"/>
        <v>0</v>
      </c>
      <c r="N70" s="87">
        <f t="shared" si="2"/>
        <v>2</v>
      </c>
      <c r="O70" s="88">
        <f t="shared" si="3"/>
        <v>775.98</v>
      </c>
      <c r="P70" s="278">
        <f t="shared" si="4"/>
        <v>1551.96</v>
      </c>
    </row>
    <row r="71" spans="1:20" s="109" customFormat="1" ht="24" x14ac:dyDescent="0.2">
      <c r="A71" s="97"/>
      <c r="B71" s="116"/>
      <c r="C71" s="123" t="s">
        <v>226</v>
      </c>
      <c r="D71" s="123" t="s">
        <v>127</v>
      </c>
      <c r="E71" s="124" t="s">
        <v>230</v>
      </c>
      <c r="F71" s="125" t="s">
        <v>231</v>
      </c>
      <c r="G71" s="126" t="s">
        <v>138</v>
      </c>
      <c r="H71" s="127">
        <v>3</v>
      </c>
      <c r="I71" s="128">
        <v>1202.1099999999999</v>
      </c>
      <c r="J71" s="128">
        <v>3606.33</v>
      </c>
      <c r="K71" s="85">
        <v>0</v>
      </c>
      <c r="L71" s="86">
        <f t="shared" si="0"/>
        <v>1202.1099999999999</v>
      </c>
      <c r="M71" s="277">
        <f t="shared" si="1"/>
        <v>0</v>
      </c>
      <c r="N71" s="87">
        <f t="shared" si="2"/>
        <v>3</v>
      </c>
      <c r="O71" s="88">
        <f t="shared" si="3"/>
        <v>1202.1099999999999</v>
      </c>
      <c r="P71" s="278">
        <f t="shared" si="4"/>
        <v>3606.33</v>
      </c>
    </row>
    <row r="72" spans="1:20" s="109" customFormat="1" ht="24" x14ac:dyDescent="0.2">
      <c r="A72" s="97"/>
      <c r="B72" s="116"/>
      <c r="C72" s="123" t="s">
        <v>229</v>
      </c>
      <c r="D72" s="123" t="s">
        <v>127</v>
      </c>
      <c r="E72" s="124" t="s">
        <v>233</v>
      </c>
      <c r="F72" s="125" t="s">
        <v>310</v>
      </c>
      <c r="G72" s="126" t="s">
        <v>138</v>
      </c>
      <c r="H72" s="127">
        <v>11</v>
      </c>
      <c r="I72" s="128">
        <v>2648.85</v>
      </c>
      <c r="J72" s="128">
        <v>29137.35</v>
      </c>
      <c r="K72" s="85">
        <v>0</v>
      </c>
      <c r="L72" s="86">
        <f t="shared" si="0"/>
        <v>2648.85</v>
      </c>
      <c r="M72" s="277">
        <f t="shared" si="1"/>
        <v>0</v>
      </c>
      <c r="N72" s="87">
        <f t="shared" si="2"/>
        <v>11</v>
      </c>
      <c r="O72" s="88">
        <f t="shared" si="3"/>
        <v>2648.85</v>
      </c>
      <c r="P72" s="278">
        <f t="shared" si="4"/>
        <v>29137.35</v>
      </c>
    </row>
    <row r="73" spans="1:20" s="109" customFormat="1" ht="24" x14ac:dyDescent="0.2">
      <c r="A73" s="97"/>
      <c r="B73" s="116"/>
      <c r="C73" s="123" t="s">
        <v>232</v>
      </c>
      <c r="D73" s="123" t="s">
        <v>127</v>
      </c>
      <c r="E73" s="124" t="s">
        <v>236</v>
      </c>
      <c r="F73" s="125" t="s">
        <v>237</v>
      </c>
      <c r="G73" s="126" t="s">
        <v>138</v>
      </c>
      <c r="H73" s="127">
        <v>19</v>
      </c>
      <c r="I73" s="128">
        <v>211.75</v>
      </c>
      <c r="J73" s="128">
        <v>4023.25</v>
      </c>
      <c r="K73" s="85">
        <v>0</v>
      </c>
      <c r="L73" s="86">
        <f t="shared" si="0"/>
        <v>211.75</v>
      </c>
      <c r="M73" s="277">
        <f t="shared" si="1"/>
        <v>0</v>
      </c>
      <c r="N73" s="87">
        <f t="shared" si="2"/>
        <v>19</v>
      </c>
      <c r="O73" s="88">
        <f t="shared" si="3"/>
        <v>211.75</v>
      </c>
      <c r="P73" s="278">
        <f t="shared" si="4"/>
        <v>4023.25</v>
      </c>
    </row>
    <row r="74" spans="1:20" s="109" customFormat="1" ht="24" x14ac:dyDescent="0.2">
      <c r="A74" s="97"/>
      <c r="B74" s="116"/>
      <c r="C74" s="117" t="s">
        <v>235</v>
      </c>
      <c r="D74" s="117" t="s">
        <v>69</v>
      </c>
      <c r="E74" s="118" t="s">
        <v>242</v>
      </c>
      <c r="F74" s="119" t="s">
        <v>243</v>
      </c>
      <c r="G74" s="120" t="s">
        <v>138</v>
      </c>
      <c r="H74" s="121">
        <v>6</v>
      </c>
      <c r="I74" s="122">
        <v>485.32</v>
      </c>
      <c r="J74" s="122">
        <v>2911.92</v>
      </c>
      <c r="K74" s="85">
        <v>0</v>
      </c>
      <c r="L74" s="86">
        <f t="shared" si="0"/>
        <v>485.32</v>
      </c>
      <c r="M74" s="277">
        <f t="shared" si="1"/>
        <v>0</v>
      </c>
      <c r="N74" s="87">
        <f t="shared" si="2"/>
        <v>6</v>
      </c>
      <c r="O74" s="88">
        <f t="shared" si="3"/>
        <v>485.32</v>
      </c>
      <c r="P74" s="278">
        <f t="shared" si="4"/>
        <v>2911.92</v>
      </c>
    </row>
    <row r="75" spans="1:20" s="109" customFormat="1" ht="24" x14ac:dyDescent="0.2">
      <c r="A75" s="97"/>
      <c r="B75" s="116"/>
      <c r="C75" s="123" t="s">
        <v>238</v>
      </c>
      <c r="D75" s="123" t="s">
        <v>127</v>
      </c>
      <c r="E75" s="124" t="s">
        <v>245</v>
      </c>
      <c r="F75" s="125" t="s">
        <v>246</v>
      </c>
      <c r="G75" s="126" t="s">
        <v>138</v>
      </c>
      <c r="H75" s="127">
        <v>5</v>
      </c>
      <c r="I75" s="128">
        <v>6510.34</v>
      </c>
      <c r="J75" s="128">
        <v>32551.7</v>
      </c>
      <c r="K75" s="85">
        <v>0</v>
      </c>
      <c r="L75" s="86">
        <f t="shared" si="0"/>
        <v>6510.34</v>
      </c>
      <c r="M75" s="277">
        <f t="shared" si="1"/>
        <v>0</v>
      </c>
      <c r="N75" s="87">
        <f t="shared" si="2"/>
        <v>5</v>
      </c>
      <c r="O75" s="88">
        <f t="shared" si="3"/>
        <v>6510.34</v>
      </c>
      <c r="P75" s="278">
        <f t="shared" si="4"/>
        <v>32551.7</v>
      </c>
    </row>
    <row r="76" spans="1:20" s="109" customFormat="1" ht="24" x14ac:dyDescent="0.2">
      <c r="A76" s="97"/>
      <c r="B76" s="116"/>
      <c r="C76" s="123" t="s">
        <v>241</v>
      </c>
      <c r="D76" s="123" t="s">
        <v>127</v>
      </c>
      <c r="E76" s="124" t="s">
        <v>251</v>
      </c>
      <c r="F76" s="125" t="s">
        <v>252</v>
      </c>
      <c r="G76" s="126" t="s">
        <v>138</v>
      </c>
      <c r="H76" s="127">
        <v>1</v>
      </c>
      <c r="I76" s="128">
        <v>6510.34</v>
      </c>
      <c r="J76" s="128">
        <v>6510.34</v>
      </c>
      <c r="K76" s="85">
        <v>0</v>
      </c>
      <c r="L76" s="86">
        <f t="shared" si="0"/>
        <v>6510.34</v>
      </c>
      <c r="M76" s="277">
        <f t="shared" si="1"/>
        <v>0</v>
      </c>
      <c r="N76" s="87">
        <f t="shared" si="2"/>
        <v>1</v>
      </c>
      <c r="O76" s="88">
        <f t="shared" si="3"/>
        <v>6510.34</v>
      </c>
      <c r="P76" s="278">
        <f t="shared" si="4"/>
        <v>6510.34</v>
      </c>
    </row>
    <row r="77" spans="1:20" s="109" customFormat="1" ht="24" x14ac:dyDescent="0.2">
      <c r="A77" s="97"/>
      <c r="B77" s="116"/>
      <c r="C77" s="117" t="s">
        <v>244</v>
      </c>
      <c r="D77" s="117" t="s">
        <v>69</v>
      </c>
      <c r="E77" s="118" t="s">
        <v>254</v>
      </c>
      <c r="F77" s="119" t="s">
        <v>255</v>
      </c>
      <c r="G77" s="120" t="s">
        <v>62</v>
      </c>
      <c r="H77" s="121">
        <v>26.94</v>
      </c>
      <c r="I77" s="122">
        <v>3059.28</v>
      </c>
      <c r="J77" s="122">
        <v>82417</v>
      </c>
      <c r="K77" s="85">
        <v>0</v>
      </c>
      <c r="L77" s="86">
        <f t="shared" si="0"/>
        <v>3059.28</v>
      </c>
      <c r="M77" s="277">
        <f t="shared" si="1"/>
        <v>0</v>
      </c>
      <c r="N77" s="87">
        <f t="shared" si="2"/>
        <v>26.94</v>
      </c>
      <c r="O77" s="88">
        <f t="shared" si="3"/>
        <v>3059.28</v>
      </c>
      <c r="P77" s="278">
        <f t="shared" si="4"/>
        <v>82417.003200000006</v>
      </c>
    </row>
    <row r="78" spans="1:20" s="109" customFormat="1" ht="48" x14ac:dyDescent="0.2">
      <c r="A78" s="97"/>
      <c r="B78" s="116"/>
      <c r="C78" s="117" t="s">
        <v>247</v>
      </c>
      <c r="D78" s="117" t="s">
        <v>69</v>
      </c>
      <c r="E78" s="118" t="s">
        <v>257</v>
      </c>
      <c r="F78" s="119" t="s">
        <v>258</v>
      </c>
      <c r="G78" s="120" t="s">
        <v>138</v>
      </c>
      <c r="H78" s="121">
        <v>1</v>
      </c>
      <c r="I78" s="122">
        <v>35621.4</v>
      </c>
      <c r="J78" s="122">
        <v>35621.4</v>
      </c>
      <c r="K78" s="85">
        <v>0</v>
      </c>
      <c r="L78" s="86">
        <f t="shared" si="0"/>
        <v>35621.4</v>
      </c>
      <c r="M78" s="277">
        <f t="shared" si="1"/>
        <v>0</v>
      </c>
      <c r="N78" s="87">
        <f t="shared" si="2"/>
        <v>1</v>
      </c>
      <c r="O78" s="88">
        <f t="shared" si="3"/>
        <v>35621.4</v>
      </c>
      <c r="P78" s="278">
        <f t="shared" si="4"/>
        <v>35621.4</v>
      </c>
    </row>
    <row r="79" spans="1:20" s="109" customFormat="1" ht="24" x14ac:dyDescent="0.2">
      <c r="A79" s="97"/>
      <c r="B79" s="116"/>
      <c r="C79" s="117" t="s">
        <v>250</v>
      </c>
      <c r="D79" s="117" t="s">
        <v>69</v>
      </c>
      <c r="E79" s="118" t="s">
        <v>263</v>
      </c>
      <c r="F79" s="119" t="s">
        <v>264</v>
      </c>
      <c r="G79" s="120" t="s">
        <v>62</v>
      </c>
      <c r="H79" s="121">
        <v>0.9</v>
      </c>
      <c r="I79" s="122">
        <v>3186.85</v>
      </c>
      <c r="J79" s="122">
        <v>2868.17</v>
      </c>
      <c r="K79" s="85">
        <f t="shared" ref="K79:K81" si="8">ROUND(181.6/182.39*H79-H79,2)</f>
        <v>0</v>
      </c>
      <c r="L79" s="86">
        <f t="shared" si="0"/>
        <v>3186.85</v>
      </c>
      <c r="M79" s="277">
        <f t="shared" si="1"/>
        <v>0</v>
      </c>
      <c r="N79" s="87">
        <f t="shared" si="2"/>
        <v>0.9</v>
      </c>
      <c r="O79" s="88">
        <f t="shared" si="3"/>
        <v>3186.85</v>
      </c>
      <c r="P79" s="278">
        <f t="shared" si="4"/>
        <v>2868.165</v>
      </c>
    </row>
    <row r="80" spans="1:20" s="109" customFormat="1" ht="12" x14ac:dyDescent="0.2">
      <c r="A80" s="97"/>
      <c r="B80" s="116"/>
      <c r="C80" s="117" t="s">
        <v>253</v>
      </c>
      <c r="D80" s="117" t="s">
        <v>69</v>
      </c>
      <c r="E80" s="118" t="s">
        <v>260</v>
      </c>
      <c r="F80" s="119" t="s">
        <v>261</v>
      </c>
      <c r="G80" s="120" t="s">
        <v>72</v>
      </c>
      <c r="H80" s="121">
        <v>4.5</v>
      </c>
      <c r="I80" s="122">
        <v>442.69</v>
      </c>
      <c r="J80" s="122">
        <v>1992.11</v>
      </c>
      <c r="K80" s="85">
        <f t="shared" si="8"/>
        <v>-0.02</v>
      </c>
      <c r="L80" s="86">
        <f t="shared" si="0"/>
        <v>442.69</v>
      </c>
      <c r="M80" s="277">
        <f t="shared" si="1"/>
        <v>-8.8537999999999997</v>
      </c>
      <c r="N80" s="87">
        <f t="shared" si="2"/>
        <v>4.4800000000000004</v>
      </c>
      <c r="O80" s="88">
        <f t="shared" si="3"/>
        <v>442.69</v>
      </c>
      <c r="P80" s="278">
        <f t="shared" si="4"/>
        <v>1983.2512000000002</v>
      </c>
    </row>
    <row r="81" spans="1:24" s="109" customFormat="1" ht="12" x14ac:dyDescent="0.2">
      <c r="A81" s="97"/>
      <c r="B81" s="116"/>
      <c r="C81" s="117" t="s">
        <v>256</v>
      </c>
      <c r="D81" s="117" t="s">
        <v>69</v>
      </c>
      <c r="E81" s="118" t="s">
        <v>266</v>
      </c>
      <c r="F81" s="119" t="s">
        <v>267</v>
      </c>
      <c r="G81" s="120" t="s">
        <v>61</v>
      </c>
      <c r="H81" s="121">
        <v>182.39</v>
      </c>
      <c r="I81" s="122">
        <v>9.2100000000000009</v>
      </c>
      <c r="J81" s="122">
        <v>1679.81</v>
      </c>
      <c r="K81" s="85">
        <f t="shared" si="8"/>
        <v>-0.79</v>
      </c>
      <c r="L81" s="86">
        <f t="shared" ref="L81:L94" si="9">I81</f>
        <v>9.2100000000000009</v>
      </c>
      <c r="M81" s="277">
        <f t="shared" ref="M81:M94" si="10">K81*L81</f>
        <v>-7.2759000000000009</v>
      </c>
      <c r="N81" s="87">
        <f t="shared" ref="N81:N94" si="11">H81+K81</f>
        <v>181.6</v>
      </c>
      <c r="O81" s="88">
        <f t="shared" ref="O81:O94" si="12">I81</f>
        <v>9.2100000000000009</v>
      </c>
      <c r="P81" s="278">
        <f t="shared" ref="P81:P94" si="13">N81*O81</f>
        <v>1672.5360000000001</v>
      </c>
    </row>
    <row r="82" spans="1:24" s="110" customFormat="1" ht="12.75" x14ac:dyDescent="0.2">
      <c r="C82" s="245"/>
      <c r="D82" s="246" t="s">
        <v>3</v>
      </c>
      <c r="E82" s="247" t="s">
        <v>93</v>
      </c>
      <c r="F82" s="247" t="s">
        <v>268</v>
      </c>
      <c r="G82" s="245"/>
      <c r="H82" s="245"/>
      <c r="I82" s="245"/>
      <c r="J82" s="248">
        <v>81828.820000000007</v>
      </c>
      <c r="K82" s="243"/>
      <c r="L82" s="244"/>
      <c r="M82" s="279">
        <f>SUM(M83:M88)</f>
        <v>0</v>
      </c>
      <c r="N82" s="280"/>
      <c r="O82" s="244"/>
      <c r="P82" s="279">
        <f>SUM(P83:P88)</f>
        <v>81828.814500000008</v>
      </c>
    </row>
    <row r="83" spans="1:24" s="109" customFormat="1" ht="48" x14ac:dyDescent="0.2">
      <c r="A83" s="97"/>
      <c r="B83" s="116"/>
      <c r="C83" s="117" t="s">
        <v>259</v>
      </c>
      <c r="D83" s="117" t="s">
        <v>69</v>
      </c>
      <c r="E83" s="118" t="s">
        <v>270</v>
      </c>
      <c r="F83" s="119" t="s">
        <v>271</v>
      </c>
      <c r="G83" s="120" t="s">
        <v>61</v>
      </c>
      <c r="H83" s="121">
        <v>168.29</v>
      </c>
      <c r="I83" s="122">
        <v>87.65</v>
      </c>
      <c r="J83" s="122">
        <v>14750.62</v>
      </c>
      <c r="K83" s="85">
        <v>0</v>
      </c>
      <c r="L83" s="86">
        <f t="shared" si="9"/>
        <v>87.65</v>
      </c>
      <c r="M83" s="277">
        <f t="shared" si="10"/>
        <v>0</v>
      </c>
      <c r="N83" s="87">
        <f t="shared" si="11"/>
        <v>168.29</v>
      </c>
      <c r="O83" s="88">
        <f t="shared" si="12"/>
        <v>87.65</v>
      </c>
      <c r="P83" s="278">
        <f t="shared" si="13"/>
        <v>14750.6185</v>
      </c>
    </row>
    <row r="84" spans="1:24" s="109" customFormat="1" ht="36" x14ac:dyDescent="0.2">
      <c r="A84" s="97"/>
      <c r="B84" s="116"/>
      <c r="C84" s="117" t="s">
        <v>262</v>
      </c>
      <c r="D84" s="117" t="s">
        <v>69</v>
      </c>
      <c r="E84" s="118" t="s">
        <v>273</v>
      </c>
      <c r="F84" s="119" t="s">
        <v>274</v>
      </c>
      <c r="G84" s="120" t="s">
        <v>61</v>
      </c>
      <c r="H84" s="121">
        <v>168.29</v>
      </c>
      <c r="I84" s="122">
        <v>32.22</v>
      </c>
      <c r="J84" s="122">
        <v>5422.3</v>
      </c>
      <c r="K84" s="85">
        <v>0</v>
      </c>
      <c r="L84" s="86">
        <f t="shared" si="9"/>
        <v>32.22</v>
      </c>
      <c r="M84" s="277">
        <f t="shared" si="10"/>
        <v>0</v>
      </c>
      <c r="N84" s="87">
        <f t="shared" si="11"/>
        <v>168.29</v>
      </c>
      <c r="O84" s="88">
        <f t="shared" si="12"/>
        <v>32.22</v>
      </c>
      <c r="P84" s="278">
        <f t="shared" si="13"/>
        <v>5422.3037999999997</v>
      </c>
    </row>
    <row r="85" spans="1:24" s="109" customFormat="1" ht="36" x14ac:dyDescent="0.2">
      <c r="A85" s="97"/>
      <c r="B85" s="116"/>
      <c r="C85" s="117" t="s">
        <v>265</v>
      </c>
      <c r="D85" s="117" t="s">
        <v>69</v>
      </c>
      <c r="E85" s="118" t="s">
        <v>350</v>
      </c>
      <c r="F85" s="119" t="s">
        <v>351</v>
      </c>
      <c r="G85" s="120" t="s">
        <v>61</v>
      </c>
      <c r="H85" s="121">
        <v>324.58</v>
      </c>
      <c r="I85" s="122">
        <v>32.22</v>
      </c>
      <c r="J85" s="122">
        <v>10457.969999999999</v>
      </c>
      <c r="K85" s="85">
        <v>0</v>
      </c>
      <c r="L85" s="86">
        <f t="shared" si="9"/>
        <v>32.22</v>
      </c>
      <c r="M85" s="277">
        <f t="shared" si="10"/>
        <v>0</v>
      </c>
      <c r="N85" s="87">
        <f t="shared" si="11"/>
        <v>324.58</v>
      </c>
      <c r="O85" s="88">
        <f t="shared" si="12"/>
        <v>32.22</v>
      </c>
      <c r="P85" s="278">
        <f t="shared" si="13"/>
        <v>10457.9676</v>
      </c>
    </row>
    <row r="86" spans="1:24" s="109" customFormat="1" ht="24" x14ac:dyDescent="0.2">
      <c r="A86" s="97"/>
      <c r="B86" s="116"/>
      <c r="C86" s="117" t="s">
        <v>269</v>
      </c>
      <c r="D86" s="117" t="s">
        <v>69</v>
      </c>
      <c r="E86" s="118" t="s">
        <v>276</v>
      </c>
      <c r="F86" s="119" t="s">
        <v>277</v>
      </c>
      <c r="G86" s="120" t="s">
        <v>61</v>
      </c>
      <c r="H86" s="121">
        <v>168.29</v>
      </c>
      <c r="I86" s="122">
        <v>72.34</v>
      </c>
      <c r="J86" s="122">
        <v>12174.1</v>
      </c>
      <c r="K86" s="85">
        <v>0</v>
      </c>
      <c r="L86" s="86">
        <f t="shared" si="9"/>
        <v>72.34</v>
      </c>
      <c r="M86" s="277">
        <f t="shared" si="10"/>
        <v>0</v>
      </c>
      <c r="N86" s="87">
        <f t="shared" si="11"/>
        <v>168.29</v>
      </c>
      <c r="O86" s="88">
        <f t="shared" si="12"/>
        <v>72.34</v>
      </c>
      <c r="P86" s="278">
        <f t="shared" si="13"/>
        <v>12174.098599999999</v>
      </c>
    </row>
    <row r="87" spans="1:24" s="109" customFormat="1" ht="24" x14ac:dyDescent="0.2">
      <c r="A87" s="97"/>
      <c r="B87" s="116"/>
      <c r="C87" s="117" t="s">
        <v>272</v>
      </c>
      <c r="D87" s="117" t="s">
        <v>69</v>
      </c>
      <c r="E87" s="118" t="s">
        <v>354</v>
      </c>
      <c r="F87" s="119" t="s">
        <v>355</v>
      </c>
      <c r="G87" s="120" t="s">
        <v>61</v>
      </c>
      <c r="H87" s="121">
        <v>324.58</v>
      </c>
      <c r="I87" s="122">
        <v>94.7</v>
      </c>
      <c r="J87" s="122">
        <v>30737.73</v>
      </c>
      <c r="K87" s="85">
        <v>0</v>
      </c>
      <c r="L87" s="86">
        <f t="shared" si="9"/>
        <v>94.7</v>
      </c>
      <c r="M87" s="277">
        <f t="shared" si="10"/>
        <v>0</v>
      </c>
      <c r="N87" s="87">
        <f t="shared" si="11"/>
        <v>324.58</v>
      </c>
      <c r="O87" s="88">
        <f t="shared" si="12"/>
        <v>94.7</v>
      </c>
      <c r="P87" s="278">
        <f t="shared" si="13"/>
        <v>30737.725999999999</v>
      </c>
    </row>
    <row r="88" spans="1:24" s="109" customFormat="1" ht="48" x14ac:dyDescent="0.2">
      <c r="A88" s="97"/>
      <c r="B88" s="116"/>
      <c r="C88" s="117" t="s">
        <v>275</v>
      </c>
      <c r="D88" s="117" t="s">
        <v>69</v>
      </c>
      <c r="E88" s="118" t="s">
        <v>279</v>
      </c>
      <c r="F88" s="119" t="s">
        <v>280</v>
      </c>
      <c r="G88" s="120" t="s">
        <v>138</v>
      </c>
      <c r="H88" s="121">
        <v>5</v>
      </c>
      <c r="I88" s="122">
        <v>1657.22</v>
      </c>
      <c r="J88" s="122">
        <v>8286.1</v>
      </c>
      <c r="K88" s="85">
        <v>0</v>
      </c>
      <c r="L88" s="86">
        <f t="shared" si="9"/>
        <v>1657.22</v>
      </c>
      <c r="M88" s="277">
        <f t="shared" si="10"/>
        <v>0</v>
      </c>
      <c r="N88" s="87">
        <f t="shared" si="11"/>
        <v>5</v>
      </c>
      <c r="O88" s="88">
        <f t="shared" si="12"/>
        <v>1657.22</v>
      </c>
      <c r="P88" s="278">
        <f t="shared" si="13"/>
        <v>8286.1</v>
      </c>
    </row>
    <row r="89" spans="1:24" s="110" customFormat="1" ht="12.75" x14ac:dyDescent="0.2">
      <c r="C89" s="245"/>
      <c r="D89" s="246" t="s">
        <v>3</v>
      </c>
      <c r="E89" s="247" t="s">
        <v>281</v>
      </c>
      <c r="F89" s="247" t="s">
        <v>282</v>
      </c>
      <c r="G89" s="245"/>
      <c r="H89" s="245"/>
      <c r="I89" s="245"/>
      <c r="J89" s="248">
        <v>82524.790000000008</v>
      </c>
      <c r="K89" s="243"/>
      <c r="L89" s="244"/>
      <c r="M89" s="279">
        <f>SUM(M90:M94)</f>
        <v>-262.80259999999998</v>
      </c>
      <c r="N89" s="280"/>
      <c r="O89" s="244"/>
      <c r="P89" s="279">
        <f>SUM(P90:P94)</f>
        <v>82261.983769999992</v>
      </c>
    </row>
    <row r="90" spans="1:24" s="109" customFormat="1" ht="36" x14ac:dyDescent="0.2">
      <c r="A90" s="97"/>
      <c r="B90" s="116"/>
      <c r="C90" s="117" t="s">
        <v>278</v>
      </c>
      <c r="D90" s="117" t="s">
        <v>69</v>
      </c>
      <c r="E90" s="118" t="s">
        <v>284</v>
      </c>
      <c r="F90" s="119" t="s">
        <v>285</v>
      </c>
      <c r="G90" s="120" t="s">
        <v>120</v>
      </c>
      <c r="H90" s="121">
        <v>134.66900000000001</v>
      </c>
      <c r="I90" s="122">
        <v>200.04</v>
      </c>
      <c r="J90" s="122">
        <v>26939.19</v>
      </c>
      <c r="K90" s="85">
        <f t="shared" ref="K90" si="14">ROUND(181.6/182.39*H90-H90,2)</f>
        <v>-0.57999999999999996</v>
      </c>
      <c r="L90" s="86">
        <f t="shared" si="9"/>
        <v>200.04</v>
      </c>
      <c r="M90" s="277">
        <f t="shared" si="10"/>
        <v>-116.02319999999999</v>
      </c>
      <c r="N90" s="87">
        <f t="shared" si="11"/>
        <v>134.089</v>
      </c>
      <c r="O90" s="88">
        <f t="shared" si="12"/>
        <v>200.04</v>
      </c>
      <c r="P90" s="278">
        <f t="shared" si="13"/>
        <v>26823.163559999997</v>
      </c>
    </row>
    <row r="91" spans="1:24" s="109" customFormat="1" ht="48" x14ac:dyDescent="0.2">
      <c r="A91" s="97"/>
      <c r="B91" s="116"/>
      <c r="C91" s="117" t="s">
        <v>283</v>
      </c>
      <c r="D91" s="117" t="s">
        <v>69</v>
      </c>
      <c r="E91" s="118" t="s">
        <v>287</v>
      </c>
      <c r="F91" s="119" t="s">
        <v>288</v>
      </c>
      <c r="G91" s="120" t="s">
        <v>120</v>
      </c>
      <c r="H91" s="121">
        <v>82.897999999999996</v>
      </c>
      <c r="I91" s="122">
        <v>257.77999999999997</v>
      </c>
      <c r="J91" s="122">
        <v>21369.45</v>
      </c>
      <c r="K91" s="85">
        <v>0</v>
      </c>
      <c r="L91" s="86">
        <f t="shared" si="9"/>
        <v>257.77999999999997</v>
      </c>
      <c r="M91" s="277">
        <f t="shared" si="10"/>
        <v>0</v>
      </c>
      <c r="N91" s="87">
        <f t="shared" si="11"/>
        <v>82.897999999999996</v>
      </c>
      <c r="O91" s="88">
        <f t="shared" si="12"/>
        <v>257.77999999999997</v>
      </c>
      <c r="P91" s="278">
        <f t="shared" si="13"/>
        <v>21369.446439999996</v>
      </c>
    </row>
    <row r="92" spans="1:24" s="109" customFormat="1" ht="36" x14ac:dyDescent="0.2">
      <c r="A92" s="97"/>
      <c r="B92" s="116"/>
      <c r="C92" s="117" t="s">
        <v>286</v>
      </c>
      <c r="D92" s="117" t="s">
        <v>69</v>
      </c>
      <c r="E92" s="118" t="s">
        <v>290</v>
      </c>
      <c r="F92" s="119" t="s">
        <v>119</v>
      </c>
      <c r="G92" s="120" t="s">
        <v>120</v>
      </c>
      <c r="H92" s="121">
        <v>51.771000000000001</v>
      </c>
      <c r="I92" s="122">
        <v>154.66999999999999</v>
      </c>
      <c r="J92" s="122">
        <v>8007.42</v>
      </c>
      <c r="K92" s="85">
        <f t="shared" ref="K92:K94" si="15">ROUND(181.6/182.39*H92-H92,2)</f>
        <v>-0.22</v>
      </c>
      <c r="L92" s="86">
        <f t="shared" si="9"/>
        <v>154.66999999999999</v>
      </c>
      <c r="M92" s="277">
        <f t="shared" si="10"/>
        <v>-34.0274</v>
      </c>
      <c r="N92" s="87">
        <f t="shared" si="11"/>
        <v>51.551000000000002</v>
      </c>
      <c r="O92" s="88">
        <f t="shared" si="12"/>
        <v>154.66999999999999</v>
      </c>
      <c r="P92" s="278">
        <f t="shared" si="13"/>
        <v>7973.3931699999994</v>
      </c>
      <c r="X92" s="148" t="s">
        <v>1137</v>
      </c>
    </row>
    <row r="93" spans="1:24" s="109" customFormat="1" ht="36" x14ac:dyDescent="0.2">
      <c r="A93" s="97"/>
      <c r="B93" s="116"/>
      <c r="C93" s="117" t="s">
        <v>289</v>
      </c>
      <c r="D93" s="117" t="s">
        <v>69</v>
      </c>
      <c r="E93" s="118" t="s">
        <v>361</v>
      </c>
      <c r="F93" s="119" t="s">
        <v>362</v>
      </c>
      <c r="G93" s="120" t="s">
        <v>120</v>
      </c>
      <c r="H93" s="121">
        <v>111.574</v>
      </c>
      <c r="I93" s="122">
        <v>80.23</v>
      </c>
      <c r="J93" s="122">
        <v>8951.58</v>
      </c>
      <c r="K93" s="85">
        <f t="shared" si="15"/>
        <v>-0.48</v>
      </c>
      <c r="L93" s="86">
        <f t="shared" si="9"/>
        <v>80.23</v>
      </c>
      <c r="M93" s="277">
        <f t="shared" si="10"/>
        <v>-38.510399999999997</v>
      </c>
      <c r="N93" s="87">
        <f t="shared" si="11"/>
        <v>111.09399999999999</v>
      </c>
      <c r="O93" s="88">
        <f t="shared" si="12"/>
        <v>80.23</v>
      </c>
      <c r="P93" s="278">
        <f t="shared" si="13"/>
        <v>8913.0716200000006</v>
      </c>
    </row>
    <row r="94" spans="1:24" s="109" customFormat="1" ht="36" x14ac:dyDescent="0.2">
      <c r="A94" s="97"/>
      <c r="B94" s="116"/>
      <c r="C94" s="117" t="s">
        <v>293</v>
      </c>
      <c r="D94" s="117" t="s">
        <v>69</v>
      </c>
      <c r="E94" s="118" t="s">
        <v>364</v>
      </c>
      <c r="F94" s="119" t="s">
        <v>365</v>
      </c>
      <c r="G94" s="120" t="s">
        <v>120</v>
      </c>
      <c r="H94" s="121">
        <v>111.574</v>
      </c>
      <c r="I94" s="122">
        <v>154.66999999999999</v>
      </c>
      <c r="J94" s="122">
        <v>17257.150000000001</v>
      </c>
      <c r="K94" s="85">
        <f t="shared" si="15"/>
        <v>-0.48</v>
      </c>
      <c r="L94" s="86">
        <f t="shared" si="9"/>
        <v>154.66999999999999</v>
      </c>
      <c r="M94" s="277">
        <f t="shared" si="10"/>
        <v>-74.241599999999991</v>
      </c>
      <c r="N94" s="87">
        <f t="shared" si="11"/>
        <v>111.09399999999999</v>
      </c>
      <c r="O94" s="88">
        <f t="shared" si="12"/>
        <v>154.66999999999999</v>
      </c>
      <c r="P94" s="278">
        <f t="shared" si="13"/>
        <v>17182.908979999997</v>
      </c>
    </row>
    <row r="95" spans="1:24" s="109" customFormat="1" x14ac:dyDescent="0.2">
      <c r="A95" s="97"/>
      <c r="B95" s="97"/>
      <c r="C95" s="97"/>
      <c r="D95" s="97"/>
      <c r="E95" s="97"/>
      <c r="F95" s="97"/>
      <c r="G95" s="97"/>
      <c r="H95" s="97"/>
      <c r="I95" s="97"/>
      <c r="J95" s="97"/>
    </row>
    <row r="96" spans="1:24" ht="12.75" x14ac:dyDescent="0.2">
      <c r="D96" s="89"/>
      <c r="E96" s="141" t="str">
        <f>CONCATENATE("CELKEM ",C$12)</f>
        <v>CELKEM 15 - SO 01.N - Stoka B.2</v>
      </c>
      <c r="F96" s="90"/>
      <c r="G96" s="90"/>
      <c r="H96" s="91"/>
      <c r="I96" s="90"/>
      <c r="J96" s="92">
        <v>2514766.61</v>
      </c>
      <c r="K96" s="94"/>
      <c r="L96" s="92"/>
      <c r="M96" s="147">
        <f>M89+M82+M55+M48+M42+M14</f>
        <v>-6548.9429000000009</v>
      </c>
      <c r="N96" s="147"/>
      <c r="O96" s="147"/>
      <c r="P96" s="147">
        <f t="shared" ref="P96" si="16">P89+P82+P55+P48+P42+P14</f>
        <v>2508217.6585200001</v>
      </c>
    </row>
    <row r="97" spans="5:11" x14ac:dyDescent="0.2">
      <c r="I97" s="95"/>
    </row>
    <row r="98" spans="5:11" ht="14.25" x14ac:dyDescent="0.2">
      <c r="E98" s="58" t="s">
        <v>994</v>
      </c>
      <c r="F98" s="58"/>
      <c r="H98" s="96"/>
      <c r="J98" s="161"/>
      <c r="K98" s="58" t="s">
        <v>995</v>
      </c>
    </row>
  </sheetData>
  <protectedRanges>
    <protectedRange password="CCAA" sqref="K8" name="Oblast1_1_1_1_1"/>
    <protectedRange password="CCAA" sqref="D9:H10" name="Oblast1_2_1_1_1_1"/>
  </protectedRanges>
  <autoFilter ref="C10:P94" xr:uid="{D46045FC-7F38-4D68-853E-17CF80AAFA6F}"/>
  <mergeCells count="3">
    <mergeCell ref="Q23:Q28"/>
    <mergeCell ref="K9:M9"/>
    <mergeCell ref="N9:P9"/>
  </mergeCells>
  <pageMargins left="0.39370078740157483" right="0.39370078740157483" top="0.39370078740157483" bottom="0.39370078740157483" header="0" footer="0"/>
  <pageSetup paperSize="9" scale="48" fitToHeight="0" orientation="portrait" r:id="rId1"/>
  <headerFooter>
    <oddFooter>&amp;CStrana &amp;P z &amp;N</oddFooter>
  </headerFooter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pageSetUpPr fitToPage="1"/>
  </sheetPr>
  <dimension ref="A1:AD89"/>
  <sheetViews>
    <sheetView showGridLines="0" view="pageBreakPreview" topLeftCell="A69" zoomScale="60" zoomScaleNormal="85" workbookViewId="0">
      <selection activeCell="J89" sqref="J89"/>
    </sheetView>
  </sheetViews>
  <sheetFormatPr defaultColWidth="9.33203125" defaultRowHeight="11.25" x14ac:dyDescent="0.2"/>
  <cols>
    <col min="1" max="1" width="8.33203125" style="60" customWidth="1"/>
    <col min="2" max="2" width="1.6640625" style="60" customWidth="1"/>
    <col min="3" max="3" width="4.1640625" style="60" customWidth="1"/>
    <col min="4" max="4" width="4.33203125" style="60" customWidth="1"/>
    <col min="5" max="5" width="17.1640625" style="60" customWidth="1"/>
    <col min="6" max="6" width="50.83203125" style="60" customWidth="1"/>
    <col min="7" max="7" width="7" style="60" customWidth="1"/>
    <col min="8" max="8" width="11.5" style="60" customWidth="1"/>
    <col min="9" max="10" width="20.1640625" style="60" customWidth="1"/>
    <col min="11" max="11" width="18.5" style="60" customWidth="1"/>
    <col min="12" max="12" width="19.33203125" style="60" customWidth="1"/>
    <col min="13" max="13" width="14" style="60" customWidth="1"/>
    <col min="14" max="14" width="17.6640625" style="60" bestFit="1" customWidth="1"/>
    <col min="15" max="15" width="21.6640625" style="60" bestFit="1" customWidth="1"/>
    <col min="16" max="16" width="21" style="60" bestFit="1" customWidth="1"/>
    <col min="17" max="17" width="74.6640625" style="60" bestFit="1" customWidth="1"/>
    <col min="18" max="20" width="0" style="60" hidden="1" customWidth="1"/>
    <col min="21" max="21" width="26.1640625" style="60" bestFit="1" customWidth="1"/>
    <col min="22" max="22" width="20.5" style="60" bestFit="1" customWidth="1"/>
    <col min="23" max="27" width="0" style="60" hidden="1" customWidth="1"/>
    <col min="28" max="28" width="24.6640625" style="60" bestFit="1" customWidth="1"/>
    <col min="29" max="29" width="12.1640625" style="60" bestFit="1" customWidth="1"/>
    <col min="30" max="30" width="22.83203125" style="60" bestFit="1" customWidth="1"/>
    <col min="31" max="16384" width="9.33203125" style="60"/>
  </cols>
  <sheetData>
    <row r="1" spans="1:28" ht="18.95" customHeight="1" x14ac:dyDescent="0.2">
      <c r="F1" s="3"/>
      <c r="G1" s="4"/>
      <c r="H1" s="1"/>
      <c r="J1" s="61"/>
    </row>
    <row r="2" spans="1:28" s="1" customFormat="1" ht="18" customHeight="1" x14ac:dyDescent="0.2">
      <c r="E2" s="2"/>
      <c r="F2" s="3" t="s">
        <v>979</v>
      </c>
      <c r="G2" s="4" t="str">
        <f>'[1]VRN 01'!G3</f>
        <v>Odkanalizování povodí Jizery - část B</v>
      </c>
      <c r="I2" s="5"/>
      <c r="J2" s="63"/>
      <c r="K2" s="10"/>
      <c r="L2" s="11"/>
      <c r="M2" s="11"/>
      <c r="N2" s="64"/>
    </row>
    <row r="3" spans="1:28" s="1" customFormat="1" ht="18" customHeight="1" x14ac:dyDescent="0.2">
      <c r="E3" s="2"/>
      <c r="F3" s="3" t="s">
        <v>980</v>
      </c>
      <c r="G3" s="4" t="str">
        <f>+'Rekapitulace stavby'!D2</f>
        <v>ÚHERCE, výstavba kanalizace - UZNATELNÉ NÁKLADY - doměrky</v>
      </c>
      <c r="H3" s="2"/>
      <c r="I3" s="5"/>
      <c r="J3" s="63"/>
      <c r="K3" s="10"/>
      <c r="L3" s="11"/>
      <c r="M3" s="11"/>
      <c r="N3" s="64"/>
    </row>
    <row r="4" spans="1:28" s="2" customFormat="1" ht="18" customHeight="1" x14ac:dyDescent="0.2">
      <c r="F4" s="12" t="s">
        <v>981</v>
      </c>
      <c r="G4" s="13" t="str">
        <f>'[1]VRN 01'!G5</f>
        <v>VRI/SOD/2020/Ži</v>
      </c>
      <c r="I4" s="5"/>
      <c r="J4" s="65"/>
      <c r="K4" s="18"/>
      <c r="L4" s="19"/>
      <c r="M4" s="19"/>
      <c r="N4" s="66"/>
    </row>
    <row r="5" spans="1:28" s="2" customFormat="1" ht="18" customHeight="1" x14ac:dyDescent="0.2">
      <c r="F5" s="12" t="s">
        <v>983</v>
      </c>
      <c r="G5" s="13" t="s">
        <v>1001</v>
      </c>
      <c r="I5" s="5"/>
      <c r="J5" s="65"/>
      <c r="K5" s="18"/>
      <c r="L5" s="19"/>
      <c r="M5" s="19"/>
      <c r="N5" s="66"/>
    </row>
    <row r="6" spans="1:28" s="2" customFormat="1" ht="18" customHeight="1" x14ac:dyDescent="0.2">
      <c r="F6" s="3" t="s">
        <v>984</v>
      </c>
      <c r="G6" s="13" t="str">
        <f>'[1]VRN 01'!G7</f>
        <v>Vododvody a kanalizace Mladá Boleslav, a.s.</v>
      </c>
      <c r="I6" s="5"/>
      <c r="J6" s="65"/>
      <c r="K6" s="18"/>
      <c r="L6" s="19"/>
      <c r="M6" s="19"/>
      <c r="N6" s="66"/>
    </row>
    <row r="7" spans="1:28" s="2" customFormat="1" ht="18" customHeight="1" x14ac:dyDescent="0.2">
      <c r="F7" s="3" t="s">
        <v>986</v>
      </c>
      <c r="G7" s="20" t="str">
        <f>'[1]VRN 01'!G8</f>
        <v>VCES a.s.</v>
      </c>
      <c r="H7" s="67"/>
      <c r="I7" s="5"/>
      <c r="J7" s="65"/>
      <c r="K7" s="18"/>
      <c r="L7" s="19"/>
      <c r="M7" s="19"/>
      <c r="N7" s="66"/>
    </row>
    <row r="8" spans="1:28" s="68" customFormat="1" ht="18" customHeight="1" x14ac:dyDescent="0.2">
      <c r="D8" s="69"/>
      <c r="F8" s="3"/>
      <c r="G8" s="20"/>
      <c r="H8" s="67"/>
      <c r="K8" s="72" t="s">
        <v>996</v>
      </c>
      <c r="L8" s="73" t="str">
        <f>+C12</f>
        <v>16 - SO 01.O - Stoka B.2.1</v>
      </c>
      <c r="M8" s="73"/>
      <c r="O8" s="74"/>
    </row>
    <row r="9" spans="1:28" s="75" customFormat="1" ht="20.100000000000001" customHeight="1" x14ac:dyDescent="0.2">
      <c r="C9" s="76"/>
      <c r="D9" s="77"/>
      <c r="E9" s="77"/>
      <c r="F9" s="77"/>
      <c r="G9" s="77"/>
      <c r="H9" s="77"/>
      <c r="I9" s="78"/>
      <c r="J9" s="79"/>
      <c r="K9" s="332" t="s">
        <v>1266</v>
      </c>
      <c r="L9" s="332"/>
      <c r="M9" s="332"/>
      <c r="N9" s="339" t="s">
        <v>1267</v>
      </c>
      <c r="O9" s="339"/>
      <c r="P9" s="340"/>
    </row>
    <row r="10" spans="1:28" s="75" customFormat="1" ht="24" customHeight="1" x14ac:dyDescent="0.2">
      <c r="C10" s="80"/>
      <c r="D10" s="81" t="s">
        <v>997</v>
      </c>
      <c r="E10" s="81" t="s">
        <v>976</v>
      </c>
      <c r="F10" s="81" t="s">
        <v>977</v>
      </c>
      <c r="G10" s="81" t="s">
        <v>64</v>
      </c>
      <c r="H10" s="82" t="s">
        <v>65</v>
      </c>
      <c r="I10" s="83" t="s">
        <v>998</v>
      </c>
      <c r="J10" s="84" t="s">
        <v>978</v>
      </c>
      <c r="K10" s="218" t="s">
        <v>999</v>
      </c>
      <c r="L10" s="219" t="s">
        <v>1260</v>
      </c>
      <c r="M10" s="220" t="s">
        <v>978</v>
      </c>
      <c r="N10" s="263" t="s">
        <v>1264</v>
      </c>
      <c r="O10" s="264" t="s">
        <v>1260</v>
      </c>
      <c r="P10" s="265" t="s">
        <v>978</v>
      </c>
      <c r="Q10" s="157" t="s">
        <v>1083</v>
      </c>
      <c r="U10" s="157" t="s">
        <v>1106</v>
      </c>
      <c r="V10" s="157" t="s">
        <v>1132</v>
      </c>
      <c r="AB10" s="75" t="s">
        <v>1211</v>
      </c>
    </row>
    <row r="12" spans="1:28" s="109" customFormat="1" ht="15.75" x14ac:dyDescent="0.25">
      <c r="A12" s="97"/>
      <c r="B12" s="97"/>
      <c r="C12" s="98" t="s">
        <v>394</v>
      </c>
      <c r="D12" s="97"/>
      <c r="E12" s="97"/>
      <c r="F12" s="97"/>
      <c r="G12" s="97"/>
      <c r="H12" s="97"/>
      <c r="I12" s="97"/>
      <c r="J12" s="99">
        <v>412574.05</v>
      </c>
      <c r="Q12" s="327" t="s">
        <v>1092</v>
      </c>
    </row>
    <row r="13" spans="1:28" s="110" customFormat="1" ht="22.5" x14ac:dyDescent="0.2">
      <c r="D13" s="111" t="s">
        <v>3</v>
      </c>
      <c r="E13" s="112" t="s">
        <v>66</v>
      </c>
      <c r="F13" s="112" t="s">
        <v>67</v>
      </c>
      <c r="J13" s="113">
        <v>412574.05</v>
      </c>
      <c r="Q13" s="327"/>
      <c r="U13" s="150" t="s">
        <v>1115</v>
      </c>
      <c r="V13" s="195" t="s">
        <v>1138</v>
      </c>
    </row>
    <row r="14" spans="1:28" s="110" customFormat="1" ht="12.75" x14ac:dyDescent="0.2">
      <c r="C14" s="252"/>
      <c r="D14" s="253" t="s">
        <v>3</v>
      </c>
      <c r="E14" s="254" t="s">
        <v>7</v>
      </c>
      <c r="F14" s="254" t="s">
        <v>68</v>
      </c>
      <c r="G14" s="252"/>
      <c r="H14" s="252"/>
      <c r="I14" s="252"/>
      <c r="J14" s="255">
        <v>214553.75000000006</v>
      </c>
      <c r="K14" s="252"/>
      <c r="L14" s="252"/>
      <c r="M14" s="258">
        <f>SUM(M15:M40)</f>
        <v>-2556.8820999999998</v>
      </c>
      <c r="N14" s="252"/>
      <c r="O14" s="252"/>
      <c r="P14" s="258">
        <f>SUM(P15:P40)</f>
        <v>211996.84425000002</v>
      </c>
      <c r="Q14" s="327"/>
    </row>
    <row r="15" spans="1:28" s="109" customFormat="1" ht="60" x14ac:dyDescent="0.2">
      <c r="A15" s="97"/>
      <c r="B15" s="116"/>
      <c r="C15" s="117" t="s">
        <v>7</v>
      </c>
      <c r="D15" s="117" t="s">
        <v>69</v>
      </c>
      <c r="E15" s="118" t="s">
        <v>79</v>
      </c>
      <c r="F15" s="119" t="s">
        <v>80</v>
      </c>
      <c r="G15" s="120" t="s">
        <v>72</v>
      </c>
      <c r="H15" s="121">
        <v>1.76</v>
      </c>
      <c r="I15" s="122">
        <v>26.3</v>
      </c>
      <c r="J15" s="122">
        <v>46.29</v>
      </c>
      <c r="K15" s="85">
        <v>0</v>
      </c>
      <c r="L15" s="86">
        <f>I15</f>
        <v>26.3</v>
      </c>
      <c r="M15" s="277">
        <f>K15*L15</f>
        <v>0</v>
      </c>
      <c r="N15" s="87">
        <f>H15+K15</f>
        <v>1.76</v>
      </c>
      <c r="O15" s="88">
        <f>I15</f>
        <v>26.3</v>
      </c>
      <c r="P15" s="278">
        <f>N15*O15</f>
        <v>46.288000000000004</v>
      </c>
      <c r="Q15" s="109" t="s">
        <v>1008</v>
      </c>
      <c r="U15" s="109" t="s">
        <v>1118</v>
      </c>
    </row>
    <row r="16" spans="1:28" s="109" customFormat="1" ht="60" x14ac:dyDescent="0.2">
      <c r="A16" s="97"/>
      <c r="B16" s="116"/>
      <c r="C16" s="117" t="s">
        <v>8</v>
      </c>
      <c r="D16" s="117" t="s">
        <v>69</v>
      </c>
      <c r="E16" s="118" t="s">
        <v>314</v>
      </c>
      <c r="F16" s="119" t="s">
        <v>315</v>
      </c>
      <c r="G16" s="120" t="s">
        <v>72</v>
      </c>
      <c r="H16" s="121">
        <v>1.76</v>
      </c>
      <c r="I16" s="122">
        <v>519.33000000000004</v>
      </c>
      <c r="J16" s="122">
        <v>914.02</v>
      </c>
      <c r="K16" s="85">
        <v>0</v>
      </c>
      <c r="L16" s="86">
        <f t="shared" ref="L16:L79" si="0">I16</f>
        <v>519.33000000000004</v>
      </c>
      <c r="M16" s="277">
        <f t="shared" ref="M16:M79" si="1">K16*L16</f>
        <v>0</v>
      </c>
      <c r="N16" s="87">
        <f t="shared" ref="N16:N79" si="2">H16+K16</f>
        <v>1.76</v>
      </c>
      <c r="O16" s="88">
        <f t="shared" ref="O16:O79" si="3">I16</f>
        <v>519.33000000000004</v>
      </c>
      <c r="P16" s="278">
        <f t="shared" ref="P16:P79" si="4">N16*O16</f>
        <v>914.02080000000012</v>
      </c>
    </row>
    <row r="17" spans="1:17" s="109" customFormat="1" ht="60" x14ac:dyDescent="0.2">
      <c r="A17" s="97"/>
      <c r="B17" s="116"/>
      <c r="C17" s="117" t="s">
        <v>76</v>
      </c>
      <c r="D17" s="117" t="s">
        <v>69</v>
      </c>
      <c r="E17" s="118" t="s">
        <v>316</v>
      </c>
      <c r="F17" s="119" t="s">
        <v>317</v>
      </c>
      <c r="G17" s="120" t="s">
        <v>72</v>
      </c>
      <c r="H17" s="121">
        <v>1.76</v>
      </c>
      <c r="I17" s="122">
        <v>77.599999999999994</v>
      </c>
      <c r="J17" s="122">
        <v>136.58000000000001</v>
      </c>
      <c r="K17" s="85">
        <v>0</v>
      </c>
      <c r="L17" s="86">
        <f t="shared" si="0"/>
        <v>77.599999999999994</v>
      </c>
      <c r="M17" s="277">
        <f t="shared" si="1"/>
        <v>0</v>
      </c>
      <c r="N17" s="87">
        <f t="shared" si="2"/>
        <v>1.76</v>
      </c>
      <c r="O17" s="88">
        <f t="shared" si="3"/>
        <v>77.599999999999994</v>
      </c>
      <c r="P17" s="278">
        <f t="shared" si="4"/>
        <v>136.57599999999999</v>
      </c>
    </row>
    <row r="18" spans="1:17" s="109" customFormat="1" ht="48" x14ac:dyDescent="0.2">
      <c r="A18" s="97"/>
      <c r="B18" s="116"/>
      <c r="C18" s="117" t="s">
        <v>73</v>
      </c>
      <c r="D18" s="117" t="s">
        <v>69</v>
      </c>
      <c r="E18" s="118" t="s">
        <v>85</v>
      </c>
      <c r="F18" s="119" t="s">
        <v>86</v>
      </c>
      <c r="G18" s="120" t="s">
        <v>72</v>
      </c>
      <c r="H18" s="121">
        <v>3.36</v>
      </c>
      <c r="I18" s="122">
        <v>55.24</v>
      </c>
      <c r="J18" s="122">
        <v>185.61</v>
      </c>
      <c r="K18" s="85">
        <v>0</v>
      </c>
      <c r="L18" s="86">
        <f t="shared" si="0"/>
        <v>55.24</v>
      </c>
      <c r="M18" s="277">
        <f t="shared" si="1"/>
        <v>0</v>
      </c>
      <c r="N18" s="87">
        <f t="shared" si="2"/>
        <v>3.36</v>
      </c>
      <c r="O18" s="88">
        <f t="shared" si="3"/>
        <v>55.24</v>
      </c>
      <c r="P18" s="278">
        <f t="shared" si="4"/>
        <v>185.60640000000001</v>
      </c>
    </row>
    <row r="19" spans="1:17" s="109" customFormat="1" ht="84" x14ac:dyDescent="0.2">
      <c r="A19" s="97"/>
      <c r="B19" s="116"/>
      <c r="C19" s="117" t="s">
        <v>81</v>
      </c>
      <c r="D19" s="117" t="s">
        <v>69</v>
      </c>
      <c r="E19" s="118" t="s">
        <v>88</v>
      </c>
      <c r="F19" s="119" t="s">
        <v>89</v>
      </c>
      <c r="G19" s="120" t="s">
        <v>61</v>
      </c>
      <c r="H19" s="121">
        <v>1.1000000000000001</v>
      </c>
      <c r="I19" s="122">
        <v>170.98</v>
      </c>
      <c r="J19" s="122">
        <v>188.08</v>
      </c>
      <c r="K19" s="85">
        <f>ROUND(51.1/51.72*H19-H19,2)</f>
        <v>-0.01</v>
      </c>
      <c r="L19" s="86">
        <f t="shared" si="0"/>
        <v>170.98</v>
      </c>
      <c r="M19" s="277">
        <f t="shared" si="1"/>
        <v>-1.7098</v>
      </c>
      <c r="N19" s="87">
        <f t="shared" si="2"/>
        <v>1.0900000000000001</v>
      </c>
      <c r="O19" s="88">
        <f t="shared" si="3"/>
        <v>170.98</v>
      </c>
      <c r="P19" s="278">
        <f t="shared" si="4"/>
        <v>186.3682</v>
      </c>
    </row>
    <row r="20" spans="1:17" s="109" customFormat="1" ht="48" x14ac:dyDescent="0.2">
      <c r="A20" s="97"/>
      <c r="B20" s="116"/>
      <c r="C20" s="117" t="s">
        <v>84</v>
      </c>
      <c r="D20" s="117" t="s">
        <v>69</v>
      </c>
      <c r="E20" s="118" t="s">
        <v>297</v>
      </c>
      <c r="F20" s="119" t="s">
        <v>298</v>
      </c>
      <c r="G20" s="120" t="s">
        <v>62</v>
      </c>
      <c r="H20" s="121">
        <v>5.5129999999999999</v>
      </c>
      <c r="I20" s="122">
        <v>57.87</v>
      </c>
      <c r="J20" s="122">
        <v>319.04000000000002</v>
      </c>
      <c r="K20" s="85">
        <f t="shared" ref="K20:K42" si="5">ROUND(51.1/51.72*H20-H20,2)</f>
        <v>-7.0000000000000007E-2</v>
      </c>
      <c r="L20" s="86">
        <f t="shared" si="0"/>
        <v>57.87</v>
      </c>
      <c r="M20" s="277">
        <f t="shared" si="1"/>
        <v>-4.0509000000000004</v>
      </c>
      <c r="N20" s="87">
        <f t="shared" si="2"/>
        <v>5.4429999999999996</v>
      </c>
      <c r="O20" s="88">
        <f t="shared" si="3"/>
        <v>57.87</v>
      </c>
      <c r="P20" s="278">
        <f t="shared" si="4"/>
        <v>314.98640999999998</v>
      </c>
    </row>
    <row r="21" spans="1:17" s="109" customFormat="1" ht="36" x14ac:dyDescent="0.2">
      <c r="A21" s="97"/>
      <c r="B21" s="116"/>
      <c r="C21" s="117" t="s">
        <v>87</v>
      </c>
      <c r="D21" s="117" t="s">
        <v>69</v>
      </c>
      <c r="E21" s="118" t="s">
        <v>94</v>
      </c>
      <c r="F21" s="119" t="s">
        <v>95</v>
      </c>
      <c r="G21" s="120" t="s">
        <v>62</v>
      </c>
      <c r="H21" s="121">
        <v>4.58</v>
      </c>
      <c r="I21" s="122">
        <v>257.77999999999997</v>
      </c>
      <c r="J21" s="122">
        <v>1180.6300000000001</v>
      </c>
      <c r="K21" s="85">
        <f t="shared" si="5"/>
        <v>-0.05</v>
      </c>
      <c r="L21" s="86">
        <f t="shared" si="0"/>
        <v>257.77999999999997</v>
      </c>
      <c r="M21" s="277">
        <f t="shared" si="1"/>
        <v>-12.888999999999999</v>
      </c>
      <c r="N21" s="87">
        <f t="shared" si="2"/>
        <v>4.53</v>
      </c>
      <c r="O21" s="88">
        <f t="shared" si="3"/>
        <v>257.77999999999997</v>
      </c>
      <c r="P21" s="278">
        <f t="shared" si="4"/>
        <v>1167.7433999999998</v>
      </c>
    </row>
    <row r="22" spans="1:17" s="109" customFormat="1" ht="48" x14ac:dyDescent="0.2">
      <c r="A22" s="97"/>
      <c r="B22" s="116"/>
      <c r="C22" s="117" t="s">
        <v>90</v>
      </c>
      <c r="D22" s="117" t="s">
        <v>69</v>
      </c>
      <c r="E22" s="118" t="s">
        <v>96</v>
      </c>
      <c r="F22" s="119" t="s">
        <v>97</v>
      </c>
      <c r="G22" s="120" t="s">
        <v>62</v>
      </c>
      <c r="H22" s="121">
        <v>30.51</v>
      </c>
      <c r="I22" s="122">
        <v>234.11</v>
      </c>
      <c r="J22" s="122">
        <v>7142.7</v>
      </c>
      <c r="K22" s="85">
        <f t="shared" si="5"/>
        <v>-0.37</v>
      </c>
      <c r="L22" s="86">
        <f t="shared" si="0"/>
        <v>234.11</v>
      </c>
      <c r="M22" s="277">
        <f t="shared" si="1"/>
        <v>-86.620699999999999</v>
      </c>
      <c r="N22" s="87">
        <f t="shared" si="2"/>
        <v>30.14</v>
      </c>
      <c r="O22" s="88">
        <f t="shared" si="3"/>
        <v>234.11</v>
      </c>
      <c r="P22" s="278">
        <f t="shared" si="4"/>
        <v>7056.0754000000006</v>
      </c>
    </row>
    <row r="23" spans="1:17" s="109" customFormat="1" ht="48" x14ac:dyDescent="0.2">
      <c r="A23" s="97"/>
      <c r="B23" s="116"/>
      <c r="C23" s="117" t="s">
        <v>93</v>
      </c>
      <c r="D23" s="117" t="s">
        <v>69</v>
      </c>
      <c r="E23" s="118" t="s">
        <v>98</v>
      </c>
      <c r="F23" s="119" t="s">
        <v>99</v>
      </c>
      <c r="G23" s="120" t="s">
        <v>62</v>
      </c>
      <c r="H23" s="121">
        <v>61.03</v>
      </c>
      <c r="I23" s="122">
        <v>257.77999999999997</v>
      </c>
      <c r="J23" s="122">
        <v>15732.31</v>
      </c>
      <c r="K23" s="85">
        <f t="shared" si="5"/>
        <v>-0.73</v>
      </c>
      <c r="L23" s="86">
        <f t="shared" si="0"/>
        <v>257.77999999999997</v>
      </c>
      <c r="M23" s="277">
        <f t="shared" si="1"/>
        <v>-188.17939999999999</v>
      </c>
      <c r="N23" s="87">
        <f t="shared" si="2"/>
        <v>60.300000000000004</v>
      </c>
      <c r="O23" s="88">
        <f t="shared" si="3"/>
        <v>257.77999999999997</v>
      </c>
      <c r="P23" s="278">
        <f t="shared" si="4"/>
        <v>15544.134</v>
      </c>
    </row>
    <row r="24" spans="1:17" s="109" customFormat="1" ht="48" x14ac:dyDescent="0.2">
      <c r="A24" s="97"/>
      <c r="B24" s="116"/>
      <c r="C24" s="117" t="s">
        <v>26</v>
      </c>
      <c r="D24" s="117" t="s">
        <v>69</v>
      </c>
      <c r="E24" s="118" t="s">
        <v>100</v>
      </c>
      <c r="F24" s="119" t="s">
        <v>101</v>
      </c>
      <c r="G24" s="120" t="s">
        <v>62</v>
      </c>
      <c r="H24" s="121">
        <v>61.03</v>
      </c>
      <c r="I24" s="122">
        <v>315.64999999999998</v>
      </c>
      <c r="J24" s="122">
        <v>19264.12</v>
      </c>
      <c r="K24" s="85">
        <f t="shared" si="5"/>
        <v>-0.73</v>
      </c>
      <c r="L24" s="86">
        <f t="shared" si="0"/>
        <v>315.64999999999998</v>
      </c>
      <c r="M24" s="277">
        <f t="shared" si="1"/>
        <v>-230.42449999999997</v>
      </c>
      <c r="N24" s="87">
        <f t="shared" si="2"/>
        <v>60.300000000000004</v>
      </c>
      <c r="O24" s="88">
        <f t="shared" si="3"/>
        <v>315.64999999999998</v>
      </c>
      <c r="P24" s="278">
        <f t="shared" si="4"/>
        <v>19033.695</v>
      </c>
    </row>
    <row r="25" spans="1:17" s="109" customFormat="1" ht="36" x14ac:dyDescent="0.2">
      <c r="A25" s="97"/>
      <c r="B25" s="116"/>
      <c r="C25" s="117" t="s">
        <v>28</v>
      </c>
      <c r="D25" s="117" t="s">
        <v>69</v>
      </c>
      <c r="E25" s="118" t="s">
        <v>102</v>
      </c>
      <c r="F25" s="119" t="s">
        <v>103</v>
      </c>
      <c r="G25" s="120" t="s">
        <v>72</v>
      </c>
      <c r="H25" s="121">
        <v>254.91</v>
      </c>
      <c r="I25" s="122">
        <v>69.709999999999994</v>
      </c>
      <c r="J25" s="122">
        <v>17769.78</v>
      </c>
      <c r="K25" s="85">
        <f t="shared" si="5"/>
        <v>-3.06</v>
      </c>
      <c r="L25" s="86">
        <f t="shared" si="0"/>
        <v>69.709999999999994</v>
      </c>
      <c r="M25" s="277">
        <f t="shared" si="1"/>
        <v>-213.31259999999997</v>
      </c>
      <c r="N25" s="87">
        <f t="shared" si="2"/>
        <v>251.85</v>
      </c>
      <c r="O25" s="88">
        <f t="shared" si="3"/>
        <v>69.709999999999994</v>
      </c>
      <c r="P25" s="278">
        <f t="shared" si="4"/>
        <v>17556.463499999998</v>
      </c>
    </row>
    <row r="26" spans="1:17" s="109" customFormat="1" ht="36" x14ac:dyDescent="0.2">
      <c r="A26" s="97"/>
      <c r="B26" s="116"/>
      <c r="C26" s="117" t="s">
        <v>30</v>
      </c>
      <c r="D26" s="117" t="s">
        <v>69</v>
      </c>
      <c r="E26" s="118" t="s">
        <v>104</v>
      </c>
      <c r="F26" s="119" t="s">
        <v>105</v>
      </c>
      <c r="G26" s="120" t="s">
        <v>72</v>
      </c>
      <c r="H26" s="121">
        <v>254.91</v>
      </c>
      <c r="I26" s="122">
        <v>80.23</v>
      </c>
      <c r="J26" s="122">
        <v>20451.43</v>
      </c>
      <c r="K26" s="85">
        <f t="shared" si="5"/>
        <v>-3.06</v>
      </c>
      <c r="L26" s="86">
        <f t="shared" si="0"/>
        <v>80.23</v>
      </c>
      <c r="M26" s="277">
        <f t="shared" si="1"/>
        <v>-245.50380000000001</v>
      </c>
      <c r="N26" s="87">
        <f t="shared" si="2"/>
        <v>251.85</v>
      </c>
      <c r="O26" s="88">
        <f t="shared" si="3"/>
        <v>80.23</v>
      </c>
      <c r="P26" s="278">
        <f t="shared" si="4"/>
        <v>20205.925500000001</v>
      </c>
    </row>
    <row r="27" spans="1:17" s="109" customFormat="1" ht="48" x14ac:dyDescent="0.2">
      <c r="A27" s="97"/>
      <c r="B27" s="116"/>
      <c r="C27" s="117" t="s">
        <v>32</v>
      </c>
      <c r="D27" s="117" t="s">
        <v>69</v>
      </c>
      <c r="E27" s="118" t="s">
        <v>106</v>
      </c>
      <c r="F27" s="119" t="s">
        <v>107</v>
      </c>
      <c r="G27" s="120" t="s">
        <v>62</v>
      </c>
      <c r="H27" s="121">
        <v>91.542000000000002</v>
      </c>
      <c r="I27" s="122">
        <v>13.15</v>
      </c>
      <c r="J27" s="122">
        <v>1203.78</v>
      </c>
      <c r="K27" s="85">
        <f t="shared" si="5"/>
        <v>-1.1000000000000001</v>
      </c>
      <c r="L27" s="86">
        <f t="shared" si="0"/>
        <v>13.15</v>
      </c>
      <c r="M27" s="277">
        <f t="shared" si="1"/>
        <v>-14.465000000000002</v>
      </c>
      <c r="N27" s="87">
        <f t="shared" si="2"/>
        <v>90.442000000000007</v>
      </c>
      <c r="O27" s="88">
        <f t="shared" si="3"/>
        <v>13.15</v>
      </c>
      <c r="P27" s="278">
        <f t="shared" si="4"/>
        <v>1189.3123000000001</v>
      </c>
    </row>
    <row r="28" spans="1:17" s="109" customFormat="1" ht="48" x14ac:dyDescent="0.2">
      <c r="A28" s="97"/>
      <c r="B28" s="116"/>
      <c r="C28" s="117" t="s">
        <v>34</v>
      </c>
      <c r="D28" s="117" t="s">
        <v>69</v>
      </c>
      <c r="E28" s="118" t="s">
        <v>108</v>
      </c>
      <c r="F28" s="119" t="s">
        <v>109</v>
      </c>
      <c r="G28" s="120" t="s">
        <v>62</v>
      </c>
      <c r="H28" s="121">
        <v>258.61</v>
      </c>
      <c r="I28" s="122">
        <v>187.42</v>
      </c>
      <c r="J28" s="122">
        <v>48468.69</v>
      </c>
      <c r="K28" s="85">
        <f t="shared" si="5"/>
        <v>-3.1</v>
      </c>
      <c r="L28" s="86">
        <f t="shared" si="0"/>
        <v>187.42</v>
      </c>
      <c r="M28" s="277">
        <f t="shared" si="1"/>
        <v>-581.00199999999995</v>
      </c>
      <c r="N28" s="87">
        <f t="shared" si="2"/>
        <v>255.51000000000002</v>
      </c>
      <c r="O28" s="88">
        <f t="shared" si="3"/>
        <v>187.42</v>
      </c>
      <c r="P28" s="278">
        <f t="shared" si="4"/>
        <v>47887.684200000003</v>
      </c>
    </row>
    <row r="29" spans="1:17" s="109" customFormat="1" ht="36" x14ac:dyDescent="0.2">
      <c r="A29" s="97"/>
      <c r="B29" s="116"/>
      <c r="C29" s="117" t="s">
        <v>1</v>
      </c>
      <c r="D29" s="117" t="s">
        <v>69</v>
      </c>
      <c r="E29" s="118" t="s">
        <v>110</v>
      </c>
      <c r="F29" s="119" t="s">
        <v>111</v>
      </c>
      <c r="G29" s="120" t="s">
        <v>62</v>
      </c>
      <c r="H29" s="121">
        <v>152.57</v>
      </c>
      <c r="I29" s="122">
        <v>44.72</v>
      </c>
      <c r="J29" s="122">
        <v>6822.93</v>
      </c>
      <c r="K29" s="85">
        <f t="shared" si="5"/>
        <v>-1.83</v>
      </c>
      <c r="L29" s="86">
        <f t="shared" si="0"/>
        <v>44.72</v>
      </c>
      <c r="M29" s="277">
        <f t="shared" si="1"/>
        <v>-81.837599999999995</v>
      </c>
      <c r="N29" s="87">
        <f t="shared" si="2"/>
        <v>150.73999999999998</v>
      </c>
      <c r="O29" s="88">
        <f t="shared" si="3"/>
        <v>44.72</v>
      </c>
      <c r="P29" s="278">
        <f t="shared" si="4"/>
        <v>6741.0927999999985</v>
      </c>
    </row>
    <row r="30" spans="1:17" s="109" customFormat="1" ht="48" x14ac:dyDescent="0.2">
      <c r="A30" s="97"/>
      <c r="B30" s="116"/>
      <c r="C30" s="117" t="s">
        <v>37</v>
      </c>
      <c r="D30" s="117" t="s">
        <v>69</v>
      </c>
      <c r="E30" s="118" t="s">
        <v>112</v>
      </c>
      <c r="F30" s="119" t="s">
        <v>113</v>
      </c>
      <c r="G30" s="120" t="s">
        <v>62</v>
      </c>
      <c r="H30" s="121">
        <v>46.4</v>
      </c>
      <c r="I30" s="122">
        <v>247.39</v>
      </c>
      <c r="J30" s="122">
        <v>11478.9</v>
      </c>
      <c r="K30" s="85">
        <f t="shared" si="5"/>
        <v>-0.56000000000000005</v>
      </c>
      <c r="L30" s="86">
        <f t="shared" si="0"/>
        <v>247.39</v>
      </c>
      <c r="M30" s="277">
        <f t="shared" si="1"/>
        <v>-138.5384</v>
      </c>
      <c r="N30" s="87">
        <f t="shared" si="2"/>
        <v>45.839999999999996</v>
      </c>
      <c r="O30" s="88">
        <f t="shared" si="3"/>
        <v>247.39</v>
      </c>
      <c r="P30" s="278">
        <f t="shared" si="4"/>
        <v>11340.357599999999</v>
      </c>
    </row>
    <row r="31" spans="1:17" s="109" customFormat="1" ht="12" x14ac:dyDescent="0.2">
      <c r="A31" s="97"/>
      <c r="B31" s="116"/>
      <c r="C31" s="117" t="s">
        <v>39</v>
      </c>
      <c r="D31" s="117" t="s">
        <v>69</v>
      </c>
      <c r="E31" s="118" t="s">
        <v>115</v>
      </c>
      <c r="F31" s="119" t="s">
        <v>116</v>
      </c>
      <c r="G31" s="120" t="s">
        <v>62</v>
      </c>
      <c r="H31" s="121">
        <v>46.4</v>
      </c>
      <c r="I31" s="122">
        <v>11.84</v>
      </c>
      <c r="J31" s="122">
        <v>549.38</v>
      </c>
      <c r="K31" s="85">
        <f t="shared" si="5"/>
        <v>-0.56000000000000005</v>
      </c>
      <c r="L31" s="86">
        <f t="shared" si="0"/>
        <v>11.84</v>
      </c>
      <c r="M31" s="277">
        <f t="shared" si="1"/>
        <v>-6.6304000000000007</v>
      </c>
      <c r="N31" s="87">
        <f t="shared" si="2"/>
        <v>45.839999999999996</v>
      </c>
      <c r="O31" s="88">
        <f t="shared" si="3"/>
        <v>11.84</v>
      </c>
      <c r="P31" s="278">
        <f t="shared" si="4"/>
        <v>542.74559999999997</v>
      </c>
    </row>
    <row r="32" spans="1:17" s="109" customFormat="1" ht="36" x14ac:dyDescent="0.2">
      <c r="A32" s="97"/>
      <c r="B32" s="116"/>
      <c r="C32" s="117" t="s">
        <v>41</v>
      </c>
      <c r="D32" s="117" t="s">
        <v>69</v>
      </c>
      <c r="E32" s="118" t="s">
        <v>118</v>
      </c>
      <c r="F32" s="119" t="s">
        <v>119</v>
      </c>
      <c r="G32" s="120" t="s">
        <v>120</v>
      </c>
      <c r="H32" s="121">
        <v>74.153999999999996</v>
      </c>
      <c r="I32" s="122">
        <v>116</v>
      </c>
      <c r="J32" s="122">
        <v>8601.86</v>
      </c>
      <c r="K32" s="85">
        <f t="shared" si="5"/>
        <v>-0.89</v>
      </c>
      <c r="L32" s="86">
        <f t="shared" si="0"/>
        <v>116</v>
      </c>
      <c r="M32" s="277">
        <f t="shared" si="1"/>
        <v>-103.24</v>
      </c>
      <c r="N32" s="87">
        <f t="shared" si="2"/>
        <v>73.263999999999996</v>
      </c>
      <c r="O32" s="88">
        <f t="shared" si="3"/>
        <v>116</v>
      </c>
      <c r="P32" s="278">
        <f t="shared" si="4"/>
        <v>8498.6239999999998</v>
      </c>
      <c r="Q32" s="148" t="s">
        <v>1091</v>
      </c>
    </row>
    <row r="33" spans="1:30" s="109" customFormat="1" ht="36" x14ac:dyDescent="0.2">
      <c r="A33" s="97"/>
      <c r="B33" s="116"/>
      <c r="C33" s="117" t="s">
        <v>114</v>
      </c>
      <c r="D33" s="117" t="s">
        <v>69</v>
      </c>
      <c r="E33" s="118" t="s">
        <v>121</v>
      </c>
      <c r="F33" s="119" t="s">
        <v>122</v>
      </c>
      <c r="G33" s="120" t="s">
        <v>62</v>
      </c>
      <c r="H33" s="121">
        <v>106.04</v>
      </c>
      <c r="I33" s="122">
        <v>286.72000000000003</v>
      </c>
      <c r="J33" s="122">
        <v>30403.79</v>
      </c>
      <c r="K33" s="85">
        <f t="shared" si="5"/>
        <v>-1.27</v>
      </c>
      <c r="L33" s="86">
        <f t="shared" si="0"/>
        <v>286.72000000000003</v>
      </c>
      <c r="M33" s="277">
        <f t="shared" si="1"/>
        <v>-364.13440000000003</v>
      </c>
      <c r="N33" s="87">
        <f t="shared" si="2"/>
        <v>104.77000000000001</v>
      </c>
      <c r="O33" s="88">
        <f t="shared" si="3"/>
        <v>286.72000000000003</v>
      </c>
      <c r="P33" s="278">
        <f t="shared" si="4"/>
        <v>30039.654400000007</v>
      </c>
    </row>
    <row r="34" spans="1:30" s="109" customFormat="1" ht="60" x14ac:dyDescent="0.2">
      <c r="A34" s="97"/>
      <c r="B34" s="116"/>
      <c r="C34" s="117" t="s">
        <v>117</v>
      </c>
      <c r="D34" s="117" t="s">
        <v>69</v>
      </c>
      <c r="E34" s="118" t="s">
        <v>124</v>
      </c>
      <c r="F34" s="119" t="s">
        <v>125</v>
      </c>
      <c r="G34" s="120" t="s">
        <v>62</v>
      </c>
      <c r="H34" s="121">
        <v>29.08</v>
      </c>
      <c r="I34" s="122">
        <v>318.27999999999997</v>
      </c>
      <c r="J34" s="122">
        <v>9255.58</v>
      </c>
      <c r="K34" s="85">
        <f t="shared" si="5"/>
        <v>-0.35</v>
      </c>
      <c r="L34" s="86">
        <f t="shared" si="0"/>
        <v>318.27999999999997</v>
      </c>
      <c r="M34" s="277">
        <f t="shared" si="1"/>
        <v>-111.39799999999998</v>
      </c>
      <c r="N34" s="87">
        <f t="shared" si="2"/>
        <v>28.729999999999997</v>
      </c>
      <c r="O34" s="88">
        <f t="shared" si="3"/>
        <v>318.27999999999997</v>
      </c>
      <c r="P34" s="278">
        <f t="shared" si="4"/>
        <v>9144.1843999999983</v>
      </c>
    </row>
    <row r="35" spans="1:30" s="109" customFormat="1" ht="12" x14ac:dyDescent="0.2">
      <c r="A35" s="97"/>
      <c r="B35" s="116"/>
      <c r="C35" s="123" t="s">
        <v>0</v>
      </c>
      <c r="D35" s="123" t="s">
        <v>127</v>
      </c>
      <c r="E35" s="124" t="s">
        <v>128</v>
      </c>
      <c r="F35" s="125" t="s">
        <v>129</v>
      </c>
      <c r="G35" s="126" t="s">
        <v>120</v>
      </c>
      <c r="H35" s="127">
        <v>52.344000000000001</v>
      </c>
      <c r="I35" s="128">
        <v>190.76</v>
      </c>
      <c r="J35" s="128">
        <v>9985.14</v>
      </c>
      <c r="K35" s="85">
        <f t="shared" si="5"/>
        <v>-0.63</v>
      </c>
      <c r="L35" s="86">
        <f t="shared" si="0"/>
        <v>190.76</v>
      </c>
      <c r="M35" s="277">
        <f t="shared" si="1"/>
        <v>-120.1788</v>
      </c>
      <c r="N35" s="87">
        <f t="shared" si="2"/>
        <v>51.713999999999999</v>
      </c>
      <c r="O35" s="88">
        <f t="shared" si="3"/>
        <v>190.76</v>
      </c>
      <c r="P35" s="278">
        <f t="shared" si="4"/>
        <v>9864.9626399999997</v>
      </c>
    </row>
    <row r="36" spans="1:30" s="109" customFormat="1" ht="36" x14ac:dyDescent="0.2">
      <c r="A36" s="97"/>
      <c r="B36" s="116"/>
      <c r="C36" s="117" t="s">
        <v>123</v>
      </c>
      <c r="D36" s="117" t="s">
        <v>69</v>
      </c>
      <c r="E36" s="118" t="s">
        <v>299</v>
      </c>
      <c r="F36" s="119" t="s">
        <v>300</v>
      </c>
      <c r="G36" s="120" t="s">
        <v>72</v>
      </c>
      <c r="H36" s="121">
        <v>55.131999999999998</v>
      </c>
      <c r="I36" s="122">
        <v>18.41</v>
      </c>
      <c r="J36" s="122">
        <v>1014.98</v>
      </c>
      <c r="K36" s="85">
        <f t="shared" si="5"/>
        <v>-0.66</v>
      </c>
      <c r="L36" s="86">
        <f t="shared" si="0"/>
        <v>18.41</v>
      </c>
      <c r="M36" s="277">
        <f t="shared" si="1"/>
        <v>-12.150600000000001</v>
      </c>
      <c r="N36" s="87">
        <f t="shared" si="2"/>
        <v>54.472000000000001</v>
      </c>
      <c r="O36" s="88">
        <f t="shared" si="3"/>
        <v>18.41</v>
      </c>
      <c r="P36" s="278">
        <f t="shared" si="4"/>
        <v>1002.82952</v>
      </c>
    </row>
    <row r="37" spans="1:30" s="109" customFormat="1" ht="24" x14ac:dyDescent="0.2">
      <c r="A37" s="97"/>
      <c r="B37" s="116"/>
      <c r="C37" s="117" t="s">
        <v>126</v>
      </c>
      <c r="D37" s="117" t="s">
        <v>69</v>
      </c>
      <c r="E37" s="118" t="s">
        <v>301</v>
      </c>
      <c r="F37" s="119" t="s">
        <v>302</v>
      </c>
      <c r="G37" s="120" t="s">
        <v>72</v>
      </c>
      <c r="H37" s="121">
        <v>72.709999999999994</v>
      </c>
      <c r="I37" s="122">
        <v>27.62</v>
      </c>
      <c r="J37" s="122">
        <v>2008.25</v>
      </c>
      <c r="K37" s="85">
        <f t="shared" si="5"/>
        <v>-0.87</v>
      </c>
      <c r="L37" s="86">
        <f t="shared" si="0"/>
        <v>27.62</v>
      </c>
      <c r="M37" s="277">
        <f t="shared" si="1"/>
        <v>-24.029399999999999</v>
      </c>
      <c r="N37" s="87">
        <f t="shared" si="2"/>
        <v>71.839999999999989</v>
      </c>
      <c r="O37" s="88">
        <f t="shared" si="3"/>
        <v>27.62</v>
      </c>
      <c r="P37" s="278">
        <f t="shared" si="4"/>
        <v>1984.2207999999998</v>
      </c>
    </row>
    <row r="38" spans="1:30" s="109" customFormat="1" ht="12" x14ac:dyDescent="0.2">
      <c r="A38" s="97"/>
      <c r="B38" s="116"/>
      <c r="C38" s="117" t="s">
        <v>131</v>
      </c>
      <c r="D38" s="117" t="s">
        <v>69</v>
      </c>
      <c r="E38" s="118" t="s">
        <v>303</v>
      </c>
      <c r="F38" s="119" t="s">
        <v>304</v>
      </c>
      <c r="G38" s="120" t="s">
        <v>72</v>
      </c>
      <c r="H38" s="121">
        <v>72.709999999999994</v>
      </c>
      <c r="I38" s="122">
        <v>11.84</v>
      </c>
      <c r="J38" s="122">
        <v>860.89</v>
      </c>
      <c r="K38" s="85">
        <f t="shared" si="5"/>
        <v>-0.87</v>
      </c>
      <c r="L38" s="86">
        <f t="shared" si="0"/>
        <v>11.84</v>
      </c>
      <c r="M38" s="277">
        <f t="shared" si="1"/>
        <v>-10.300800000000001</v>
      </c>
      <c r="N38" s="87">
        <f t="shared" si="2"/>
        <v>71.839999999999989</v>
      </c>
      <c r="O38" s="88">
        <f t="shared" si="3"/>
        <v>11.84</v>
      </c>
      <c r="P38" s="278">
        <f t="shared" si="4"/>
        <v>850.58559999999989</v>
      </c>
    </row>
    <row r="39" spans="1:30" s="109" customFormat="1" ht="12" x14ac:dyDescent="0.2">
      <c r="A39" s="97"/>
      <c r="B39" s="116"/>
      <c r="C39" s="123" t="s">
        <v>135</v>
      </c>
      <c r="D39" s="123" t="s">
        <v>127</v>
      </c>
      <c r="E39" s="124" t="s">
        <v>305</v>
      </c>
      <c r="F39" s="125" t="s">
        <v>306</v>
      </c>
      <c r="G39" s="126" t="s">
        <v>307</v>
      </c>
      <c r="H39" s="127">
        <v>1.091</v>
      </c>
      <c r="I39" s="128">
        <v>170.98</v>
      </c>
      <c r="J39" s="128">
        <v>186.54</v>
      </c>
      <c r="K39" s="85">
        <f t="shared" si="5"/>
        <v>-0.01</v>
      </c>
      <c r="L39" s="86">
        <f t="shared" si="0"/>
        <v>170.98</v>
      </c>
      <c r="M39" s="277">
        <f t="shared" si="1"/>
        <v>-1.7098</v>
      </c>
      <c r="N39" s="87">
        <f t="shared" si="2"/>
        <v>1.081</v>
      </c>
      <c r="O39" s="88">
        <f t="shared" si="3"/>
        <v>170.98</v>
      </c>
      <c r="P39" s="278">
        <f t="shared" si="4"/>
        <v>184.82937999999999</v>
      </c>
    </row>
    <row r="40" spans="1:30" s="109" customFormat="1" ht="24" x14ac:dyDescent="0.2">
      <c r="A40" s="97"/>
      <c r="B40" s="116"/>
      <c r="C40" s="117" t="s">
        <v>139</v>
      </c>
      <c r="D40" s="117" t="s">
        <v>69</v>
      </c>
      <c r="E40" s="118" t="s">
        <v>308</v>
      </c>
      <c r="F40" s="119" t="s">
        <v>309</v>
      </c>
      <c r="G40" s="120" t="s">
        <v>72</v>
      </c>
      <c r="H40" s="121">
        <v>72.709999999999994</v>
      </c>
      <c r="I40" s="122">
        <v>5.26</v>
      </c>
      <c r="J40" s="122">
        <v>382.45</v>
      </c>
      <c r="K40" s="85">
        <f t="shared" si="5"/>
        <v>-0.87</v>
      </c>
      <c r="L40" s="86">
        <f t="shared" si="0"/>
        <v>5.26</v>
      </c>
      <c r="M40" s="277">
        <f t="shared" si="1"/>
        <v>-4.5762</v>
      </c>
      <c r="N40" s="87">
        <f t="shared" si="2"/>
        <v>71.839999999999989</v>
      </c>
      <c r="O40" s="88">
        <f t="shared" si="3"/>
        <v>5.26</v>
      </c>
      <c r="P40" s="278">
        <f t="shared" si="4"/>
        <v>377.87839999999994</v>
      </c>
    </row>
    <row r="41" spans="1:30" s="110" customFormat="1" ht="12.75" x14ac:dyDescent="0.2">
      <c r="C41" s="245"/>
      <c r="D41" s="246" t="s">
        <v>3</v>
      </c>
      <c r="E41" s="247" t="s">
        <v>76</v>
      </c>
      <c r="F41" s="247" t="s">
        <v>130</v>
      </c>
      <c r="G41" s="245"/>
      <c r="H41" s="245"/>
      <c r="I41" s="245"/>
      <c r="J41" s="248">
        <v>1700.55</v>
      </c>
      <c r="K41" s="243"/>
      <c r="L41" s="244"/>
      <c r="M41" s="279">
        <f>M42</f>
        <v>-20.3856</v>
      </c>
      <c r="N41" s="311"/>
      <c r="O41" s="283"/>
      <c r="P41" s="279">
        <f>P42</f>
        <v>1680.1680000000001</v>
      </c>
    </row>
    <row r="42" spans="1:30" s="109" customFormat="1" ht="12" x14ac:dyDescent="0.2">
      <c r="A42" s="97"/>
      <c r="B42" s="116"/>
      <c r="C42" s="117" t="s">
        <v>142</v>
      </c>
      <c r="D42" s="117" t="s">
        <v>69</v>
      </c>
      <c r="E42" s="118" t="s">
        <v>132</v>
      </c>
      <c r="F42" s="119" t="s">
        <v>133</v>
      </c>
      <c r="G42" s="120" t="s">
        <v>61</v>
      </c>
      <c r="H42" s="121">
        <v>51.72</v>
      </c>
      <c r="I42" s="122">
        <v>32.880000000000003</v>
      </c>
      <c r="J42" s="122">
        <v>1700.55</v>
      </c>
      <c r="K42" s="85">
        <f t="shared" si="5"/>
        <v>-0.62</v>
      </c>
      <c r="L42" s="86">
        <f t="shared" si="0"/>
        <v>32.880000000000003</v>
      </c>
      <c r="M42" s="277">
        <f t="shared" si="1"/>
        <v>-20.3856</v>
      </c>
      <c r="N42" s="87">
        <f t="shared" si="2"/>
        <v>51.1</v>
      </c>
      <c r="O42" s="88">
        <f t="shared" si="3"/>
        <v>32.880000000000003</v>
      </c>
      <c r="P42" s="278">
        <f t="shared" si="4"/>
        <v>1680.1680000000001</v>
      </c>
    </row>
    <row r="43" spans="1:30" s="110" customFormat="1" ht="12.75" x14ac:dyDescent="0.2">
      <c r="C43" s="245"/>
      <c r="D43" s="246" t="s">
        <v>3</v>
      </c>
      <c r="E43" s="247" t="s">
        <v>73</v>
      </c>
      <c r="F43" s="247" t="s">
        <v>134</v>
      </c>
      <c r="G43" s="245"/>
      <c r="H43" s="245"/>
      <c r="I43" s="245"/>
      <c r="J43" s="248">
        <v>1840</v>
      </c>
      <c r="K43" s="243"/>
      <c r="L43" s="244"/>
      <c r="M43" s="279">
        <f>SUM(M44:M46)</f>
        <v>0</v>
      </c>
      <c r="N43" s="311"/>
      <c r="O43" s="283"/>
      <c r="P43" s="279">
        <f>SUM(P44:P46)</f>
        <v>1839.9999999999998</v>
      </c>
    </row>
    <row r="44" spans="1:30" s="109" customFormat="1" ht="24" x14ac:dyDescent="0.2">
      <c r="A44" s="97"/>
      <c r="B44" s="116"/>
      <c r="C44" s="117" t="s">
        <v>145</v>
      </c>
      <c r="D44" s="117" t="s">
        <v>69</v>
      </c>
      <c r="E44" s="118" t="s">
        <v>136</v>
      </c>
      <c r="F44" s="119" t="s">
        <v>137</v>
      </c>
      <c r="G44" s="120" t="s">
        <v>138</v>
      </c>
      <c r="H44" s="121">
        <v>4</v>
      </c>
      <c r="I44" s="122">
        <v>122.32</v>
      </c>
      <c r="J44" s="122">
        <v>489.28</v>
      </c>
      <c r="K44" s="85">
        <v>0</v>
      </c>
      <c r="L44" s="86">
        <f t="shared" si="0"/>
        <v>122.32</v>
      </c>
      <c r="M44" s="277">
        <f t="shared" si="1"/>
        <v>0</v>
      </c>
      <c r="N44" s="87">
        <f t="shared" si="2"/>
        <v>4</v>
      </c>
      <c r="O44" s="88">
        <f t="shared" si="3"/>
        <v>122.32</v>
      </c>
      <c r="P44" s="278">
        <f t="shared" si="4"/>
        <v>489.28</v>
      </c>
    </row>
    <row r="45" spans="1:30" s="109" customFormat="1" ht="24" x14ac:dyDescent="0.2">
      <c r="A45" s="97"/>
      <c r="B45" s="116"/>
      <c r="C45" s="123" t="s">
        <v>148</v>
      </c>
      <c r="D45" s="123" t="s">
        <v>127</v>
      </c>
      <c r="E45" s="124" t="s">
        <v>143</v>
      </c>
      <c r="F45" s="125" t="s">
        <v>144</v>
      </c>
      <c r="G45" s="126" t="s">
        <v>138</v>
      </c>
      <c r="H45" s="127">
        <v>1</v>
      </c>
      <c r="I45" s="128">
        <v>313.02</v>
      </c>
      <c r="J45" s="128">
        <v>313.02</v>
      </c>
      <c r="K45" s="85">
        <v>0</v>
      </c>
      <c r="L45" s="86">
        <f t="shared" si="0"/>
        <v>313.02</v>
      </c>
      <c r="M45" s="277">
        <f t="shared" si="1"/>
        <v>0</v>
      </c>
      <c r="N45" s="87">
        <f t="shared" si="2"/>
        <v>1</v>
      </c>
      <c r="O45" s="88">
        <f t="shared" si="3"/>
        <v>313.02</v>
      </c>
      <c r="P45" s="278">
        <f t="shared" si="4"/>
        <v>313.02</v>
      </c>
    </row>
    <row r="46" spans="1:30" s="109" customFormat="1" ht="12" x14ac:dyDescent="0.2">
      <c r="A46" s="97"/>
      <c r="B46" s="116"/>
      <c r="C46" s="123" t="s">
        <v>151</v>
      </c>
      <c r="D46" s="123" t="s">
        <v>127</v>
      </c>
      <c r="E46" s="124" t="s">
        <v>146</v>
      </c>
      <c r="F46" s="125" t="s">
        <v>147</v>
      </c>
      <c r="G46" s="126" t="s">
        <v>138</v>
      </c>
      <c r="H46" s="127">
        <v>3</v>
      </c>
      <c r="I46" s="128">
        <v>345.9</v>
      </c>
      <c r="J46" s="128">
        <v>1037.7</v>
      </c>
      <c r="K46" s="85">
        <v>0</v>
      </c>
      <c r="L46" s="86">
        <f t="shared" si="0"/>
        <v>345.9</v>
      </c>
      <c r="M46" s="277">
        <f t="shared" si="1"/>
        <v>0</v>
      </c>
      <c r="N46" s="87">
        <f t="shared" si="2"/>
        <v>3</v>
      </c>
      <c r="O46" s="88">
        <f t="shared" si="3"/>
        <v>345.9</v>
      </c>
      <c r="P46" s="278">
        <f t="shared" si="4"/>
        <v>1037.6999999999998</v>
      </c>
    </row>
    <row r="47" spans="1:30" s="110" customFormat="1" ht="12.75" x14ac:dyDescent="0.2">
      <c r="C47" s="245"/>
      <c r="D47" s="246" t="s">
        <v>3</v>
      </c>
      <c r="E47" s="247" t="s">
        <v>81</v>
      </c>
      <c r="F47" s="247" t="s">
        <v>154</v>
      </c>
      <c r="G47" s="245"/>
      <c r="H47" s="245"/>
      <c r="I47" s="245"/>
      <c r="J47" s="248">
        <v>3721.0499999999997</v>
      </c>
      <c r="K47" s="243"/>
      <c r="L47" s="244"/>
      <c r="M47" s="279">
        <f>SUM(M48:M53)</f>
        <v>0</v>
      </c>
      <c r="N47" s="311"/>
      <c r="O47" s="283"/>
      <c r="P47" s="279">
        <f>SUM(P48:P53)</f>
        <v>3721.0544</v>
      </c>
    </row>
    <row r="48" spans="1:30" s="109" customFormat="1" ht="24" x14ac:dyDescent="0.2">
      <c r="A48" s="97"/>
      <c r="B48" s="116"/>
      <c r="C48" s="117" t="s">
        <v>155</v>
      </c>
      <c r="D48" s="117" t="s">
        <v>69</v>
      </c>
      <c r="E48" s="118" t="s">
        <v>162</v>
      </c>
      <c r="F48" s="119" t="s">
        <v>163</v>
      </c>
      <c r="G48" s="120" t="s">
        <v>72</v>
      </c>
      <c r="H48" s="121">
        <v>1.76</v>
      </c>
      <c r="I48" s="122">
        <v>155.66999999999999</v>
      </c>
      <c r="J48" s="122">
        <v>273.98</v>
      </c>
      <c r="K48" s="85">
        <v>0</v>
      </c>
      <c r="L48" s="86">
        <f t="shared" si="0"/>
        <v>155.66999999999999</v>
      </c>
      <c r="M48" s="277">
        <f t="shared" si="1"/>
        <v>0</v>
      </c>
      <c r="N48" s="87">
        <f t="shared" si="2"/>
        <v>1.76</v>
      </c>
      <c r="O48" s="88">
        <f t="shared" si="3"/>
        <v>155.66999999999999</v>
      </c>
      <c r="P48" s="278">
        <f t="shared" si="4"/>
        <v>273.97919999999999</v>
      </c>
      <c r="AB48" s="148" t="s">
        <v>1114</v>
      </c>
      <c r="AC48" s="109" t="s">
        <v>1241</v>
      </c>
      <c r="AD48" s="148" t="s">
        <v>1257</v>
      </c>
    </row>
    <row r="49" spans="1:16" s="109" customFormat="1" ht="48" x14ac:dyDescent="0.2">
      <c r="A49" s="97"/>
      <c r="B49" s="116"/>
      <c r="C49" s="117" t="s">
        <v>158</v>
      </c>
      <c r="D49" s="117" t="s">
        <v>69</v>
      </c>
      <c r="E49" s="118" t="s">
        <v>325</v>
      </c>
      <c r="F49" s="119" t="s">
        <v>326</v>
      </c>
      <c r="G49" s="120" t="s">
        <v>72</v>
      </c>
      <c r="H49" s="121">
        <v>1.76</v>
      </c>
      <c r="I49" s="122">
        <v>420.19</v>
      </c>
      <c r="J49" s="122">
        <v>739.53</v>
      </c>
      <c r="K49" s="85">
        <v>0</v>
      </c>
      <c r="L49" s="86">
        <f t="shared" si="0"/>
        <v>420.19</v>
      </c>
      <c r="M49" s="277">
        <f t="shared" si="1"/>
        <v>0</v>
      </c>
      <c r="N49" s="87">
        <f t="shared" si="2"/>
        <v>1.76</v>
      </c>
      <c r="O49" s="88">
        <f t="shared" si="3"/>
        <v>420.19</v>
      </c>
      <c r="P49" s="278">
        <f t="shared" si="4"/>
        <v>739.53440000000001</v>
      </c>
    </row>
    <row r="50" spans="1:16" s="109" customFormat="1" ht="36" x14ac:dyDescent="0.2">
      <c r="A50" s="97"/>
      <c r="B50" s="116"/>
      <c r="C50" s="117" t="s">
        <v>161</v>
      </c>
      <c r="D50" s="117" t="s">
        <v>69</v>
      </c>
      <c r="E50" s="118" t="s">
        <v>327</v>
      </c>
      <c r="F50" s="119" t="s">
        <v>328</v>
      </c>
      <c r="G50" s="120" t="s">
        <v>72</v>
      </c>
      <c r="H50" s="121">
        <v>1.76</v>
      </c>
      <c r="I50" s="122">
        <v>315.11</v>
      </c>
      <c r="J50" s="122">
        <v>554.59</v>
      </c>
      <c r="K50" s="85">
        <v>0</v>
      </c>
      <c r="L50" s="86">
        <f t="shared" si="0"/>
        <v>315.11</v>
      </c>
      <c r="M50" s="277">
        <f t="shared" si="1"/>
        <v>0</v>
      </c>
      <c r="N50" s="87">
        <f t="shared" si="2"/>
        <v>1.76</v>
      </c>
      <c r="O50" s="88">
        <f t="shared" si="3"/>
        <v>315.11</v>
      </c>
      <c r="P50" s="278">
        <f t="shared" si="4"/>
        <v>554.59360000000004</v>
      </c>
    </row>
    <row r="51" spans="1:16" s="109" customFormat="1" ht="24" x14ac:dyDescent="0.2">
      <c r="A51" s="97"/>
      <c r="B51" s="116"/>
      <c r="C51" s="117" t="s">
        <v>164</v>
      </c>
      <c r="D51" s="117" t="s">
        <v>69</v>
      </c>
      <c r="E51" s="118" t="s">
        <v>168</v>
      </c>
      <c r="F51" s="119" t="s">
        <v>169</v>
      </c>
      <c r="G51" s="120" t="s">
        <v>72</v>
      </c>
      <c r="H51" s="121">
        <v>3.36</v>
      </c>
      <c r="I51" s="122">
        <v>18.04</v>
      </c>
      <c r="J51" s="122">
        <v>60.61</v>
      </c>
      <c r="K51" s="85">
        <v>0</v>
      </c>
      <c r="L51" s="86">
        <f t="shared" si="0"/>
        <v>18.04</v>
      </c>
      <c r="M51" s="277">
        <f t="shared" si="1"/>
        <v>0</v>
      </c>
      <c r="N51" s="87">
        <f t="shared" si="2"/>
        <v>3.36</v>
      </c>
      <c r="O51" s="88">
        <f t="shared" si="3"/>
        <v>18.04</v>
      </c>
      <c r="P51" s="278">
        <f t="shared" si="4"/>
        <v>60.614399999999996</v>
      </c>
    </row>
    <row r="52" spans="1:16" s="109" customFormat="1" ht="48" x14ac:dyDescent="0.2">
      <c r="A52" s="97"/>
      <c r="B52" s="116"/>
      <c r="C52" s="117" t="s">
        <v>167</v>
      </c>
      <c r="D52" s="117" t="s">
        <v>69</v>
      </c>
      <c r="E52" s="118" t="s">
        <v>329</v>
      </c>
      <c r="F52" s="119" t="s">
        <v>330</v>
      </c>
      <c r="G52" s="120" t="s">
        <v>72</v>
      </c>
      <c r="H52" s="121">
        <v>3.36</v>
      </c>
      <c r="I52" s="122">
        <v>396.71</v>
      </c>
      <c r="J52" s="122">
        <v>1332.95</v>
      </c>
      <c r="K52" s="85">
        <v>0</v>
      </c>
      <c r="L52" s="86">
        <f t="shared" si="0"/>
        <v>396.71</v>
      </c>
      <c r="M52" s="277">
        <f t="shared" si="1"/>
        <v>0</v>
      </c>
      <c r="N52" s="87">
        <f t="shared" si="2"/>
        <v>3.36</v>
      </c>
      <c r="O52" s="88">
        <f t="shared" si="3"/>
        <v>396.71</v>
      </c>
      <c r="P52" s="278">
        <f t="shared" si="4"/>
        <v>1332.9455999999998</v>
      </c>
    </row>
    <row r="53" spans="1:16" s="109" customFormat="1" ht="36" x14ac:dyDescent="0.2">
      <c r="A53" s="97"/>
      <c r="B53" s="116"/>
      <c r="C53" s="117" t="s">
        <v>170</v>
      </c>
      <c r="D53" s="117" t="s">
        <v>69</v>
      </c>
      <c r="E53" s="118" t="s">
        <v>331</v>
      </c>
      <c r="F53" s="119" t="s">
        <v>332</v>
      </c>
      <c r="G53" s="120" t="s">
        <v>72</v>
      </c>
      <c r="H53" s="121">
        <v>1.76</v>
      </c>
      <c r="I53" s="122">
        <v>431.47</v>
      </c>
      <c r="J53" s="122">
        <v>759.39</v>
      </c>
      <c r="K53" s="85">
        <v>0</v>
      </c>
      <c r="L53" s="86">
        <f t="shared" si="0"/>
        <v>431.47</v>
      </c>
      <c r="M53" s="277">
        <f t="shared" si="1"/>
        <v>0</v>
      </c>
      <c r="N53" s="87">
        <f t="shared" si="2"/>
        <v>1.76</v>
      </c>
      <c r="O53" s="88">
        <f t="shared" si="3"/>
        <v>431.47</v>
      </c>
      <c r="P53" s="278">
        <f t="shared" si="4"/>
        <v>759.38720000000001</v>
      </c>
    </row>
    <row r="54" spans="1:16" s="110" customFormat="1" ht="12.75" x14ac:dyDescent="0.2">
      <c r="C54" s="245"/>
      <c r="D54" s="246" t="s">
        <v>3</v>
      </c>
      <c r="E54" s="247" t="s">
        <v>90</v>
      </c>
      <c r="F54" s="247" t="s">
        <v>182</v>
      </c>
      <c r="G54" s="245"/>
      <c r="H54" s="245"/>
      <c r="I54" s="245"/>
      <c r="J54" s="248">
        <v>186112.72000000003</v>
      </c>
      <c r="K54" s="243"/>
      <c r="L54" s="244"/>
      <c r="M54" s="279">
        <f>SUM(M55:M71)</f>
        <v>-1317.0180999999998</v>
      </c>
      <c r="N54" s="311"/>
      <c r="O54" s="283"/>
      <c r="P54" s="279">
        <f>SUM(P55:P71)</f>
        <v>184795.71102000002</v>
      </c>
    </row>
    <row r="55" spans="1:16" s="109" customFormat="1" ht="36" x14ac:dyDescent="0.2">
      <c r="A55" s="97"/>
      <c r="B55" s="116"/>
      <c r="C55" s="117" t="s">
        <v>173</v>
      </c>
      <c r="D55" s="117" t="s">
        <v>69</v>
      </c>
      <c r="E55" s="118" t="s">
        <v>184</v>
      </c>
      <c r="F55" s="119" t="s">
        <v>185</v>
      </c>
      <c r="G55" s="120" t="s">
        <v>61</v>
      </c>
      <c r="H55" s="121">
        <v>51.72</v>
      </c>
      <c r="I55" s="122">
        <v>552.39</v>
      </c>
      <c r="J55" s="122">
        <v>28569.61</v>
      </c>
      <c r="K55" s="85">
        <f t="shared" ref="K55:K56" si="6">ROUND(51.1/51.72*H55-H55,2)</f>
        <v>-0.62</v>
      </c>
      <c r="L55" s="86">
        <f t="shared" si="0"/>
        <v>552.39</v>
      </c>
      <c r="M55" s="277">
        <f t="shared" si="1"/>
        <v>-342.48179999999996</v>
      </c>
      <c r="N55" s="87">
        <f t="shared" si="2"/>
        <v>51.1</v>
      </c>
      <c r="O55" s="88">
        <f t="shared" si="3"/>
        <v>552.39</v>
      </c>
      <c r="P55" s="278">
        <f t="shared" si="4"/>
        <v>28227.129000000001</v>
      </c>
    </row>
    <row r="56" spans="1:16" s="109" customFormat="1" ht="24" x14ac:dyDescent="0.2">
      <c r="A56" s="97"/>
      <c r="B56" s="116"/>
      <c r="C56" s="123" t="s">
        <v>176</v>
      </c>
      <c r="D56" s="123" t="s">
        <v>127</v>
      </c>
      <c r="E56" s="124" t="s">
        <v>187</v>
      </c>
      <c r="F56" s="125" t="s">
        <v>188</v>
      </c>
      <c r="G56" s="126" t="s">
        <v>61</v>
      </c>
      <c r="H56" s="127">
        <v>52.496000000000002</v>
      </c>
      <c r="I56" s="128">
        <v>1060.07</v>
      </c>
      <c r="J56" s="128">
        <v>55649.43</v>
      </c>
      <c r="K56" s="85">
        <f t="shared" si="6"/>
        <v>-0.63</v>
      </c>
      <c r="L56" s="86">
        <f t="shared" si="0"/>
        <v>1060.07</v>
      </c>
      <c r="M56" s="277">
        <f t="shared" si="1"/>
        <v>-667.84409999999991</v>
      </c>
      <c r="N56" s="87">
        <f t="shared" si="2"/>
        <v>51.866</v>
      </c>
      <c r="O56" s="88">
        <f t="shared" si="3"/>
        <v>1060.07</v>
      </c>
      <c r="P56" s="278">
        <f t="shared" si="4"/>
        <v>54981.590619999995</v>
      </c>
    </row>
    <row r="57" spans="1:16" s="109" customFormat="1" ht="36" x14ac:dyDescent="0.2">
      <c r="A57" s="97"/>
      <c r="B57" s="116"/>
      <c r="C57" s="117" t="s">
        <v>179</v>
      </c>
      <c r="D57" s="117" t="s">
        <v>69</v>
      </c>
      <c r="E57" s="118" t="s">
        <v>202</v>
      </c>
      <c r="F57" s="119" t="s">
        <v>203</v>
      </c>
      <c r="G57" s="120" t="s">
        <v>138</v>
      </c>
      <c r="H57" s="121">
        <v>1</v>
      </c>
      <c r="I57" s="122">
        <v>260.41000000000003</v>
      </c>
      <c r="J57" s="122">
        <v>260.41000000000003</v>
      </c>
      <c r="K57" s="85">
        <v>0</v>
      </c>
      <c r="L57" s="86">
        <f t="shared" si="0"/>
        <v>260.41000000000003</v>
      </c>
      <c r="M57" s="277">
        <f t="shared" si="1"/>
        <v>0</v>
      </c>
      <c r="N57" s="87">
        <f t="shared" si="2"/>
        <v>1</v>
      </c>
      <c r="O57" s="88">
        <f t="shared" si="3"/>
        <v>260.41000000000003</v>
      </c>
      <c r="P57" s="278">
        <f t="shared" si="4"/>
        <v>260.41000000000003</v>
      </c>
    </row>
    <row r="58" spans="1:16" s="109" customFormat="1" ht="36" x14ac:dyDescent="0.2">
      <c r="A58" s="97"/>
      <c r="B58" s="116"/>
      <c r="C58" s="123" t="s">
        <v>183</v>
      </c>
      <c r="D58" s="123" t="s">
        <v>127</v>
      </c>
      <c r="E58" s="124" t="s">
        <v>205</v>
      </c>
      <c r="F58" s="125" t="s">
        <v>206</v>
      </c>
      <c r="G58" s="126" t="s">
        <v>138</v>
      </c>
      <c r="H58" s="127">
        <v>1</v>
      </c>
      <c r="I58" s="128">
        <v>1801.85</v>
      </c>
      <c r="J58" s="128">
        <v>1801.85</v>
      </c>
      <c r="K58" s="85">
        <v>0</v>
      </c>
      <c r="L58" s="86">
        <f t="shared" si="0"/>
        <v>1801.85</v>
      </c>
      <c r="M58" s="277">
        <f t="shared" si="1"/>
        <v>0</v>
      </c>
      <c r="N58" s="87">
        <f t="shared" si="2"/>
        <v>1</v>
      </c>
      <c r="O58" s="88">
        <f t="shared" si="3"/>
        <v>1801.85</v>
      </c>
      <c r="P58" s="278">
        <f t="shared" si="4"/>
        <v>1801.85</v>
      </c>
    </row>
    <row r="59" spans="1:16" s="109" customFormat="1" ht="24" x14ac:dyDescent="0.2">
      <c r="A59" s="97"/>
      <c r="B59" s="116"/>
      <c r="C59" s="117" t="s">
        <v>186</v>
      </c>
      <c r="D59" s="117" t="s">
        <v>69</v>
      </c>
      <c r="E59" s="118" t="s">
        <v>211</v>
      </c>
      <c r="F59" s="119" t="s">
        <v>212</v>
      </c>
      <c r="G59" s="120" t="s">
        <v>213</v>
      </c>
      <c r="H59" s="121">
        <v>1</v>
      </c>
      <c r="I59" s="122">
        <v>2564.6799999999998</v>
      </c>
      <c r="J59" s="122">
        <v>2564.6799999999998</v>
      </c>
      <c r="K59" s="85">
        <f t="shared" ref="K59" si="7">ROUND(51.1/51.72*H59-H59,2)</f>
        <v>-0.01</v>
      </c>
      <c r="L59" s="86">
        <f t="shared" si="0"/>
        <v>2564.6799999999998</v>
      </c>
      <c r="M59" s="277">
        <f t="shared" si="1"/>
        <v>-25.646799999999999</v>
      </c>
      <c r="N59" s="87">
        <f t="shared" si="2"/>
        <v>0.99</v>
      </c>
      <c r="O59" s="88">
        <f t="shared" si="3"/>
        <v>2564.6799999999998</v>
      </c>
      <c r="P59" s="278">
        <f t="shared" si="4"/>
        <v>2539.0331999999999</v>
      </c>
    </row>
    <row r="60" spans="1:16" s="109" customFormat="1" ht="24" x14ac:dyDescent="0.2">
      <c r="A60" s="97"/>
      <c r="B60" s="116"/>
      <c r="C60" s="117" t="s">
        <v>189</v>
      </c>
      <c r="D60" s="117" t="s">
        <v>69</v>
      </c>
      <c r="E60" s="118" t="s">
        <v>215</v>
      </c>
      <c r="F60" s="119" t="s">
        <v>216</v>
      </c>
      <c r="G60" s="120" t="s">
        <v>138</v>
      </c>
      <c r="H60" s="121">
        <v>3</v>
      </c>
      <c r="I60" s="122">
        <v>2016.23</v>
      </c>
      <c r="J60" s="122">
        <v>6048.69</v>
      </c>
      <c r="K60" s="85">
        <v>0</v>
      </c>
      <c r="L60" s="86">
        <f t="shared" si="0"/>
        <v>2016.23</v>
      </c>
      <c r="M60" s="277">
        <f t="shared" si="1"/>
        <v>0</v>
      </c>
      <c r="N60" s="87">
        <f t="shared" si="2"/>
        <v>3</v>
      </c>
      <c r="O60" s="88">
        <f t="shared" si="3"/>
        <v>2016.23</v>
      </c>
      <c r="P60" s="278">
        <f t="shared" si="4"/>
        <v>6048.6900000000005</v>
      </c>
    </row>
    <row r="61" spans="1:16" s="109" customFormat="1" ht="24" x14ac:dyDescent="0.2">
      <c r="A61" s="97"/>
      <c r="B61" s="116"/>
      <c r="C61" s="123" t="s">
        <v>192</v>
      </c>
      <c r="D61" s="123" t="s">
        <v>127</v>
      </c>
      <c r="E61" s="124" t="s">
        <v>218</v>
      </c>
      <c r="F61" s="125" t="s">
        <v>219</v>
      </c>
      <c r="G61" s="126" t="s">
        <v>138</v>
      </c>
      <c r="H61" s="127">
        <v>2</v>
      </c>
      <c r="I61" s="128">
        <v>14898.16</v>
      </c>
      <c r="J61" s="128">
        <v>29796.32</v>
      </c>
      <c r="K61" s="85">
        <v>0</v>
      </c>
      <c r="L61" s="86">
        <f t="shared" si="0"/>
        <v>14898.16</v>
      </c>
      <c r="M61" s="277">
        <f t="shared" si="1"/>
        <v>0</v>
      </c>
      <c r="N61" s="87">
        <f t="shared" si="2"/>
        <v>2</v>
      </c>
      <c r="O61" s="88">
        <f t="shared" si="3"/>
        <v>14898.16</v>
      </c>
      <c r="P61" s="278">
        <f t="shared" si="4"/>
        <v>29796.32</v>
      </c>
    </row>
    <row r="62" spans="1:16" s="109" customFormat="1" ht="24" x14ac:dyDescent="0.2">
      <c r="A62" s="97"/>
      <c r="B62" s="116"/>
      <c r="C62" s="123" t="s">
        <v>195</v>
      </c>
      <c r="D62" s="123" t="s">
        <v>127</v>
      </c>
      <c r="E62" s="124" t="s">
        <v>224</v>
      </c>
      <c r="F62" s="125" t="s">
        <v>225</v>
      </c>
      <c r="G62" s="126" t="s">
        <v>138</v>
      </c>
      <c r="H62" s="127">
        <v>5</v>
      </c>
      <c r="I62" s="128">
        <v>1530.92</v>
      </c>
      <c r="J62" s="128">
        <v>7654.6</v>
      </c>
      <c r="K62" s="85">
        <v>0</v>
      </c>
      <c r="L62" s="86">
        <f t="shared" si="0"/>
        <v>1530.92</v>
      </c>
      <c r="M62" s="277">
        <f t="shared" si="1"/>
        <v>0</v>
      </c>
      <c r="N62" s="87">
        <f t="shared" si="2"/>
        <v>5</v>
      </c>
      <c r="O62" s="88">
        <f t="shared" si="3"/>
        <v>1530.92</v>
      </c>
      <c r="P62" s="278">
        <f t="shared" si="4"/>
        <v>7654.6</v>
      </c>
    </row>
    <row r="63" spans="1:16" s="109" customFormat="1" ht="24" x14ac:dyDescent="0.2">
      <c r="A63" s="97"/>
      <c r="B63" s="116"/>
      <c r="C63" s="123" t="s">
        <v>198</v>
      </c>
      <c r="D63" s="123" t="s">
        <v>127</v>
      </c>
      <c r="E63" s="124" t="s">
        <v>227</v>
      </c>
      <c r="F63" s="125" t="s">
        <v>228</v>
      </c>
      <c r="G63" s="126" t="s">
        <v>138</v>
      </c>
      <c r="H63" s="127">
        <v>1</v>
      </c>
      <c r="I63" s="128">
        <v>775.98</v>
      </c>
      <c r="J63" s="128">
        <v>775.98</v>
      </c>
      <c r="K63" s="85">
        <v>0</v>
      </c>
      <c r="L63" s="86">
        <f t="shared" si="0"/>
        <v>775.98</v>
      </c>
      <c r="M63" s="277">
        <f t="shared" si="1"/>
        <v>0</v>
      </c>
      <c r="N63" s="87">
        <f t="shared" si="2"/>
        <v>1</v>
      </c>
      <c r="O63" s="88">
        <f t="shared" si="3"/>
        <v>775.98</v>
      </c>
      <c r="P63" s="278">
        <f t="shared" si="4"/>
        <v>775.98</v>
      </c>
    </row>
    <row r="64" spans="1:16" s="109" customFormat="1" ht="24" x14ac:dyDescent="0.2">
      <c r="A64" s="97"/>
      <c r="B64" s="116"/>
      <c r="C64" s="123" t="s">
        <v>201</v>
      </c>
      <c r="D64" s="123" t="s">
        <v>127</v>
      </c>
      <c r="E64" s="124" t="s">
        <v>230</v>
      </c>
      <c r="F64" s="125" t="s">
        <v>231</v>
      </c>
      <c r="G64" s="126" t="s">
        <v>138</v>
      </c>
      <c r="H64" s="127">
        <v>2</v>
      </c>
      <c r="I64" s="128">
        <v>1202.1099999999999</v>
      </c>
      <c r="J64" s="128">
        <v>2404.2199999999998</v>
      </c>
      <c r="K64" s="85">
        <v>0</v>
      </c>
      <c r="L64" s="86">
        <f t="shared" si="0"/>
        <v>1202.1099999999999</v>
      </c>
      <c r="M64" s="277">
        <f t="shared" si="1"/>
        <v>0</v>
      </c>
      <c r="N64" s="87">
        <f t="shared" si="2"/>
        <v>2</v>
      </c>
      <c r="O64" s="88">
        <f t="shared" si="3"/>
        <v>1202.1099999999999</v>
      </c>
      <c r="P64" s="278">
        <f t="shared" si="4"/>
        <v>2404.2199999999998</v>
      </c>
    </row>
    <row r="65" spans="1:30" s="109" customFormat="1" ht="24" x14ac:dyDescent="0.2">
      <c r="A65" s="97"/>
      <c r="B65" s="116"/>
      <c r="C65" s="123" t="s">
        <v>204</v>
      </c>
      <c r="D65" s="123" t="s">
        <v>127</v>
      </c>
      <c r="E65" s="124" t="s">
        <v>236</v>
      </c>
      <c r="F65" s="125" t="s">
        <v>237</v>
      </c>
      <c r="G65" s="126" t="s">
        <v>138</v>
      </c>
      <c r="H65" s="127">
        <v>5</v>
      </c>
      <c r="I65" s="128">
        <v>211.75</v>
      </c>
      <c r="J65" s="128">
        <v>1058.75</v>
      </c>
      <c r="K65" s="85">
        <v>0</v>
      </c>
      <c r="L65" s="86">
        <f t="shared" si="0"/>
        <v>211.75</v>
      </c>
      <c r="M65" s="277">
        <f t="shared" si="1"/>
        <v>0</v>
      </c>
      <c r="N65" s="87">
        <f t="shared" si="2"/>
        <v>5</v>
      </c>
      <c r="O65" s="88">
        <f t="shared" si="3"/>
        <v>211.75</v>
      </c>
      <c r="P65" s="278">
        <f t="shared" si="4"/>
        <v>1058.75</v>
      </c>
    </row>
    <row r="66" spans="1:30" s="109" customFormat="1" ht="36" x14ac:dyDescent="0.2">
      <c r="A66" s="97"/>
      <c r="B66" s="116"/>
      <c r="C66" s="117" t="s">
        <v>207</v>
      </c>
      <c r="D66" s="117" t="s">
        <v>69</v>
      </c>
      <c r="E66" s="118" t="s">
        <v>239</v>
      </c>
      <c r="F66" s="119" t="s">
        <v>240</v>
      </c>
      <c r="G66" s="120" t="s">
        <v>138</v>
      </c>
      <c r="H66" s="121">
        <v>2</v>
      </c>
      <c r="I66" s="122">
        <v>5935.59</v>
      </c>
      <c r="J66" s="122">
        <v>11871.18</v>
      </c>
      <c r="K66" s="85">
        <v>0</v>
      </c>
      <c r="L66" s="86">
        <f t="shared" si="0"/>
        <v>5935.59</v>
      </c>
      <c r="M66" s="277">
        <f t="shared" si="1"/>
        <v>0</v>
      </c>
      <c r="N66" s="87">
        <f t="shared" si="2"/>
        <v>2</v>
      </c>
      <c r="O66" s="88">
        <f t="shared" si="3"/>
        <v>5935.59</v>
      </c>
      <c r="P66" s="278">
        <f t="shared" si="4"/>
        <v>11871.18</v>
      </c>
    </row>
    <row r="67" spans="1:30" s="109" customFormat="1" ht="24" x14ac:dyDescent="0.2">
      <c r="A67" s="97"/>
      <c r="B67" s="116"/>
      <c r="C67" s="117" t="s">
        <v>210</v>
      </c>
      <c r="D67" s="117" t="s">
        <v>69</v>
      </c>
      <c r="E67" s="118" t="s">
        <v>242</v>
      </c>
      <c r="F67" s="119" t="s">
        <v>243</v>
      </c>
      <c r="G67" s="120" t="s">
        <v>138</v>
      </c>
      <c r="H67" s="121">
        <v>2</v>
      </c>
      <c r="I67" s="122">
        <v>485.32</v>
      </c>
      <c r="J67" s="122">
        <v>970.64</v>
      </c>
      <c r="K67" s="85">
        <v>0</v>
      </c>
      <c r="L67" s="86">
        <f t="shared" si="0"/>
        <v>485.32</v>
      </c>
      <c r="M67" s="277">
        <f t="shared" si="1"/>
        <v>0</v>
      </c>
      <c r="N67" s="87">
        <f t="shared" si="2"/>
        <v>2</v>
      </c>
      <c r="O67" s="88">
        <f t="shared" si="3"/>
        <v>485.32</v>
      </c>
      <c r="P67" s="278">
        <f t="shared" si="4"/>
        <v>970.64</v>
      </c>
    </row>
    <row r="68" spans="1:30" s="109" customFormat="1" ht="24" x14ac:dyDescent="0.2">
      <c r="A68" s="97"/>
      <c r="B68" s="116"/>
      <c r="C68" s="123" t="s">
        <v>214</v>
      </c>
      <c r="D68" s="123" t="s">
        <v>127</v>
      </c>
      <c r="E68" s="124" t="s">
        <v>251</v>
      </c>
      <c r="F68" s="125" t="s">
        <v>252</v>
      </c>
      <c r="G68" s="126" t="s">
        <v>138</v>
      </c>
      <c r="H68" s="127">
        <v>1</v>
      </c>
      <c r="I68" s="128">
        <v>6510.34</v>
      </c>
      <c r="J68" s="128">
        <v>6510.34</v>
      </c>
      <c r="K68" s="85">
        <v>0</v>
      </c>
      <c r="L68" s="86">
        <f t="shared" si="0"/>
        <v>6510.34</v>
      </c>
      <c r="M68" s="277">
        <f t="shared" si="1"/>
        <v>0</v>
      </c>
      <c r="N68" s="87">
        <f t="shared" si="2"/>
        <v>1</v>
      </c>
      <c r="O68" s="88">
        <f t="shared" si="3"/>
        <v>6510.34</v>
      </c>
      <c r="P68" s="278">
        <f t="shared" si="4"/>
        <v>6510.34</v>
      </c>
    </row>
    <row r="69" spans="1:30" s="109" customFormat="1" ht="24" x14ac:dyDescent="0.2">
      <c r="A69" s="97"/>
      <c r="B69" s="116"/>
      <c r="C69" s="123" t="s">
        <v>217</v>
      </c>
      <c r="D69" s="123" t="s">
        <v>127</v>
      </c>
      <c r="E69" s="124" t="s">
        <v>248</v>
      </c>
      <c r="F69" s="125" t="s">
        <v>249</v>
      </c>
      <c r="G69" s="126" t="s">
        <v>138</v>
      </c>
      <c r="H69" s="127">
        <v>1</v>
      </c>
      <c r="I69" s="128">
        <v>6510.34</v>
      </c>
      <c r="J69" s="128">
        <v>6510.34</v>
      </c>
      <c r="K69" s="85">
        <v>0</v>
      </c>
      <c r="L69" s="86">
        <f t="shared" si="0"/>
        <v>6510.34</v>
      </c>
      <c r="M69" s="277">
        <f t="shared" si="1"/>
        <v>0</v>
      </c>
      <c r="N69" s="87">
        <f t="shared" si="2"/>
        <v>1</v>
      </c>
      <c r="O69" s="88">
        <f t="shared" si="3"/>
        <v>6510.34</v>
      </c>
      <c r="P69" s="278">
        <f t="shared" si="4"/>
        <v>6510.34</v>
      </c>
    </row>
    <row r="70" spans="1:30" s="109" customFormat="1" ht="24" x14ac:dyDescent="0.2">
      <c r="A70" s="97"/>
      <c r="B70" s="116"/>
      <c r="C70" s="117" t="s">
        <v>220</v>
      </c>
      <c r="D70" s="117" t="s">
        <v>69</v>
      </c>
      <c r="E70" s="118" t="s">
        <v>254</v>
      </c>
      <c r="F70" s="119" t="s">
        <v>255</v>
      </c>
      <c r="G70" s="120" t="s">
        <v>62</v>
      </c>
      <c r="H70" s="121">
        <v>7.58</v>
      </c>
      <c r="I70" s="122">
        <v>3059.28</v>
      </c>
      <c r="J70" s="122">
        <v>23189.34</v>
      </c>
      <c r="K70" s="85">
        <f t="shared" ref="K70:K71" si="8">ROUND(51.1/51.72*H70-H70,2)</f>
        <v>-0.09</v>
      </c>
      <c r="L70" s="86">
        <f t="shared" si="0"/>
        <v>3059.28</v>
      </c>
      <c r="M70" s="277">
        <f t="shared" si="1"/>
        <v>-275.33519999999999</v>
      </c>
      <c r="N70" s="87">
        <f t="shared" si="2"/>
        <v>7.49</v>
      </c>
      <c r="O70" s="88">
        <f t="shared" si="3"/>
        <v>3059.28</v>
      </c>
      <c r="P70" s="278">
        <f t="shared" si="4"/>
        <v>22914.007200000004</v>
      </c>
    </row>
    <row r="71" spans="1:30" s="109" customFormat="1" ht="12" x14ac:dyDescent="0.2">
      <c r="A71" s="97"/>
      <c r="B71" s="116"/>
      <c r="C71" s="117" t="s">
        <v>223</v>
      </c>
      <c r="D71" s="117" t="s">
        <v>69</v>
      </c>
      <c r="E71" s="118" t="s">
        <v>266</v>
      </c>
      <c r="F71" s="119" t="s">
        <v>267</v>
      </c>
      <c r="G71" s="120" t="s">
        <v>61</v>
      </c>
      <c r="H71" s="121">
        <v>51.72</v>
      </c>
      <c r="I71" s="122">
        <v>9.2100000000000009</v>
      </c>
      <c r="J71" s="122">
        <v>476.34</v>
      </c>
      <c r="K71" s="85">
        <f t="shared" si="8"/>
        <v>-0.62</v>
      </c>
      <c r="L71" s="86">
        <f t="shared" si="0"/>
        <v>9.2100000000000009</v>
      </c>
      <c r="M71" s="277">
        <f t="shared" si="1"/>
        <v>-5.7102000000000004</v>
      </c>
      <c r="N71" s="87">
        <f t="shared" si="2"/>
        <v>51.1</v>
      </c>
      <c r="O71" s="88">
        <f t="shared" si="3"/>
        <v>9.2100000000000009</v>
      </c>
      <c r="P71" s="278">
        <f t="shared" si="4"/>
        <v>470.63100000000003</v>
      </c>
    </row>
    <row r="72" spans="1:30" s="110" customFormat="1" ht="12.75" x14ac:dyDescent="0.2">
      <c r="C72" s="245"/>
      <c r="D72" s="246" t="s">
        <v>3</v>
      </c>
      <c r="E72" s="247" t="s">
        <v>93</v>
      </c>
      <c r="F72" s="247" t="s">
        <v>268</v>
      </c>
      <c r="G72" s="245"/>
      <c r="H72" s="245"/>
      <c r="I72" s="245"/>
      <c r="J72" s="248">
        <v>2038.38</v>
      </c>
      <c r="K72" s="243"/>
      <c r="L72" s="244"/>
      <c r="M72" s="279">
        <f>SUM(M73:M77)</f>
        <v>0</v>
      </c>
      <c r="N72" s="311"/>
      <c r="O72" s="283"/>
      <c r="P72" s="279">
        <f>SUM(P73:P77)</f>
        <v>2038.3789999999999</v>
      </c>
    </row>
    <row r="73" spans="1:30" s="109" customFormat="1" ht="48" x14ac:dyDescent="0.2">
      <c r="A73" s="97"/>
      <c r="B73" s="116"/>
      <c r="C73" s="117" t="s">
        <v>226</v>
      </c>
      <c r="D73" s="117" t="s">
        <v>69</v>
      </c>
      <c r="E73" s="118" t="s">
        <v>270</v>
      </c>
      <c r="F73" s="119" t="s">
        <v>271</v>
      </c>
      <c r="G73" s="120" t="s">
        <v>61</v>
      </c>
      <c r="H73" s="121">
        <v>5.5</v>
      </c>
      <c r="I73" s="122">
        <v>87.65</v>
      </c>
      <c r="J73" s="122">
        <v>482.08</v>
      </c>
      <c r="K73" s="85">
        <v>0</v>
      </c>
      <c r="L73" s="86">
        <f t="shared" si="0"/>
        <v>87.65</v>
      </c>
      <c r="M73" s="277">
        <f t="shared" si="1"/>
        <v>0</v>
      </c>
      <c r="N73" s="87">
        <f t="shared" si="2"/>
        <v>5.5</v>
      </c>
      <c r="O73" s="88">
        <f t="shared" si="3"/>
        <v>87.65</v>
      </c>
      <c r="P73" s="278">
        <f t="shared" si="4"/>
        <v>482.07500000000005</v>
      </c>
    </row>
    <row r="74" spans="1:30" s="109" customFormat="1" ht="36" x14ac:dyDescent="0.2">
      <c r="A74" s="97"/>
      <c r="B74" s="116"/>
      <c r="C74" s="117" t="s">
        <v>229</v>
      </c>
      <c r="D74" s="117" t="s">
        <v>69</v>
      </c>
      <c r="E74" s="118" t="s">
        <v>273</v>
      </c>
      <c r="F74" s="119" t="s">
        <v>274</v>
      </c>
      <c r="G74" s="120" t="s">
        <v>61</v>
      </c>
      <c r="H74" s="121">
        <v>11</v>
      </c>
      <c r="I74" s="122">
        <v>32.22</v>
      </c>
      <c r="J74" s="122">
        <v>354.42</v>
      </c>
      <c r="K74" s="85">
        <v>0</v>
      </c>
      <c r="L74" s="86">
        <f t="shared" si="0"/>
        <v>32.22</v>
      </c>
      <c r="M74" s="277">
        <f t="shared" si="1"/>
        <v>0</v>
      </c>
      <c r="N74" s="87">
        <f t="shared" si="2"/>
        <v>11</v>
      </c>
      <c r="O74" s="88">
        <f t="shared" si="3"/>
        <v>32.22</v>
      </c>
      <c r="P74" s="278">
        <f t="shared" si="4"/>
        <v>354.41999999999996</v>
      </c>
    </row>
    <row r="75" spans="1:30" s="109" customFormat="1" ht="36" x14ac:dyDescent="0.2">
      <c r="A75" s="97"/>
      <c r="B75" s="116"/>
      <c r="C75" s="117" t="s">
        <v>232</v>
      </c>
      <c r="D75" s="117" t="s">
        <v>69</v>
      </c>
      <c r="E75" s="118" t="s">
        <v>350</v>
      </c>
      <c r="F75" s="119" t="s">
        <v>351</v>
      </c>
      <c r="G75" s="120" t="s">
        <v>61</v>
      </c>
      <c r="H75" s="121">
        <v>3.2</v>
      </c>
      <c r="I75" s="122">
        <v>32.22</v>
      </c>
      <c r="J75" s="122">
        <v>103.1</v>
      </c>
      <c r="K75" s="85">
        <v>0</v>
      </c>
      <c r="L75" s="86">
        <f t="shared" si="0"/>
        <v>32.22</v>
      </c>
      <c r="M75" s="277">
        <f t="shared" si="1"/>
        <v>0</v>
      </c>
      <c r="N75" s="87">
        <f t="shared" si="2"/>
        <v>3.2</v>
      </c>
      <c r="O75" s="88">
        <f t="shared" si="3"/>
        <v>32.22</v>
      </c>
      <c r="P75" s="278">
        <f t="shared" si="4"/>
        <v>103.104</v>
      </c>
    </row>
    <row r="76" spans="1:30" s="109" customFormat="1" ht="24" x14ac:dyDescent="0.2">
      <c r="A76" s="97"/>
      <c r="B76" s="116"/>
      <c r="C76" s="117" t="s">
        <v>235</v>
      </c>
      <c r="D76" s="117" t="s">
        <v>69</v>
      </c>
      <c r="E76" s="118" t="s">
        <v>276</v>
      </c>
      <c r="F76" s="119" t="s">
        <v>277</v>
      </c>
      <c r="G76" s="120" t="s">
        <v>61</v>
      </c>
      <c r="H76" s="121">
        <v>11</v>
      </c>
      <c r="I76" s="122">
        <v>72.34</v>
      </c>
      <c r="J76" s="122">
        <v>795.74</v>
      </c>
      <c r="K76" s="85">
        <v>0</v>
      </c>
      <c r="L76" s="86">
        <f t="shared" si="0"/>
        <v>72.34</v>
      </c>
      <c r="M76" s="277">
        <f t="shared" si="1"/>
        <v>0</v>
      </c>
      <c r="N76" s="87">
        <f t="shared" si="2"/>
        <v>11</v>
      </c>
      <c r="O76" s="88">
        <f t="shared" si="3"/>
        <v>72.34</v>
      </c>
      <c r="P76" s="278">
        <f t="shared" si="4"/>
        <v>795.74</v>
      </c>
    </row>
    <row r="77" spans="1:30" s="109" customFormat="1" ht="24" x14ac:dyDescent="0.2">
      <c r="A77" s="97"/>
      <c r="B77" s="116"/>
      <c r="C77" s="117" t="s">
        <v>238</v>
      </c>
      <c r="D77" s="117" t="s">
        <v>69</v>
      </c>
      <c r="E77" s="118" t="s">
        <v>354</v>
      </c>
      <c r="F77" s="119" t="s">
        <v>355</v>
      </c>
      <c r="G77" s="120" t="s">
        <v>61</v>
      </c>
      <c r="H77" s="121">
        <v>3.2</v>
      </c>
      <c r="I77" s="122">
        <v>94.7</v>
      </c>
      <c r="J77" s="122">
        <v>303.04000000000002</v>
      </c>
      <c r="K77" s="85">
        <v>0</v>
      </c>
      <c r="L77" s="86">
        <f t="shared" si="0"/>
        <v>94.7</v>
      </c>
      <c r="M77" s="277">
        <f t="shared" si="1"/>
        <v>0</v>
      </c>
      <c r="N77" s="87">
        <f t="shared" si="2"/>
        <v>3.2</v>
      </c>
      <c r="O77" s="88">
        <f t="shared" si="3"/>
        <v>94.7</v>
      </c>
      <c r="P77" s="278">
        <f t="shared" si="4"/>
        <v>303.04000000000002</v>
      </c>
    </row>
    <row r="78" spans="1:30" s="110" customFormat="1" ht="12.75" x14ac:dyDescent="0.2">
      <c r="C78" s="245"/>
      <c r="D78" s="246" t="s">
        <v>3</v>
      </c>
      <c r="E78" s="247" t="s">
        <v>281</v>
      </c>
      <c r="F78" s="247" t="s">
        <v>282</v>
      </c>
      <c r="G78" s="245"/>
      <c r="H78" s="245"/>
      <c r="I78" s="245"/>
      <c r="J78" s="248">
        <v>813.38</v>
      </c>
      <c r="K78" s="243"/>
      <c r="L78" s="244"/>
      <c r="M78" s="279">
        <f>SUM(M79:M83)</f>
        <v>-7.0816999999999997</v>
      </c>
      <c r="N78" s="311"/>
      <c r="O78" s="283"/>
      <c r="P78" s="279">
        <f>SUM(P79:P83)</f>
        <v>806.29625999999996</v>
      </c>
    </row>
    <row r="79" spans="1:30" s="109" customFormat="1" ht="36" x14ac:dyDescent="0.2">
      <c r="A79" s="97"/>
      <c r="B79" s="116"/>
      <c r="C79" s="117" t="s">
        <v>241</v>
      </c>
      <c r="D79" s="117" t="s">
        <v>69</v>
      </c>
      <c r="E79" s="118" t="s">
        <v>284</v>
      </c>
      <c r="F79" s="119" t="s">
        <v>285</v>
      </c>
      <c r="G79" s="120" t="s">
        <v>120</v>
      </c>
      <c r="H79" s="121">
        <v>10</v>
      </c>
      <c r="I79" s="122">
        <v>26.55</v>
      </c>
      <c r="J79" s="122">
        <v>265.5</v>
      </c>
      <c r="K79" s="85">
        <f t="shared" ref="K79" si="9">ROUND(51.1/51.72*H79-H79,2)</f>
        <v>-0.12</v>
      </c>
      <c r="L79" s="86">
        <f t="shared" si="0"/>
        <v>26.55</v>
      </c>
      <c r="M79" s="277">
        <f t="shared" si="1"/>
        <v>-3.1859999999999999</v>
      </c>
      <c r="N79" s="87">
        <f t="shared" si="2"/>
        <v>9.8800000000000008</v>
      </c>
      <c r="O79" s="88">
        <f t="shared" si="3"/>
        <v>26.55</v>
      </c>
      <c r="P79" s="278">
        <f t="shared" si="4"/>
        <v>262.31400000000002</v>
      </c>
      <c r="AB79" s="148" t="s">
        <v>1221</v>
      </c>
      <c r="AC79" s="109" t="s">
        <v>1242</v>
      </c>
      <c r="AD79" s="150" t="s">
        <v>1256</v>
      </c>
    </row>
    <row r="80" spans="1:30" s="109" customFormat="1" ht="48" x14ac:dyDescent="0.2">
      <c r="A80" s="97"/>
      <c r="B80" s="116"/>
      <c r="C80" s="117" t="s">
        <v>244</v>
      </c>
      <c r="D80" s="117" t="s">
        <v>69</v>
      </c>
      <c r="E80" s="118" t="s">
        <v>287</v>
      </c>
      <c r="F80" s="119" t="s">
        <v>288</v>
      </c>
      <c r="G80" s="120" t="s">
        <v>120</v>
      </c>
      <c r="H80" s="121">
        <v>0.81699999999999995</v>
      </c>
      <c r="I80" s="122">
        <v>257.77999999999997</v>
      </c>
      <c r="J80" s="122">
        <v>210.61</v>
      </c>
      <c r="K80" s="85">
        <v>0</v>
      </c>
      <c r="L80" s="86">
        <f t="shared" ref="L80:L85" si="10">I80</f>
        <v>257.77999999999997</v>
      </c>
      <c r="M80" s="277">
        <f t="shared" ref="M80:M85" si="11">K80*L80</f>
        <v>0</v>
      </c>
      <c r="N80" s="87">
        <f t="shared" ref="N80:N85" si="12">H80+K80</f>
        <v>0.81699999999999995</v>
      </c>
      <c r="O80" s="88">
        <f t="shared" ref="O80:O85" si="13">I80</f>
        <v>257.77999999999997</v>
      </c>
      <c r="P80" s="278">
        <f t="shared" ref="P80:P85" si="14">N80*O80</f>
        <v>210.60625999999996</v>
      </c>
    </row>
    <row r="81" spans="1:30" s="109" customFormat="1" ht="36" x14ac:dyDescent="0.2">
      <c r="A81" s="97"/>
      <c r="B81" s="116"/>
      <c r="C81" s="117" t="s">
        <v>247</v>
      </c>
      <c r="D81" s="117" t="s">
        <v>69</v>
      </c>
      <c r="E81" s="118" t="s">
        <v>290</v>
      </c>
      <c r="F81" s="119" t="s">
        <v>119</v>
      </c>
      <c r="G81" s="120" t="s">
        <v>120</v>
      </c>
      <c r="H81" s="121">
        <v>0.51</v>
      </c>
      <c r="I81" s="122">
        <v>154.66999999999999</v>
      </c>
      <c r="J81" s="122">
        <v>78.88</v>
      </c>
      <c r="K81" s="85">
        <f t="shared" ref="K81:K83" si="15">ROUND(51.1/51.72*H81-H81,2)</f>
        <v>-0.01</v>
      </c>
      <c r="L81" s="86">
        <f t="shared" si="10"/>
        <v>154.66999999999999</v>
      </c>
      <c r="M81" s="277">
        <f t="shared" si="11"/>
        <v>-1.5467</v>
      </c>
      <c r="N81" s="87">
        <f t="shared" si="12"/>
        <v>0.5</v>
      </c>
      <c r="O81" s="88">
        <f t="shared" si="13"/>
        <v>154.66999999999999</v>
      </c>
      <c r="P81" s="278">
        <f t="shared" si="14"/>
        <v>77.334999999999994</v>
      </c>
      <c r="AB81" s="148" t="s">
        <v>1220</v>
      </c>
      <c r="AC81" s="109" t="s">
        <v>1243</v>
      </c>
      <c r="AD81" s="148" t="s">
        <v>1255</v>
      </c>
    </row>
    <row r="82" spans="1:30" s="109" customFormat="1" ht="36" x14ac:dyDescent="0.2">
      <c r="A82" s="97"/>
      <c r="B82" s="116"/>
      <c r="C82" s="117" t="s">
        <v>250</v>
      </c>
      <c r="D82" s="117" t="s">
        <v>69</v>
      </c>
      <c r="E82" s="118" t="s">
        <v>361</v>
      </c>
      <c r="F82" s="119" t="s">
        <v>362</v>
      </c>
      <c r="G82" s="120" t="s">
        <v>120</v>
      </c>
      <c r="H82" s="121">
        <v>1.1000000000000001</v>
      </c>
      <c r="I82" s="122">
        <v>80.23</v>
      </c>
      <c r="J82" s="122">
        <v>88.25</v>
      </c>
      <c r="K82" s="85">
        <f t="shared" si="15"/>
        <v>-0.01</v>
      </c>
      <c r="L82" s="86">
        <f t="shared" si="10"/>
        <v>80.23</v>
      </c>
      <c r="M82" s="277">
        <f t="shared" si="11"/>
        <v>-0.80230000000000001</v>
      </c>
      <c r="N82" s="87">
        <f t="shared" si="12"/>
        <v>1.0900000000000001</v>
      </c>
      <c r="O82" s="88">
        <f t="shared" si="13"/>
        <v>80.23</v>
      </c>
      <c r="P82" s="278">
        <f t="shared" si="14"/>
        <v>87.450700000000012</v>
      </c>
    </row>
    <row r="83" spans="1:30" s="109" customFormat="1" ht="36" x14ac:dyDescent="0.2">
      <c r="A83" s="97"/>
      <c r="B83" s="116"/>
      <c r="C83" s="117" t="s">
        <v>253</v>
      </c>
      <c r="D83" s="117" t="s">
        <v>69</v>
      </c>
      <c r="E83" s="118" t="s">
        <v>364</v>
      </c>
      <c r="F83" s="119" t="s">
        <v>365</v>
      </c>
      <c r="G83" s="120" t="s">
        <v>120</v>
      </c>
      <c r="H83" s="121">
        <v>1.1000000000000001</v>
      </c>
      <c r="I83" s="122">
        <v>154.66999999999999</v>
      </c>
      <c r="J83" s="122">
        <v>170.14</v>
      </c>
      <c r="K83" s="85">
        <f t="shared" si="15"/>
        <v>-0.01</v>
      </c>
      <c r="L83" s="86">
        <f t="shared" si="10"/>
        <v>154.66999999999999</v>
      </c>
      <c r="M83" s="277">
        <f t="shared" si="11"/>
        <v>-1.5467</v>
      </c>
      <c r="N83" s="87">
        <f t="shared" si="12"/>
        <v>1.0900000000000001</v>
      </c>
      <c r="O83" s="88">
        <f t="shared" si="13"/>
        <v>154.66999999999999</v>
      </c>
      <c r="P83" s="278">
        <f t="shared" si="14"/>
        <v>168.59029999999998</v>
      </c>
    </row>
    <row r="84" spans="1:30" s="110" customFormat="1" ht="12.75" x14ac:dyDescent="0.2">
      <c r="C84" s="245"/>
      <c r="D84" s="246" t="s">
        <v>3</v>
      </c>
      <c r="E84" s="247" t="s">
        <v>291</v>
      </c>
      <c r="F84" s="247" t="s">
        <v>292</v>
      </c>
      <c r="G84" s="245"/>
      <c r="H84" s="245"/>
      <c r="I84" s="245"/>
      <c r="J84" s="248">
        <v>1794.22</v>
      </c>
      <c r="K84" s="243"/>
      <c r="L84" s="244"/>
      <c r="M84" s="279">
        <f>M85</f>
        <v>-21.739799999999999</v>
      </c>
      <c r="N84" s="311"/>
      <c r="O84" s="283"/>
      <c r="P84" s="279">
        <f>P85</f>
        <v>1772.4802199999999</v>
      </c>
    </row>
    <row r="85" spans="1:30" s="109" customFormat="1" ht="36" x14ac:dyDescent="0.2">
      <c r="A85" s="97"/>
      <c r="B85" s="116"/>
      <c r="C85" s="117" t="s">
        <v>256</v>
      </c>
      <c r="D85" s="117" t="s">
        <v>69</v>
      </c>
      <c r="E85" s="118" t="s">
        <v>294</v>
      </c>
      <c r="F85" s="119" t="s">
        <v>295</v>
      </c>
      <c r="G85" s="120" t="s">
        <v>120</v>
      </c>
      <c r="H85" s="121">
        <v>15.680999999999999</v>
      </c>
      <c r="I85" s="122">
        <v>114.42</v>
      </c>
      <c r="J85" s="122">
        <v>1794.22</v>
      </c>
      <c r="K85" s="85">
        <f t="shared" ref="K85" si="16">ROUND(51.1/51.72*H85-H85,2)</f>
        <v>-0.19</v>
      </c>
      <c r="L85" s="86">
        <f t="shared" si="10"/>
        <v>114.42</v>
      </c>
      <c r="M85" s="277">
        <f t="shared" si="11"/>
        <v>-21.739799999999999</v>
      </c>
      <c r="N85" s="87">
        <f t="shared" si="12"/>
        <v>15.491</v>
      </c>
      <c r="O85" s="88">
        <f t="shared" si="13"/>
        <v>114.42</v>
      </c>
      <c r="P85" s="278">
        <f t="shared" si="14"/>
        <v>1772.4802199999999</v>
      </c>
    </row>
    <row r="86" spans="1:30" s="109" customFormat="1" x14ac:dyDescent="0.2">
      <c r="A86" s="97"/>
      <c r="B86" s="97"/>
      <c r="C86" s="97"/>
      <c r="D86" s="97"/>
      <c r="E86" s="97"/>
      <c r="F86" s="97"/>
      <c r="G86" s="97"/>
      <c r="H86" s="97"/>
      <c r="I86" s="97"/>
      <c r="J86" s="97"/>
    </row>
    <row r="87" spans="1:30" ht="18" customHeight="1" x14ac:dyDescent="0.2">
      <c r="D87" s="89"/>
      <c r="E87" s="141" t="str">
        <f>CONCATENATE("CELKEM ",C$12)</f>
        <v>CELKEM 16 - SO 01.O - Stoka B.2.1</v>
      </c>
      <c r="F87" s="90"/>
      <c r="G87" s="90"/>
      <c r="H87" s="91"/>
      <c r="I87" s="90"/>
      <c r="J87" s="92">
        <v>412574.05</v>
      </c>
      <c r="K87" s="94"/>
      <c r="L87" s="92"/>
      <c r="M87" s="147">
        <f>M84+M78+M72+M54+M47+M43+M41+M14</f>
        <v>-3923.1072999999997</v>
      </c>
      <c r="N87" s="147"/>
      <c r="O87" s="147"/>
      <c r="P87" s="147">
        <f t="shared" ref="P87" si="17">P84+P78+P72+P54+P47+P43+P41+P14</f>
        <v>408650.93315000006</v>
      </c>
    </row>
    <row r="88" spans="1:30" x14ac:dyDescent="0.2">
      <c r="I88" s="95"/>
    </row>
    <row r="89" spans="1:30" ht="14.25" x14ac:dyDescent="0.2">
      <c r="E89" s="58" t="s">
        <v>994</v>
      </c>
      <c r="F89" s="58"/>
      <c r="H89" s="96"/>
      <c r="J89" s="161"/>
      <c r="K89" s="58" t="s">
        <v>995</v>
      </c>
    </row>
  </sheetData>
  <protectedRanges>
    <protectedRange password="CCAA" sqref="K8" name="Oblast1_1_1_1_1"/>
    <protectedRange password="CCAA" sqref="D9:H10" name="Oblast1_2_1_1_1_1"/>
  </protectedRanges>
  <autoFilter ref="C10:P85" xr:uid="{5819F49F-7147-4A2B-A115-178A387D51F3}"/>
  <mergeCells count="3">
    <mergeCell ref="K9:M9"/>
    <mergeCell ref="N9:P9"/>
    <mergeCell ref="Q12:Q14"/>
  </mergeCells>
  <pageMargins left="0.39370078740157483" right="0.39370078740157483" top="0.39370078740157483" bottom="0.39370078740157483" header="0" footer="0"/>
  <pageSetup paperSize="9" scale="48" fitToHeight="0" orientation="portrait" r:id="rId1"/>
  <headerFooter>
    <oddFooter>&amp;CStrana &amp;P z &amp;N</oddFooter>
  </headerFooter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pageSetUpPr fitToPage="1"/>
  </sheetPr>
  <dimension ref="A1:X74"/>
  <sheetViews>
    <sheetView showGridLines="0" view="pageBreakPreview" topLeftCell="A26" zoomScale="60" zoomScaleNormal="90" workbookViewId="0">
      <selection activeCell="J74" sqref="J74"/>
    </sheetView>
  </sheetViews>
  <sheetFormatPr defaultColWidth="9.33203125" defaultRowHeight="11.25" x14ac:dyDescent="0.2"/>
  <cols>
    <col min="1" max="1" width="8.33203125" style="60" customWidth="1"/>
    <col min="2" max="2" width="1.6640625" style="60" customWidth="1"/>
    <col min="3" max="3" width="4.1640625" style="60" customWidth="1"/>
    <col min="4" max="4" width="4.33203125" style="60" customWidth="1"/>
    <col min="5" max="5" width="17.1640625" style="60" customWidth="1"/>
    <col min="6" max="6" width="56.83203125" style="60" customWidth="1"/>
    <col min="7" max="7" width="7" style="60" customWidth="1"/>
    <col min="8" max="8" width="11.5" style="60" customWidth="1"/>
    <col min="9" max="9" width="11" style="60" customWidth="1"/>
    <col min="10" max="10" width="19.83203125" style="60" customWidth="1"/>
    <col min="11" max="11" width="11.1640625" style="60" customWidth="1"/>
    <col min="12" max="12" width="17.1640625" style="60" customWidth="1"/>
    <col min="13" max="13" width="12.33203125" style="60" bestFit="1" customWidth="1"/>
    <col min="14" max="14" width="11.1640625" style="60" customWidth="1"/>
    <col min="15" max="15" width="14.33203125" style="60" customWidth="1"/>
    <col min="16" max="16" width="17.83203125" style="60" customWidth="1"/>
    <col min="17" max="18" width="11.1640625" style="60" customWidth="1"/>
    <col min="19" max="20" width="0" style="60" hidden="1" customWidth="1"/>
    <col min="21" max="21" width="164.5" style="60" bestFit="1" customWidth="1"/>
    <col min="22" max="22" width="19.6640625" style="60" bestFit="1" customWidth="1"/>
    <col min="23" max="23" width="12.1640625" style="60" bestFit="1" customWidth="1"/>
    <col min="24" max="24" width="9.33203125" style="60" hidden="1" customWidth="1"/>
    <col min="25" max="16384" width="9.33203125" style="60"/>
  </cols>
  <sheetData>
    <row r="1" spans="1:23" ht="15" x14ac:dyDescent="0.2">
      <c r="F1" s="3"/>
      <c r="G1" s="4"/>
      <c r="H1" s="1"/>
      <c r="J1" s="61"/>
    </row>
    <row r="2" spans="1:23" s="1" customFormat="1" ht="15" x14ac:dyDescent="0.2">
      <c r="E2" s="2"/>
      <c r="F2" s="3" t="s">
        <v>979</v>
      </c>
      <c r="G2" s="4" t="str">
        <f>'[1]VRN 01'!G3</f>
        <v>Odkanalizování povodí Jizery - část B</v>
      </c>
      <c r="I2" s="5"/>
      <c r="J2" s="63"/>
      <c r="K2" s="10"/>
      <c r="L2" s="11"/>
      <c r="M2" s="11"/>
      <c r="N2" s="64"/>
    </row>
    <row r="3" spans="1:23" s="1" customFormat="1" ht="15" x14ac:dyDescent="0.2">
      <c r="E3" s="2"/>
      <c r="F3" s="3" t="s">
        <v>980</v>
      </c>
      <c r="G3" s="4" t="str">
        <f>+'Rekapitulace stavby'!D2</f>
        <v>ÚHERCE, výstavba kanalizace - UZNATELNÉ NÁKLADY - doměrky</v>
      </c>
      <c r="H3" s="2"/>
      <c r="I3" s="5"/>
      <c r="J3" s="63"/>
      <c r="K3" s="10"/>
      <c r="L3" s="11"/>
      <c r="M3" s="11"/>
      <c r="N3" s="64"/>
    </row>
    <row r="4" spans="1:23" s="2" customFormat="1" ht="15" x14ac:dyDescent="0.2">
      <c r="F4" s="12" t="s">
        <v>981</v>
      </c>
      <c r="G4" s="13" t="str">
        <f>'[1]VRN 01'!G5</f>
        <v>VRI/SOD/2020/Ži</v>
      </c>
      <c r="I4" s="5"/>
      <c r="J4" s="65"/>
      <c r="K4" s="18"/>
      <c r="L4" s="19"/>
      <c r="M4" s="19"/>
      <c r="N4" s="66"/>
    </row>
    <row r="5" spans="1:23" s="2" customFormat="1" ht="15" x14ac:dyDescent="0.2">
      <c r="F5" s="12" t="s">
        <v>983</v>
      </c>
      <c r="G5" s="13" t="s">
        <v>1001</v>
      </c>
      <c r="I5" s="5"/>
      <c r="J5" s="65"/>
      <c r="K5" s="18"/>
      <c r="L5" s="19"/>
      <c r="M5" s="19"/>
      <c r="N5" s="66"/>
    </row>
    <row r="6" spans="1:23" s="2" customFormat="1" ht="15" x14ac:dyDescent="0.2">
      <c r="F6" s="3" t="s">
        <v>984</v>
      </c>
      <c r="G6" s="13" t="str">
        <f>'[1]VRN 01'!G7</f>
        <v>Vododvody a kanalizace Mladá Boleslav, a.s.</v>
      </c>
      <c r="I6" s="5"/>
      <c r="J6" s="65"/>
      <c r="K6" s="18"/>
      <c r="L6" s="19"/>
      <c r="M6" s="19"/>
      <c r="N6" s="66"/>
    </row>
    <row r="7" spans="1:23" s="2" customFormat="1" ht="15" x14ac:dyDescent="0.2">
      <c r="F7" s="3" t="s">
        <v>986</v>
      </c>
      <c r="G7" s="20" t="str">
        <f>'[1]VRN 01'!G8</f>
        <v>VCES a.s.</v>
      </c>
      <c r="H7" s="67"/>
      <c r="I7" s="5"/>
      <c r="J7" s="65"/>
      <c r="K7" s="18"/>
      <c r="L7" s="19"/>
      <c r="M7" s="19"/>
      <c r="N7" s="66"/>
    </row>
    <row r="8" spans="1:23" s="68" customFormat="1" ht="12.75" x14ac:dyDescent="0.2">
      <c r="D8" s="69"/>
      <c r="F8" s="3"/>
      <c r="G8" s="20"/>
      <c r="H8" s="67"/>
      <c r="K8" s="72" t="s">
        <v>996</v>
      </c>
      <c r="L8" s="73" t="str">
        <f>+C12</f>
        <v>17 - SO 01.P - Stoka B.3</v>
      </c>
      <c r="M8" s="73"/>
      <c r="O8" s="74"/>
    </row>
    <row r="9" spans="1:23" s="75" customFormat="1" ht="12.75" x14ac:dyDescent="0.2">
      <c r="C9" s="76"/>
      <c r="D9" s="77"/>
      <c r="E9" s="77"/>
      <c r="F9" s="77"/>
      <c r="G9" s="77"/>
      <c r="H9" s="77"/>
      <c r="I9" s="78"/>
      <c r="J9" s="79"/>
      <c r="K9" s="332" t="s">
        <v>1266</v>
      </c>
      <c r="L9" s="332"/>
      <c r="M9" s="332"/>
      <c r="N9" s="339" t="s">
        <v>1267</v>
      </c>
      <c r="O9" s="339"/>
      <c r="P9" s="340"/>
    </row>
    <row r="10" spans="1:23" s="75" customFormat="1" ht="24" x14ac:dyDescent="0.2">
      <c r="C10" s="80"/>
      <c r="D10" s="81" t="s">
        <v>997</v>
      </c>
      <c r="E10" s="81" t="s">
        <v>976</v>
      </c>
      <c r="F10" s="81" t="s">
        <v>977</v>
      </c>
      <c r="G10" s="81" t="s">
        <v>64</v>
      </c>
      <c r="H10" s="82" t="s">
        <v>65</v>
      </c>
      <c r="I10" s="83" t="s">
        <v>998</v>
      </c>
      <c r="J10" s="84" t="s">
        <v>978</v>
      </c>
      <c r="K10" s="218" t="s">
        <v>999</v>
      </c>
      <c r="L10" s="219" t="s">
        <v>1260</v>
      </c>
      <c r="M10" s="220" t="s">
        <v>978</v>
      </c>
      <c r="N10" s="263" t="s">
        <v>1264</v>
      </c>
      <c r="O10" s="264" t="s">
        <v>1260</v>
      </c>
      <c r="P10" s="265" t="s">
        <v>978</v>
      </c>
      <c r="Q10" s="157" t="s">
        <v>1132</v>
      </c>
      <c r="U10" s="157" t="s">
        <v>1150</v>
      </c>
    </row>
    <row r="11" spans="1:23" x14ac:dyDescent="0.2">
      <c r="U11" s="327" t="s">
        <v>1159</v>
      </c>
      <c r="V11" s="348" t="s">
        <v>1176</v>
      </c>
    </row>
    <row r="12" spans="1:23" s="109" customFormat="1" ht="15.75" x14ac:dyDescent="0.25">
      <c r="A12" s="97"/>
      <c r="B12" s="97"/>
      <c r="C12" s="98" t="s">
        <v>395</v>
      </c>
      <c r="D12" s="97"/>
      <c r="E12" s="97"/>
      <c r="F12" s="97"/>
      <c r="G12" s="97"/>
      <c r="H12" s="97"/>
      <c r="I12" s="97"/>
      <c r="J12" s="99">
        <v>282788.32999999996</v>
      </c>
      <c r="U12" s="327"/>
      <c r="V12" s="348"/>
    </row>
    <row r="13" spans="1:23" s="110" customFormat="1" ht="15" x14ac:dyDescent="0.2">
      <c r="D13" s="111" t="s">
        <v>3</v>
      </c>
      <c r="E13" s="112" t="s">
        <v>66</v>
      </c>
      <c r="F13" s="112" t="s">
        <v>67</v>
      </c>
      <c r="J13" s="113">
        <v>282788.32999999996</v>
      </c>
      <c r="Q13" s="110" t="s">
        <v>1146</v>
      </c>
      <c r="U13" s="327"/>
      <c r="V13" s="348"/>
    </row>
    <row r="14" spans="1:23" s="110" customFormat="1" ht="12.75" x14ac:dyDescent="0.2">
      <c r="C14" s="252"/>
      <c r="D14" s="253" t="s">
        <v>3</v>
      </c>
      <c r="E14" s="254" t="s">
        <v>7</v>
      </c>
      <c r="F14" s="254" t="s">
        <v>68</v>
      </c>
      <c r="G14" s="252"/>
      <c r="H14" s="252"/>
      <c r="I14" s="252"/>
      <c r="J14" s="255">
        <v>111201.01</v>
      </c>
      <c r="K14" s="252"/>
      <c r="L14" s="252"/>
      <c r="M14" s="258">
        <f>SUM(M15:M34)</f>
        <v>-456.36279999999999</v>
      </c>
      <c r="N14" s="252"/>
      <c r="O14" s="252"/>
      <c r="P14" s="258">
        <f>SUM(P15:P34)</f>
        <v>110744.64383999998</v>
      </c>
      <c r="U14" s="327"/>
      <c r="V14" s="348"/>
      <c r="W14" s="109">
        <v>4.3446777697321304E-3</v>
      </c>
    </row>
    <row r="15" spans="1:23" s="109" customFormat="1" ht="60" x14ac:dyDescent="0.2">
      <c r="A15" s="97"/>
      <c r="B15" s="116"/>
      <c r="C15" s="117" t="s">
        <v>7</v>
      </c>
      <c r="D15" s="117" t="s">
        <v>69</v>
      </c>
      <c r="E15" s="118" t="s">
        <v>79</v>
      </c>
      <c r="F15" s="119" t="s">
        <v>80</v>
      </c>
      <c r="G15" s="120" t="s">
        <v>72</v>
      </c>
      <c r="H15" s="121">
        <v>30.382000000000001</v>
      </c>
      <c r="I15" s="122">
        <v>26.3</v>
      </c>
      <c r="J15" s="122">
        <v>799.05</v>
      </c>
      <c r="K15" s="85">
        <v>0</v>
      </c>
      <c r="L15" s="86">
        <f>I15</f>
        <v>26.3</v>
      </c>
      <c r="M15" s="277">
        <f>K15*L15</f>
        <v>0</v>
      </c>
      <c r="N15" s="87">
        <f>H15+K15</f>
        <v>30.382000000000001</v>
      </c>
      <c r="O15" s="88">
        <f>I15</f>
        <v>26.3</v>
      </c>
      <c r="P15" s="278">
        <f>N15*O15</f>
        <v>799.04660000000001</v>
      </c>
      <c r="W15" s="177"/>
    </row>
    <row r="16" spans="1:23" s="109" customFormat="1" ht="60" x14ac:dyDescent="0.2">
      <c r="A16" s="97"/>
      <c r="B16" s="116"/>
      <c r="C16" s="117" t="s">
        <v>8</v>
      </c>
      <c r="D16" s="117" t="s">
        <v>69</v>
      </c>
      <c r="E16" s="118" t="s">
        <v>74</v>
      </c>
      <c r="F16" s="119" t="s">
        <v>75</v>
      </c>
      <c r="G16" s="120" t="s">
        <v>72</v>
      </c>
      <c r="H16" s="121">
        <v>30.382000000000001</v>
      </c>
      <c r="I16" s="122">
        <v>40.770000000000003</v>
      </c>
      <c r="J16" s="122">
        <v>1238.67</v>
      </c>
      <c r="K16" s="85">
        <v>0</v>
      </c>
      <c r="L16" s="86">
        <f t="shared" ref="L16:L70" si="0">I16</f>
        <v>40.770000000000003</v>
      </c>
      <c r="M16" s="277">
        <f t="shared" ref="M16:M70" si="1">K16*L16</f>
        <v>0</v>
      </c>
      <c r="N16" s="87">
        <f t="shared" ref="N16:N70" si="2">H16+K16</f>
        <v>30.382000000000001</v>
      </c>
      <c r="O16" s="88">
        <f t="shared" ref="O16:O70" si="3">I16</f>
        <v>40.770000000000003</v>
      </c>
      <c r="P16" s="278">
        <f t="shared" ref="P16:P70" si="4">N16*O16</f>
        <v>1238.6741400000001</v>
      </c>
      <c r="W16" s="177"/>
    </row>
    <row r="17" spans="1:23" s="109" customFormat="1" ht="48" x14ac:dyDescent="0.2">
      <c r="A17" s="97"/>
      <c r="B17" s="116"/>
      <c r="C17" s="117" t="s">
        <v>76</v>
      </c>
      <c r="D17" s="117" t="s">
        <v>69</v>
      </c>
      <c r="E17" s="118" t="s">
        <v>82</v>
      </c>
      <c r="F17" s="119" t="s">
        <v>83</v>
      </c>
      <c r="G17" s="120" t="s">
        <v>72</v>
      </c>
      <c r="H17" s="121">
        <v>30.382000000000001</v>
      </c>
      <c r="I17" s="122">
        <v>39.46</v>
      </c>
      <c r="J17" s="122">
        <v>1198.8699999999999</v>
      </c>
      <c r="K17" s="85">
        <v>0</v>
      </c>
      <c r="L17" s="86">
        <f t="shared" si="0"/>
        <v>39.46</v>
      </c>
      <c r="M17" s="277">
        <f t="shared" si="1"/>
        <v>0</v>
      </c>
      <c r="N17" s="87">
        <f t="shared" si="2"/>
        <v>30.382000000000001</v>
      </c>
      <c r="O17" s="88">
        <f t="shared" si="3"/>
        <v>39.46</v>
      </c>
      <c r="P17" s="278">
        <f t="shared" si="4"/>
        <v>1198.87372</v>
      </c>
      <c r="W17" s="177"/>
    </row>
    <row r="18" spans="1:23" s="109" customFormat="1" ht="48" x14ac:dyDescent="0.2">
      <c r="A18" s="97"/>
      <c r="B18" s="116"/>
      <c r="C18" s="117" t="s">
        <v>73</v>
      </c>
      <c r="D18" s="117" t="s">
        <v>69</v>
      </c>
      <c r="E18" s="118" t="s">
        <v>85</v>
      </c>
      <c r="F18" s="119" t="s">
        <v>86</v>
      </c>
      <c r="G18" s="120" t="s">
        <v>72</v>
      </c>
      <c r="H18" s="121">
        <v>46.954000000000001</v>
      </c>
      <c r="I18" s="122">
        <v>55.24</v>
      </c>
      <c r="J18" s="122">
        <v>2593.7399999999998</v>
      </c>
      <c r="K18" s="85">
        <v>0</v>
      </c>
      <c r="L18" s="86">
        <f t="shared" si="0"/>
        <v>55.24</v>
      </c>
      <c r="M18" s="277">
        <f t="shared" si="1"/>
        <v>0</v>
      </c>
      <c r="N18" s="87">
        <f t="shared" si="2"/>
        <v>46.954000000000001</v>
      </c>
      <c r="O18" s="88">
        <f t="shared" si="3"/>
        <v>55.24</v>
      </c>
      <c r="P18" s="278">
        <f t="shared" si="4"/>
        <v>2593.7389600000001</v>
      </c>
      <c r="W18" s="177"/>
    </row>
    <row r="19" spans="1:23" s="109" customFormat="1" ht="84" x14ac:dyDescent="0.2">
      <c r="A19" s="97"/>
      <c r="B19" s="116"/>
      <c r="C19" s="117" t="s">
        <v>81</v>
      </c>
      <c r="D19" s="117" t="s">
        <v>69</v>
      </c>
      <c r="E19" s="118" t="s">
        <v>88</v>
      </c>
      <c r="F19" s="119" t="s">
        <v>89</v>
      </c>
      <c r="G19" s="120" t="s">
        <v>61</v>
      </c>
      <c r="H19" s="121">
        <v>2.2000000000000002</v>
      </c>
      <c r="I19" s="122">
        <v>170.98</v>
      </c>
      <c r="J19" s="122">
        <v>376.16</v>
      </c>
      <c r="K19" s="85">
        <f>ROUND(27.5/27.62*H19-H19,2)</f>
        <v>-0.01</v>
      </c>
      <c r="L19" s="86">
        <f t="shared" si="0"/>
        <v>170.98</v>
      </c>
      <c r="M19" s="277">
        <f t="shared" si="1"/>
        <v>-1.7098</v>
      </c>
      <c r="N19" s="87">
        <f t="shared" si="2"/>
        <v>2.1900000000000004</v>
      </c>
      <c r="O19" s="88">
        <f t="shared" si="3"/>
        <v>170.98</v>
      </c>
      <c r="P19" s="278">
        <f t="shared" si="4"/>
        <v>374.44620000000003</v>
      </c>
      <c r="W19" s="177"/>
    </row>
    <row r="20" spans="1:23" s="109" customFormat="1" ht="36" x14ac:dyDescent="0.2">
      <c r="A20" s="97"/>
      <c r="B20" s="116"/>
      <c r="C20" s="117" t="s">
        <v>84</v>
      </c>
      <c r="D20" s="117" t="s">
        <v>69</v>
      </c>
      <c r="E20" s="118" t="s">
        <v>94</v>
      </c>
      <c r="F20" s="119" t="s">
        <v>95</v>
      </c>
      <c r="G20" s="120" t="s">
        <v>62</v>
      </c>
      <c r="H20" s="121">
        <v>8.6199999999999992</v>
      </c>
      <c r="I20" s="122">
        <v>257.77999999999997</v>
      </c>
      <c r="J20" s="122">
        <v>2222.06</v>
      </c>
      <c r="K20" s="85">
        <f t="shared" ref="K20:K36" si="5">ROUND(27.5/27.62*H20-H20,2)</f>
        <v>-0.04</v>
      </c>
      <c r="L20" s="86">
        <f t="shared" si="0"/>
        <v>257.77999999999997</v>
      </c>
      <c r="M20" s="277">
        <f t="shared" si="1"/>
        <v>-10.311199999999999</v>
      </c>
      <c r="N20" s="87">
        <f t="shared" si="2"/>
        <v>8.58</v>
      </c>
      <c r="O20" s="88">
        <f t="shared" si="3"/>
        <v>257.77999999999997</v>
      </c>
      <c r="P20" s="278">
        <f t="shared" si="4"/>
        <v>2211.7523999999999</v>
      </c>
      <c r="W20" s="177"/>
    </row>
    <row r="21" spans="1:23" s="109" customFormat="1" ht="36" x14ac:dyDescent="0.2">
      <c r="A21" s="97"/>
      <c r="B21" s="116"/>
      <c r="C21" s="117" t="s">
        <v>87</v>
      </c>
      <c r="D21" s="117" t="s">
        <v>69</v>
      </c>
      <c r="E21" s="118" t="s">
        <v>96</v>
      </c>
      <c r="F21" s="119" t="s">
        <v>97</v>
      </c>
      <c r="G21" s="120" t="s">
        <v>62</v>
      </c>
      <c r="H21" s="121">
        <v>14.37</v>
      </c>
      <c r="I21" s="122">
        <v>234.11</v>
      </c>
      <c r="J21" s="122">
        <v>3364.16</v>
      </c>
      <c r="K21" s="85">
        <f t="shared" si="5"/>
        <v>-0.06</v>
      </c>
      <c r="L21" s="86">
        <f t="shared" si="0"/>
        <v>234.11</v>
      </c>
      <c r="M21" s="277">
        <f t="shared" si="1"/>
        <v>-14.0466</v>
      </c>
      <c r="N21" s="87">
        <f t="shared" si="2"/>
        <v>14.309999999999999</v>
      </c>
      <c r="O21" s="88">
        <f t="shared" si="3"/>
        <v>234.11</v>
      </c>
      <c r="P21" s="278">
        <f t="shared" si="4"/>
        <v>3350.1140999999998</v>
      </c>
      <c r="W21" s="177"/>
    </row>
    <row r="22" spans="1:23" s="109" customFormat="1" ht="36" x14ac:dyDescent="0.2">
      <c r="A22" s="97"/>
      <c r="B22" s="116"/>
      <c r="C22" s="117" t="s">
        <v>90</v>
      </c>
      <c r="D22" s="117" t="s">
        <v>69</v>
      </c>
      <c r="E22" s="118" t="s">
        <v>98</v>
      </c>
      <c r="F22" s="119" t="s">
        <v>99</v>
      </c>
      <c r="G22" s="120" t="s">
        <v>62</v>
      </c>
      <c r="H22" s="121">
        <v>28.73</v>
      </c>
      <c r="I22" s="122">
        <v>257.77999999999997</v>
      </c>
      <c r="J22" s="122">
        <v>7406.02</v>
      </c>
      <c r="K22" s="85">
        <f t="shared" si="5"/>
        <v>-0.12</v>
      </c>
      <c r="L22" s="86">
        <f t="shared" si="0"/>
        <v>257.77999999999997</v>
      </c>
      <c r="M22" s="277">
        <f t="shared" si="1"/>
        <v>-30.933599999999995</v>
      </c>
      <c r="N22" s="87">
        <f t="shared" si="2"/>
        <v>28.61</v>
      </c>
      <c r="O22" s="88">
        <f t="shared" si="3"/>
        <v>257.77999999999997</v>
      </c>
      <c r="P22" s="278">
        <f t="shared" si="4"/>
        <v>7375.0857999999989</v>
      </c>
      <c r="W22" s="177"/>
    </row>
    <row r="23" spans="1:23" s="109" customFormat="1" ht="36" x14ac:dyDescent="0.2">
      <c r="A23" s="97"/>
      <c r="B23" s="116"/>
      <c r="C23" s="117" t="s">
        <v>93</v>
      </c>
      <c r="D23" s="117" t="s">
        <v>69</v>
      </c>
      <c r="E23" s="118" t="s">
        <v>100</v>
      </c>
      <c r="F23" s="119" t="s">
        <v>101</v>
      </c>
      <c r="G23" s="120" t="s">
        <v>62</v>
      </c>
      <c r="H23" s="121">
        <v>28.73</v>
      </c>
      <c r="I23" s="122">
        <v>315.64999999999998</v>
      </c>
      <c r="J23" s="122">
        <v>9068.6200000000008</v>
      </c>
      <c r="K23" s="85">
        <f t="shared" si="5"/>
        <v>-0.12</v>
      </c>
      <c r="L23" s="86">
        <f t="shared" si="0"/>
        <v>315.64999999999998</v>
      </c>
      <c r="M23" s="277">
        <f t="shared" si="1"/>
        <v>-37.877999999999993</v>
      </c>
      <c r="N23" s="87">
        <f t="shared" si="2"/>
        <v>28.61</v>
      </c>
      <c r="O23" s="88">
        <f t="shared" si="3"/>
        <v>315.64999999999998</v>
      </c>
      <c r="P23" s="278">
        <f t="shared" si="4"/>
        <v>9030.7464999999993</v>
      </c>
      <c r="W23" s="177"/>
    </row>
    <row r="24" spans="1:23" s="109" customFormat="1" ht="36" x14ac:dyDescent="0.2">
      <c r="A24" s="97"/>
      <c r="B24" s="116"/>
      <c r="C24" s="117" t="s">
        <v>26</v>
      </c>
      <c r="D24" s="117" t="s">
        <v>69</v>
      </c>
      <c r="E24" s="118" t="s">
        <v>102</v>
      </c>
      <c r="F24" s="119" t="s">
        <v>103</v>
      </c>
      <c r="G24" s="120" t="s">
        <v>72</v>
      </c>
      <c r="H24" s="121">
        <v>145.99</v>
      </c>
      <c r="I24" s="122">
        <v>69.709999999999994</v>
      </c>
      <c r="J24" s="122">
        <v>10176.959999999999</v>
      </c>
      <c r="K24" s="85">
        <f t="shared" si="5"/>
        <v>-0.63</v>
      </c>
      <c r="L24" s="86">
        <f t="shared" si="0"/>
        <v>69.709999999999994</v>
      </c>
      <c r="M24" s="277">
        <f t="shared" si="1"/>
        <v>-43.917299999999997</v>
      </c>
      <c r="N24" s="87">
        <f t="shared" si="2"/>
        <v>145.36000000000001</v>
      </c>
      <c r="O24" s="88">
        <f t="shared" si="3"/>
        <v>69.709999999999994</v>
      </c>
      <c r="P24" s="278">
        <f t="shared" si="4"/>
        <v>10133.045599999999</v>
      </c>
      <c r="W24" s="177"/>
    </row>
    <row r="25" spans="1:23" s="109" customFormat="1" ht="36" x14ac:dyDescent="0.2">
      <c r="A25" s="97"/>
      <c r="B25" s="116"/>
      <c r="C25" s="117" t="s">
        <v>28</v>
      </c>
      <c r="D25" s="117" t="s">
        <v>69</v>
      </c>
      <c r="E25" s="118" t="s">
        <v>104</v>
      </c>
      <c r="F25" s="119" t="s">
        <v>105</v>
      </c>
      <c r="G25" s="120" t="s">
        <v>72</v>
      </c>
      <c r="H25" s="121">
        <v>145.99</v>
      </c>
      <c r="I25" s="122">
        <v>80.23</v>
      </c>
      <c r="J25" s="122">
        <v>11712.78</v>
      </c>
      <c r="K25" s="85">
        <f t="shared" si="5"/>
        <v>-0.63</v>
      </c>
      <c r="L25" s="86">
        <f t="shared" si="0"/>
        <v>80.23</v>
      </c>
      <c r="M25" s="277">
        <f t="shared" si="1"/>
        <v>-50.544900000000005</v>
      </c>
      <c r="N25" s="87">
        <f t="shared" si="2"/>
        <v>145.36000000000001</v>
      </c>
      <c r="O25" s="88">
        <f t="shared" si="3"/>
        <v>80.23</v>
      </c>
      <c r="P25" s="278">
        <f t="shared" si="4"/>
        <v>11662.232800000002</v>
      </c>
      <c r="W25" s="177"/>
    </row>
    <row r="26" spans="1:23" s="109" customFormat="1" ht="48" x14ac:dyDescent="0.2">
      <c r="A26" s="97"/>
      <c r="B26" s="116"/>
      <c r="C26" s="117" t="s">
        <v>30</v>
      </c>
      <c r="D26" s="117" t="s">
        <v>69</v>
      </c>
      <c r="E26" s="118" t="s">
        <v>106</v>
      </c>
      <c r="F26" s="119" t="s">
        <v>107</v>
      </c>
      <c r="G26" s="120" t="s">
        <v>62</v>
      </c>
      <c r="H26" s="121">
        <v>43.097999999999999</v>
      </c>
      <c r="I26" s="122">
        <v>13.15</v>
      </c>
      <c r="J26" s="122">
        <v>566.74</v>
      </c>
      <c r="K26" s="85">
        <f t="shared" si="5"/>
        <v>-0.19</v>
      </c>
      <c r="L26" s="86">
        <f t="shared" si="0"/>
        <v>13.15</v>
      </c>
      <c r="M26" s="277">
        <f t="shared" si="1"/>
        <v>-2.4984999999999999</v>
      </c>
      <c r="N26" s="87">
        <f t="shared" si="2"/>
        <v>42.908000000000001</v>
      </c>
      <c r="O26" s="88">
        <f t="shared" si="3"/>
        <v>13.15</v>
      </c>
      <c r="P26" s="278">
        <f t="shared" si="4"/>
        <v>564.24020000000007</v>
      </c>
      <c r="W26" s="177"/>
    </row>
    <row r="27" spans="1:23" s="109" customFormat="1" ht="48" x14ac:dyDescent="0.2">
      <c r="A27" s="97"/>
      <c r="B27" s="116"/>
      <c r="C27" s="117" t="s">
        <v>32</v>
      </c>
      <c r="D27" s="117" t="s">
        <v>69</v>
      </c>
      <c r="E27" s="118" t="s">
        <v>108</v>
      </c>
      <c r="F27" s="119" t="s">
        <v>109</v>
      </c>
      <c r="G27" s="120" t="s">
        <v>62</v>
      </c>
      <c r="H27" s="121">
        <v>119.29</v>
      </c>
      <c r="I27" s="122">
        <v>186.62</v>
      </c>
      <c r="J27" s="122">
        <v>22261.9</v>
      </c>
      <c r="K27" s="85">
        <f t="shared" si="5"/>
        <v>-0.52</v>
      </c>
      <c r="L27" s="86">
        <f t="shared" si="0"/>
        <v>186.62</v>
      </c>
      <c r="M27" s="277">
        <f t="shared" si="1"/>
        <v>-97.042400000000001</v>
      </c>
      <c r="N27" s="87">
        <f t="shared" si="2"/>
        <v>118.77000000000001</v>
      </c>
      <c r="O27" s="88">
        <f t="shared" si="3"/>
        <v>186.62</v>
      </c>
      <c r="P27" s="278">
        <f t="shared" si="4"/>
        <v>22164.857400000001</v>
      </c>
      <c r="W27" s="177"/>
    </row>
    <row r="28" spans="1:23" s="109" customFormat="1" ht="36" x14ac:dyDescent="0.2">
      <c r="A28" s="97"/>
      <c r="B28" s="116"/>
      <c r="C28" s="117" t="s">
        <v>34</v>
      </c>
      <c r="D28" s="117" t="s">
        <v>69</v>
      </c>
      <c r="E28" s="118" t="s">
        <v>110</v>
      </c>
      <c r="F28" s="119" t="s">
        <v>111</v>
      </c>
      <c r="G28" s="120" t="s">
        <v>62</v>
      </c>
      <c r="H28" s="121">
        <v>71.83</v>
      </c>
      <c r="I28" s="122">
        <v>44.72</v>
      </c>
      <c r="J28" s="122">
        <v>3212.24</v>
      </c>
      <c r="K28" s="85">
        <f t="shared" si="5"/>
        <v>-0.31</v>
      </c>
      <c r="L28" s="86">
        <f t="shared" si="0"/>
        <v>44.72</v>
      </c>
      <c r="M28" s="277">
        <f t="shared" si="1"/>
        <v>-13.863199999999999</v>
      </c>
      <c r="N28" s="87">
        <f t="shared" si="2"/>
        <v>71.52</v>
      </c>
      <c r="O28" s="88">
        <f t="shared" si="3"/>
        <v>44.72</v>
      </c>
      <c r="P28" s="278">
        <f t="shared" si="4"/>
        <v>3198.3743999999997</v>
      </c>
      <c r="W28" s="177"/>
    </row>
    <row r="29" spans="1:23" s="109" customFormat="1" ht="48" x14ac:dyDescent="0.2">
      <c r="A29" s="97"/>
      <c r="B29" s="116"/>
      <c r="C29" s="117" t="s">
        <v>1</v>
      </c>
      <c r="D29" s="117" t="s">
        <v>69</v>
      </c>
      <c r="E29" s="118" t="s">
        <v>112</v>
      </c>
      <c r="F29" s="119" t="s">
        <v>113</v>
      </c>
      <c r="G29" s="120" t="s">
        <v>62</v>
      </c>
      <c r="H29" s="121">
        <v>24.4</v>
      </c>
      <c r="I29" s="122">
        <v>247.39</v>
      </c>
      <c r="J29" s="122">
        <v>6036.32</v>
      </c>
      <c r="K29" s="85">
        <f t="shared" si="5"/>
        <v>-0.11</v>
      </c>
      <c r="L29" s="86">
        <f t="shared" si="0"/>
        <v>247.39</v>
      </c>
      <c r="M29" s="277">
        <f t="shared" si="1"/>
        <v>-27.212899999999998</v>
      </c>
      <c r="N29" s="87">
        <f t="shared" si="2"/>
        <v>24.29</v>
      </c>
      <c r="O29" s="88">
        <f t="shared" si="3"/>
        <v>247.39</v>
      </c>
      <c r="P29" s="278">
        <f t="shared" si="4"/>
        <v>6009.1030999999994</v>
      </c>
      <c r="W29" s="177"/>
    </row>
    <row r="30" spans="1:23" s="109" customFormat="1" ht="12" x14ac:dyDescent="0.2">
      <c r="A30" s="97"/>
      <c r="B30" s="116"/>
      <c r="C30" s="117" t="s">
        <v>37</v>
      </c>
      <c r="D30" s="117" t="s">
        <v>69</v>
      </c>
      <c r="E30" s="118" t="s">
        <v>115</v>
      </c>
      <c r="F30" s="119" t="s">
        <v>116</v>
      </c>
      <c r="G30" s="120" t="s">
        <v>62</v>
      </c>
      <c r="H30" s="121">
        <v>24.4</v>
      </c>
      <c r="I30" s="122">
        <v>11.84</v>
      </c>
      <c r="J30" s="122">
        <v>288.89999999999998</v>
      </c>
      <c r="K30" s="85">
        <f t="shared" si="5"/>
        <v>-0.11</v>
      </c>
      <c r="L30" s="86">
        <f t="shared" si="0"/>
        <v>11.84</v>
      </c>
      <c r="M30" s="277">
        <f t="shared" si="1"/>
        <v>-1.3024</v>
      </c>
      <c r="N30" s="87">
        <f t="shared" si="2"/>
        <v>24.29</v>
      </c>
      <c r="O30" s="88">
        <f t="shared" si="3"/>
        <v>11.84</v>
      </c>
      <c r="P30" s="278">
        <f t="shared" si="4"/>
        <v>287.59359999999998</v>
      </c>
      <c r="W30" s="177"/>
    </row>
    <row r="31" spans="1:23" s="109" customFormat="1" ht="36" x14ac:dyDescent="0.2">
      <c r="A31" s="97"/>
      <c r="B31" s="116"/>
      <c r="C31" s="117" t="s">
        <v>39</v>
      </c>
      <c r="D31" s="117" t="s">
        <v>69</v>
      </c>
      <c r="E31" s="118" t="s">
        <v>118</v>
      </c>
      <c r="F31" s="119" t="s">
        <v>119</v>
      </c>
      <c r="G31" s="120" t="s">
        <v>120</v>
      </c>
      <c r="H31" s="121">
        <v>38.994999999999997</v>
      </c>
      <c r="I31" s="122">
        <v>116</v>
      </c>
      <c r="J31" s="122">
        <v>4523.42</v>
      </c>
      <c r="K31" s="85">
        <f t="shared" si="5"/>
        <v>-0.17</v>
      </c>
      <c r="L31" s="86">
        <f t="shared" si="0"/>
        <v>116</v>
      </c>
      <c r="M31" s="277">
        <f t="shared" si="1"/>
        <v>-19.720000000000002</v>
      </c>
      <c r="N31" s="87">
        <f t="shared" si="2"/>
        <v>38.824999999999996</v>
      </c>
      <c r="O31" s="88">
        <f t="shared" si="3"/>
        <v>116</v>
      </c>
      <c r="P31" s="278">
        <f t="shared" si="4"/>
        <v>4503.7</v>
      </c>
      <c r="Q31" s="148" t="s">
        <v>1137</v>
      </c>
      <c r="W31" s="177"/>
    </row>
    <row r="32" spans="1:23" s="109" customFormat="1" ht="36" x14ac:dyDescent="0.2">
      <c r="A32" s="97"/>
      <c r="B32" s="116"/>
      <c r="C32" s="117" t="s">
        <v>41</v>
      </c>
      <c r="D32" s="117" t="s">
        <v>69</v>
      </c>
      <c r="E32" s="118" t="s">
        <v>121</v>
      </c>
      <c r="F32" s="119" t="s">
        <v>122</v>
      </c>
      <c r="G32" s="120" t="s">
        <v>62</v>
      </c>
      <c r="H32" s="121">
        <v>47.46</v>
      </c>
      <c r="I32" s="122">
        <v>286.72000000000003</v>
      </c>
      <c r="J32" s="122">
        <v>13607.73</v>
      </c>
      <c r="K32" s="85">
        <f t="shared" si="5"/>
        <v>-0.21</v>
      </c>
      <c r="L32" s="86">
        <f t="shared" si="0"/>
        <v>286.72000000000003</v>
      </c>
      <c r="M32" s="277">
        <f t="shared" si="1"/>
        <v>-60.211200000000005</v>
      </c>
      <c r="N32" s="87">
        <f t="shared" si="2"/>
        <v>47.25</v>
      </c>
      <c r="O32" s="88">
        <f t="shared" si="3"/>
        <v>286.72000000000003</v>
      </c>
      <c r="P32" s="278">
        <f t="shared" si="4"/>
        <v>13547.52</v>
      </c>
      <c r="W32" s="177"/>
    </row>
    <row r="33" spans="1:23" s="109" customFormat="1" ht="48" x14ac:dyDescent="0.2">
      <c r="A33" s="97"/>
      <c r="B33" s="116"/>
      <c r="C33" s="117" t="s">
        <v>114</v>
      </c>
      <c r="D33" s="117" t="s">
        <v>69</v>
      </c>
      <c r="E33" s="118" t="s">
        <v>124</v>
      </c>
      <c r="F33" s="119" t="s">
        <v>125</v>
      </c>
      <c r="G33" s="120" t="s">
        <v>62</v>
      </c>
      <c r="H33" s="121">
        <v>15.94</v>
      </c>
      <c r="I33" s="122">
        <v>318.27999999999997</v>
      </c>
      <c r="J33" s="122">
        <v>5073.38</v>
      </c>
      <c r="K33" s="85">
        <f t="shared" si="5"/>
        <v>-7.0000000000000007E-2</v>
      </c>
      <c r="L33" s="86">
        <f t="shared" si="0"/>
        <v>318.27999999999997</v>
      </c>
      <c r="M33" s="277">
        <f t="shared" si="1"/>
        <v>-22.279599999999999</v>
      </c>
      <c r="N33" s="87">
        <f t="shared" si="2"/>
        <v>15.87</v>
      </c>
      <c r="O33" s="88">
        <f t="shared" si="3"/>
        <v>318.27999999999997</v>
      </c>
      <c r="P33" s="278">
        <f t="shared" si="4"/>
        <v>5051.1035999999995</v>
      </c>
      <c r="W33" s="177"/>
    </row>
    <row r="34" spans="1:23" s="109" customFormat="1" ht="12" x14ac:dyDescent="0.2">
      <c r="A34" s="97"/>
      <c r="B34" s="116"/>
      <c r="C34" s="123" t="s">
        <v>117</v>
      </c>
      <c r="D34" s="123" t="s">
        <v>127</v>
      </c>
      <c r="E34" s="124" t="s">
        <v>128</v>
      </c>
      <c r="F34" s="125" t="s">
        <v>129</v>
      </c>
      <c r="G34" s="126" t="s">
        <v>120</v>
      </c>
      <c r="H34" s="127">
        <v>28.692</v>
      </c>
      <c r="I34" s="128">
        <v>190.76</v>
      </c>
      <c r="J34" s="128">
        <v>5473.29</v>
      </c>
      <c r="K34" s="85">
        <f t="shared" si="5"/>
        <v>-0.12</v>
      </c>
      <c r="L34" s="86">
        <f t="shared" si="0"/>
        <v>190.76</v>
      </c>
      <c r="M34" s="277">
        <f t="shared" si="1"/>
        <v>-22.891199999999998</v>
      </c>
      <c r="N34" s="87">
        <f t="shared" si="2"/>
        <v>28.571999999999999</v>
      </c>
      <c r="O34" s="88">
        <f t="shared" si="3"/>
        <v>190.76</v>
      </c>
      <c r="P34" s="278">
        <f t="shared" si="4"/>
        <v>5450.3947199999993</v>
      </c>
      <c r="W34" s="177"/>
    </row>
    <row r="35" spans="1:23" s="110" customFormat="1" ht="12.75" x14ac:dyDescent="0.2">
      <c r="C35" s="245"/>
      <c r="D35" s="246" t="s">
        <v>3</v>
      </c>
      <c r="E35" s="247" t="s">
        <v>76</v>
      </c>
      <c r="F35" s="247" t="s">
        <v>130</v>
      </c>
      <c r="G35" s="245"/>
      <c r="H35" s="245"/>
      <c r="I35" s="245"/>
      <c r="J35" s="248">
        <v>908.15</v>
      </c>
      <c r="K35" s="243"/>
      <c r="L35" s="244"/>
      <c r="M35" s="279">
        <f>M36</f>
        <v>-3.9456000000000002</v>
      </c>
      <c r="N35" s="280"/>
      <c r="O35" s="244"/>
      <c r="P35" s="279">
        <f>P36</f>
        <v>904.2</v>
      </c>
      <c r="V35" s="109"/>
      <c r="W35" s="177"/>
    </row>
    <row r="36" spans="1:23" s="109" customFormat="1" ht="12" x14ac:dyDescent="0.2">
      <c r="A36" s="97"/>
      <c r="B36" s="116"/>
      <c r="C36" s="117" t="s">
        <v>0</v>
      </c>
      <c r="D36" s="117" t="s">
        <v>69</v>
      </c>
      <c r="E36" s="118" t="s">
        <v>132</v>
      </c>
      <c r="F36" s="119" t="s">
        <v>133</v>
      </c>
      <c r="G36" s="120" t="s">
        <v>61</v>
      </c>
      <c r="H36" s="121">
        <v>27.62</v>
      </c>
      <c r="I36" s="122">
        <v>32.880000000000003</v>
      </c>
      <c r="J36" s="122">
        <v>908.15</v>
      </c>
      <c r="K36" s="85">
        <f t="shared" si="5"/>
        <v>-0.12</v>
      </c>
      <c r="L36" s="86">
        <f t="shared" si="0"/>
        <v>32.880000000000003</v>
      </c>
      <c r="M36" s="277">
        <f t="shared" si="1"/>
        <v>-3.9456000000000002</v>
      </c>
      <c r="N36" s="87">
        <f t="shared" si="2"/>
        <v>27.5</v>
      </c>
      <c r="O36" s="88">
        <f t="shared" si="3"/>
        <v>32.880000000000003</v>
      </c>
      <c r="P36" s="278">
        <f t="shared" si="4"/>
        <v>904.2</v>
      </c>
      <c r="W36" s="177"/>
    </row>
    <row r="37" spans="1:23" s="110" customFormat="1" ht="12.75" x14ac:dyDescent="0.2">
      <c r="C37" s="245"/>
      <c r="D37" s="246" t="s">
        <v>3</v>
      </c>
      <c r="E37" s="247" t="s">
        <v>73</v>
      </c>
      <c r="F37" s="247" t="s">
        <v>134</v>
      </c>
      <c r="G37" s="245"/>
      <c r="H37" s="245"/>
      <c r="I37" s="245"/>
      <c r="J37" s="248">
        <v>936.43999999999994</v>
      </c>
      <c r="K37" s="243"/>
      <c r="L37" s="244"/>
      <c r="M37" s="279">
        <f>SUM(M38:M39)</f>
        <v>0</v>
      </c>
      <c r="N37" s="280"/>
      <c r="O37" s="244"/>
      <c r="P37" s="279">
        <f>SUM(P38:P39)</f>
        <v>936.43999999999994</v>
      </c>
      <c r="V37" s="109"/>
      <c r="W37" s="177"/>
    </row>
    <row r="38" spans="1:23" s="109" customFormat="1" ht="24" x14ac:dyDescent="0.2">
      <c r="A38" s="97"/>
      <c r="B38" s="116"/>
      <c r="C38" s="117" t="s">
        <v>123</v>
      </c>
      <c r="D38" s="117" t="s">
        <v>69</v>
      </c>
      <c r="E38" s="118" t="s">
        <v>136</v>
      </c>
      <c r="F38" s="119" t="s">
        <v>137</v>
      </c>
      <c r="G38" s="120" t="s">
        <v>138</v>
      </c>
      <c r="H38" s="121">
        <v>2</v>
      </c>
      <c r="I38" s="122">
        <v>122.32</v>
      </c>
      <c r="J38" s="122">
        <v>244.64</v>
      </c>
      <c r="K38" s="85">
        <v>0</v>
      </c>
      <c r="L38" s="86">
        <f t="shared" si="0"/>
        <v>122.32</v>
      </c>
      <c r="M38" s="277">
        <f t="shared" si="1"/>
        <v>0</v>
      </c>
      <c r="N38" s="87">
        <f t="shared" si="2"/>
        <v>2</v>
      </c>
      <c r="O38" s="88">
        <f t="shared" si="3"/>
        <v>122.32</v>
      </c>
      <c r="P38" s="278">
        <f t="shared" si="4"/>
        <v>244.64</v>
      </c>
      <c r="W38" s="177"/>
    </row>
    <row r="39" spans="1:23" s="109" customFormat="1" ht="12" x14ac:dyDescent="0.2">
      <c r="A39" s="97"/>
      <c r="B39" s="116"/>
      <c r="C39" s="123" t="s">
        <v>126</v>
      </c>
      <c r="D39" s="123" t="s">
        <v>127</v>
      </c>
      <c r="E39" s="124" t="s">
        <v>146</v>
      </c>
      <c r="F39" s="125" t="s">
        <v>147</v>
      </c>
      <c r="G39" s="126" t="s">
        <v>138</v>
      </c>
      <c r="H39" s="127">
        <v>2</v>
      </c>
      <c r="I39" s="128">
        <v>345.9</v>
      </c>
      <c r="J39" s="128">
        <v>691.8</v>
      </c>
      <c r="K39" s="85">
        <v>0</v>
      </c>
      <c r="L39" s="86">
        <f t="shared" si="0"/>
        <v>345.9</v>
      </c>
      <c r="M39" s="277">
        <f t="shared" si="1"/>
        <v>0</v>
      </c>
      <c r="N39" s="87">
        <f t="shared" si="2"/>
        <v>2</v>
      </c>
      <c r="O39" s="88">
        <f t="shared" si="3"/>
        <v>345.9</v>
      </c>
      <c r="P39" s="278">
        <f t="shared" si="4"/>
        <v>691.8</v>
      </c>
      <c r="W39" s="177"/>
    </row>
    <row r="40" spans="1:23" s="110" customFormat="1" ht="12.75" x14ac:dyDescent="0.2">
      <c r="C40" s="245"/>
      <c r="D40" s="246" t="s">
        <v>3</v>
      </c>
      <c r="E40" s="247" t="s">
        <v>81</v>
      </c>
      <c r="F40" s="247" t="s">
        <v>154</v>
      </c>
      <c r="G40" s="245"/>
      <c r="H40" s="245"/>
      <c r="I40" s="245"/>
      <c r="J40" s="248">
        <v>47382.16</v>
      </c>
      <c r="K40" s="243"/>
      <c r="L40" s="244"/>
      <c r="M40" s="279">
        <f>SUM(M41:M45)</f>
        <v>0</v>
      </c>
      <c r="N40" s="280"/>
      <c r="O40" s="244"/>
      <c r="P40" s="279">
        <f>SUM(P41:P45)</f>
        <v>47382.165240000002</v>
      </c>
      <c r="V40" s="109"/>
      <c r="W40" s="177"/>
    </row>
    <row r="41" spans="1:23" s="109" customFormat="1" ht="24" x14ac:dyDescent="0.2">
      <c r="A41" s="97"/>
      <c r="B41" s="116"/>
      <c r="C41" s="117" t="s">
        <v>131</v>
      </c>
      <c r="D41" s="117" t="s">
        <v>69</v>
      </c>
      <c r="E41" s="118" t="s">
        <v>156</v>
      </c>
      <c r="F41" s="119" t="s">
        <v>157</v>
      </c>
      <c r="G41" s="120" t="s">
        <v>72</v>
      </c>
      <c r="H41" s="121">
        <v>30.382000000000001</v>
      </c>
      <c r="I41" s="122">
        <v>319.88</v>
      </c>
      <c r="J41" s="122">
        <v>9718.59</v>
      </c>
      <c r="K41" s="85">
        <v>0</v>
      </c>
      <c r="L41" s="86">
        <f t="shared" si="0"/>
        <v>319.88</v>
      </c>
      <c r="M41" s="277">
        <f t="shared" si="1"/>
        <v>0</v>
      </c>
      <c r="N41" s="87">
        <f t="shared" si="2"/>
        <v>30.382000000000001</v>
      </c>
      <c r="O41" s="88">
        <f t="shared" si="3"/>
        <v>319.88</v>
      </c>
      <c r="P41" s="278">
        <f t="shared" si="4"/>
        <v>9718.5941600000006</v>
      </c>
      <c r="W41" s="177"/>
    </row>
    <row r="42" spans="1:23" s="109" customFormat="1" ht="24" x14ac:dyDescent="0.2">
      <c r="A42" s="97"/>
      <c r="B42" s="116"/>
      <c r="C42" s="117" t="s">
        <v>135</v>
      </c>
      <c r="D42" s="117" t="s">
        <v>69</v>
      </c>
      <c r="E42" s="118" t="s">
        <v>162</v>
      </c>
      <c r="F42" s="119" t="s">
        <v>163</v>
      </c>
      <c r="G42" s="120" t="s">
        <v>72</v>
      </c>
      <c r="H42" s="121">
        <v>30.382000000000001</v>
      </c>
      <c r="I42" s="122">
        <v>155.66999999999999</v>
      </c>
      <c r="J42" s="122">
        <v>4729.57</v>
      </c>
      <c r="K42" s="85">
        <v>0</v>
      </c>
      <c r="L42" s="86">
        <f t="shared" si="0"/>
        <v>155.66999999999999</v>
      </c>
      <c r="M42" s="277">
        <f t="shared" si="1"/>
        <v>0</v>
      </c>
      <c r="N42" s="87">
        <f t="shared" si="2"/>
        <v>30.382000000000001</v>
      </c>
      <c r="O42" s="88">
        <f t="shared" si="3"/>
        <v>155.66999999999999</v>
      </c>
      <c r="P42" s="278">
        <f t="shared" si="4"/>
        <v>4729.5659399999995</v>
      </c>
      <c r="W42" s="177"/>
    </row>
    <row r="43" spans="1:23" s="109" customFormat="1" ht="24" x14ac:dyDescent="0.2">
      <c r="A43" s="97"/>
      <c r="B43" s="116"/>
      <c r="C43" s="117" t="s">
        <v>139</v>
      </c>
      <c r="D43" s="117" t="s">
        <v>69</v>
      </c>
      <c r="E43" s="118" t="s">
        <v>168</v>
      </c>
      <c r="F43" s="119" t="s">
        <v>169</v>
      </c>
      <c r="G43" s="120" t="s">
        <v>72</v>
      </c>
      <c r="H43" s="121">
        <v>46.954000000000001</v>
      </c>
      <c r="I43" s="122">
        <v>18.04</v>
      </c>
      <c r="J43" s="122">
        <v>847.05</v>
      </c>
      <c r="K43" s="85">
        <v>0</v>
      </c>
      <c r="L43" s="86">
        <f t="shared" si="0"/>
        <v>18.04</v>
      </c>
      <c r="M43" s="277">
        <f t="shared" si="1"/>
        <v>0</v>
      </c>
      <c r="N43" s="87">
        <f t="shared" si="2"/>
        <v>46.954000000000001</v>
      </c>
      <c r="O43" s="88">
        <f t="shared" si="3"/>
        <v>18.04</v>
      </c>
      <c r="P43" s="278">
        <f t="shared" si="4"/>
        <v>847.05016000000001</v>
      </c>
      <c r="W43" s="177"/>
    </row>
    <row r="44" spans="1:23" s="109" customFormat="1" ht="36" x14ac:dyDescent="0.2">
      <c r="A44" s="97"/>
      <c r="B44" s="116"/>
      <c r="C44" s="117" t="s">
        <v>142</v>
      </c>
      <c r="D44" s="117" t="s">
        <v>69</v>
      </c>
      <c r="E44" s="118" t="s">
        <v>171</v>
      </c>
      <c r="F44" s="119" t="s">
        <v>172</v>
      </c>
      <c r="G44" s="120" t="s">
        <v>72</v>
      </c>
      <c r="H44" s="121">
        <v>46.954000000000001</v>
      </c>
      <c r="I44" s="122">
        <v>396.71</v>
      </c>
      <c r="J44" s="122">
        <v>18627.12</v>
      </c>
      <c r="K44" s="85">
        <v>0</v>
      </c>
      <c r="L44" s="86">
        <f t="shared" si="0"/>
        <v>396.71</v>
      </c>
      <c r="M44" s="277">
        <f t="shared" si="1"/>
        <v>0</v>
      </c>
      <c r="N44" s="87">
        <f t="shared" si="2"/>
        <v>46.954000000000001</v>
      </c>
      <c r="O44" s="88">
        <f t="shared" si="3"/>
        <v>396.71</v>
      </c>
      <c r="P44" s="278">
        <f t="shared" si="4"/>
        <v>18627.121339999998</v>
      </c>
      <c r="W44" s="177"/>
    </row>
    <row r="45" spans="1:23" s="109" customFormat="1" ht="36" x14ac:dyDescent="0.2">
      <c r="A45" s="97"/>
      <c r="B45" s="116"/>
      <c r="C45" s="117" t="s">
        <v>145</v>
      </c>
      <c r="D45" s="117" t="s">
        <v>69</v>
      </c>
      <c r="E45" s="118" t="s">
        <v>174</v>
      </c>
      <c r="F45" s="119" t="s">
        <v>175</v>
      </c>
      <c r="G45" s="120" t="s">
        <v>72</v>
      </c>
      <c r="H45" s="121">
        <v>30.382000000000001</v>
      </c>
      <c r="I45" s="122">
        <v>443.02</v>
      </c>
      <c r="J45" s="122">
        <v>13459.83</v>
      </c>
      <c r="K45" s="85">
        <v>0</v>
      </c>
      <c r="L45" s="86">
        <f t="shared" si="0"/>
        <v>443.02</v>
      </c>
      <c r="M45" s="277">
        <f t="shared" si="1"/>
        <v>0</v>
      </c>
      <c r="N45" s="87">
        <f t="shared" si="2"/>
        <v>30.382000000000001</v>
      </c>
      <c r="O45" s="88">
        <f t="shared" si="3"/>
        <v>443.02</v>
      </c>
      <c r="P45" s="278">
        <f t="shared" si="4"/>
        <v>13459.833640000001</v>
      </c>
      <c r="W45" s="177"/>
    </row>
    <row r="46" spans="1:23" s="110" customFormat="1" ht="12.75" x14ac:dyDescent="0.2">
      <c r="C46" s="245"/>
      <c r="D46" s="246" t="s">
        <v>3</v>
      </c>
      <c r="E46" s="247" t="s">
        <v>90</v>
      </c>
      <c r="F46" s="247" t="s">
        <v>182</v>
      </c>
      <c r="G46" s="245"/>
      <c r="H46" s="245"/>
      <c r="I46" s="245"/>
      <c r="J46" s="248">
        <v>93247.510000000009</v>
      </c>
      <c r="K46" s="243"/>
      <c r="L46" s="244"/>
      <c r="M46" s="279">
        <f>SUM(M47:M59)</f>
        <v>-255.78599999999997</v>
      </c>
      <c r="N46" s="280"/>
      <c r="O46" s="244"/>
      <c r="P46" s="279">
        <f>SUM(P47:P59)</f>
        <v>92991.727979999996</v>
      </c>
      <c r="V46" s="109"/>
      <c r="W46" s="177"/>
    </row>
    <row r="47" spans="1:23" s="109" customFormat="1" ht="36" x14ac:dyDescent="0.2">
      <c r="A47" s="97"/>
      <c r="B47" s="116"/>
      <c r="C47" s="117" t="s">
        <v>148</v>
      </c>
      <c r="D47" s="117" t="s">
        <v>69</v>
      </c>
      <c r="E47" s="118" t="s">
        <v>184</v>
      </c>
      <c r="F47" s="119" t="s">
        <v>185</v>
      </c>
      <c r="G47" s="120" t="s">
        <v>61</v>
      </c>
      <c r="H47" s="121">
        <v>27.62</v>
      </c>
      <c r="I47" s="122">
        <v>552.39</v>
      </c>
      <c r="J47" s="122">
        <v>15257.01</v>
      </c>
      <c r="K47" s="85">
        <f t="shared" ref="K47:K49" si="6">ROUND(27.5/27.62*H47-H47,2)</f>
        <v>-0.12</v>
      </c>
      <c r="L47" s="86">
        <f t="shared" si="0"/>
        <v>552.39</v>
      </c>
      <c r="M47" s="277">
        <f t="shared" si="1"/>
        <v>-66.286799999999999</v>
      </c>
      <c r="N47" s="87">
        <f t="shared" si="2"/>
        <v>27.5</v>
      </c>
      <c r="O47" s="88">
        <f t="shared" si="3"/>
        <v>552.39</v>
      </c>
      <c r="P47" s="278">
        <f t="shared" si="4"/>
        <v>15190.725</v>
      </c>
      <c r="U47" s="109">
        <v>27.5</v>
      </c>
      <c r="W47" s="177"/>
    </row>
    <row r="48" spans="1:23" s="109" customFormat="1" ht="24" x14ac:dyDescent="0.2">
      <c r="A48" s="97"/>
      <c r="B48" s="116"/>
      <c r="C48" s="123" t="s">
        <v>151</v>
      </c>
      <c r="D48" s="123" t="s">
        <v>127</v>
      </c>
      <c r="E48" s="124" t="s">
        <v>187</v>
      </c>
      <c r="F48" s="125" t="s">
        <v>188</v>
      </c>
      <c r="G48" s="126" t="s">
        <v>61</v>
      </c>
      <c r="H48" s="127">
        <v>28.033999999999999</v>
      </c>
      <c r="I48" s="128">
        <v>1060.07</v>
      </c>
      <c r="J48" s="128">
        <v>29718</v>
      </c>
      <c r="K48" s="85">
        <f t="shared" si="6"/>
        <v>-0.12</v>
      </c>
      <c r="L48" s="86">
        <f t="shared" si="0"/>
        <v>1060.07</v>
      </c>
      <c r="M48" s="277">
        <f t="shared" si="1"/>
        <v>-127.20839999999998</v>
      </c>
      <c r="N48" s="87">
        <f t="shared" si="2"/>
        <v>27.913999999999998</v>
      </c>
      <c r="O48" s="88">
        <f t="shared" si="3"/>
        <v>1060.07</v>
      </c>
      <c r="P48" s="278">
        <f t="shared" si="4"/>
        <v>29590.793979999995</v>
      </c>
      <c r="U48" s="109">
        <f>H47/H48</f>
        <v>0.9852322180209746</v>
      </c>
      <c r="W48" s="177"/>
    </row>
    <row r="49" spans="1:23" s="109" customFormat="1" ht="24" x14ac:dyDescent="0.2">
      <c r="A49" s="97"/>
      <c r="B49" s="116"/>
      <c r="C49" s="117" t="s">
        <v>155</v>
      </c>
      <c r="D49" s="117" t="s">
        <v>69</v>
      </c>
      <c r="E49" s="118" t="s">
        <v>211</v>
      </c>
      <c r="F49" s="119" t="s">
        <v>212</v>
      </c>
      <c r="G49" s="120" t="s">
        <v>213</v>
      </c>
      <c r="H49" s="121">
        <v>1</v>
      </c>
      <c r="I49" s="122">
        <v>2564.6799999999998</v>
      </c>
      <c r="J49" s="122">
        <v>2564.6799999999998</v>
      </c>
      <c r="K49" s="85">
        <f t="shared" si="6"/>
        <v>0</v>
      </c>
      <c r="L49" s="86">
        <f t="shared" si="0"/>
        <v>2564.6799999999998</v>
      </c>
      <c r="M49" s="277">
        <f t="shared" si="1"/>
        <v>0</v>
      </c>
      <c r="N49" s="87">
        <f t="shared" si="2"/>
        <v>1</v>
      </c>
      <c r="O49" s="88">
        <f t="shared" si="3"/>
        <v>2564.6799999999998</v>
      </c>
      <c r="P49" s="278">
        <f t="shared" si="4"/>
        <v>2564.6799999999998</v>
      </c>
      <c r="U49" s="109">
        <f>27.5/27.62</f>
        <v>0.99565532223026787</v>
      </c>
      <c r="W49" s="177"/>
    </row>
    <row r="50" spans="1:23" s="109" customFormat="1" ht="24" x14ac:dyDescent="0.2">
      <c r="A50" s="97"/>
      <c r="B50" s="116"/>
      <c r="C50" s="117" t="s">
        <v>158</v>
      </c>
      <c r="D50" s="117" t="s">
        <v>69</v>
      </c>
      <c r="E50" s="118" t="s">
        <v>215</v>
      </c>
      <c r="F50" s="119" t="s">
        <v>216</v>
      </c>
      <c r="G50" s="120" t="s">
        <v>138</v>
      </c>
      <c r="H50" s="121">
        <v>1</v>
      </c>
      <c r="I50" s="122">
        <v>2016.23</v>
      </c>
      <c r="J50" s="122">
        <v>2016.23</v>
      </c>
      <c r="K50" s="85">
        <v>0</v>
      </c>
      <c r="L50" s="86">
        <f t="shared" si="0"/>
        <v>2016.23</v>
      </c>
      <c r="M50" s="277">
        <f t="shared" si="1"/>
        <v>0</v>
      </c>
      <c r="N50" s="87">
        <f t="shared" si="2"/>
        <v>1</v>
      </c>
      <c r="O50" s="88">
        <f t="shared" si="3"/>
        <v>2016.23</v>
      </c>
      <c r="P50" s="278">
        <f t="shared" si="4"/>
        <v>2016.23</v>
      </c>
      <c r="W50" s="177"/>
    </row>
    <row r="51" spans="1:23" s="109" customFormat="1" ht="12" x14ac:dyDescent="0.2">
      <c r="A51" s="97"/>
      <c r="B51" s="116"/>
      <c r="C51" s="123" t="s">
        <v>161</v>
      </c>
      <c r="D51" s="123" t="s">
        <v>127</v>
      </c>
      <c r="E51" s="124" t="s">
        <v>221</v>
      </c>
      <c r="F51" s="125" t="s">
        <v>222</v>
      </c>
      <c r="G51" s="126" t="s">
        <v>138</v>
      </c>
      <c r="H51" s="127">
        <v>1</v>
      </c>
      <c r="I51" s="128">
        <v>14898.16</v>
      </c>
      <c r="J51" s="128">
        <v>14898.16</v>
      </c>
      <c r="K51" s="85">
        <v>0</v>
      </c>
      <c r="L51" s="86">
        <f t="shared" si="0"/>
        <v>14898.16</v>
      </c>
      <c r="M51" s="277">
        <f t="shared" si="1"/>
        <v>0</v>
      </c>
      <c r="N51" s="87">
        <f t="shared" si="2"/>
        <v>1</v>
      </c>
      <c r="O51" s="88">
        <f t="shared" si="3"/>
        <v>14898.16</v>
      </c>
      <c r="P51" s="278">
        <f t="shared" si="4"/>
        <v>14898.16</v>
      </c>
      <c r="W51" s="177"/>
    </row>
    <row r="52" spans="1:23" s="109" customFormat="1" ht="24" x14ac:dyDescent="0.2">
      <c r="A52" s="97"/>
      <c r="B52" s="116"/>
      <c r="C52" s="123" t="s">
        <v>164</v>
      </c>
      <c r="D52" s="123" t="s">
        <v>127</v>
      </c>
      <c r="E52" s="124" t="s">
        <v>224</v>
      </c>
      <c r="F52" s="125" t="s">
        <v>225</v>
      </c>
      <c r="G52" s="126" t="s">
        <v>138</v>
      </c>
      <c r="H52" s="127">
        <v>1</v>
      </c>
      <c r="I52" s="128">
        <v>1530.92</v>
      </c>
      <c r="J52" s="128">
        <v>1530.92</v>
      </c>
      <c r="K52" s="85">
        <v>0</v>
      </c>
      <c r="L52" s="86">
        <f t="shared" si="0"/>
        <v>1530.92</v>
      </c>
      <c r="M52" s="277">
        <f t="shared" si="1"/>
        <v>0</v>
      </c>
      <c r="N52" s="87">
        <f t="shared" si="2"/>
        <v>1</v>
      </c>
      <c r="O52" s="88">
        <f t="shared" si="3"/>
        <v>1530.92</v>
      </c>
      <c r="P52" s="278">
        <f t="shared" si="4"/>
        <v>1530.92</v>
      </c>
      <c r="W52" s="177"/>
    </row>
    <row r="53" spans="1:23" s="109" customFormat="1" ht="24" x14ac:dyDescent="0.2">
      <c r="A53" s="97"/>
      <c r="B53" s="116"/>
      <c r="C53" s="123" t="s">
        <v>167</v>
      </c>
      <c r="D53" s="123" t="s">
        <v>127</v>
      </c>
      <c r="E53" s="124" t="s">
        <v>230</v>
      </c>
      <c r="F53" s="125" t="s">
        <v>231</v>
      </c>
      <c r="G53" s="126" t="s">
        <v>138</v>
      </c>
      <c r="H53" s="127">
        <v>1</v>
      </c>
      <c r="I53" s="128">
        <v>1202.1099999999999</v>
      </c>
      <c r="J53" s="128">
        <v>1202.1099999999999</v>
      </c>
      <c r="K53" s="85">
        <v>0</v>
      </c>
      <c r="L53" s="86">
        <f t="shared" si="0"/>
        <v>1202.1099999999999</v>
      </c>
      <c r="M53" s="277">
        <f t="shared" si="1"/>
        <v>0</v>
      </c>
      <c r="N53" s="87">
        <f t="shared" si="2"/>
        <v>1</v>
      </c>
      <c r="O53" s="88">
        <f t="shared" si="3"/>
        <v>1202.1099999999999</v>
      </c>
      <c r="P53" s="278">
        <f t="shared" si="4"/>
        <v>1202.1099999999999</v>
      </c>
      <c r="W53" s="177"/>
    </row>
    <row r="54" spans="1:23" s="109" customFormat="1" ht="24" x14ac:dyDescent="0.2">
      <c r="A54" s="97"/>
      <c r="B54" s="116"/>
      <c r="C54" s="123" t="s">
        <v>170</v>
      </c>
      <c r="D54" s="123" t="s">
        <v>127</v>
      </c>
      <c r="E54" s="124" t="s">
        <v>236</v>
      </c>
      <c r="F54" s="125" t="s">
        <v>237</v>
      </c>
      <c r="G54" s="126" t="s">
        <v>138</v>
      </c>
      <c r="H54" s="127">
        <v>2</v>
      </c>
      <c r="I54" s="128">
        <v>211.75</v>
      </c>
      <c r="J54" s="128">
        <v>423.5</v>
      </c>
      <c r="K54" s="85">
        <v>0</v>
      </c>
      <c r="L54" s="86">
        <f t="shared" si="0"/>
        <v>211.75</v>
      </c>
      <c r="M54" s="277">
        <f t="shared" si="1"/>
        <v>0</v>
      </c>
      <c r="N54" s="87">
        <f t="shared" si="2"/>
        <v>2</v>
      </c>
      <c r="O54" s="88">
        <f t="shared" si="3"/>
        <v>211.75</v>
      </c>
      <c r="P54" s="278">
        <f t="shared" si="4"/>
        <v>423.5</v>
      </c>
      <c r="W54" s="177"/>
    </row>
    <row r="55" spans="1:23" s="109" customFormat="1" ht="36" x14ac:dyDescent="0.2">
      <c r="A55" s="97"/>
      <c r="B55" s="116"/>
      <c r="C55" s="117" t="s">
        <v>173</v>
      </c>
      <c r="D55" s="117" t="s">
        <v>69</v>
      </c>
      <c r="E55" s="118" t="s">
        <v>239</v>
      </c>
      <c r="F55" s="119" t="s">
        <v>240</v>
      </c>
      <c r="G55" s="120" t="s">
        <v>138</v>
      </c>
      <c r="H55" s="121">
        <v>1</v>
      </c>
      <c r="I55" s="122">
        <v>5935.59</v>
      </c>
      <c r="J55" s="122">
        <v>5935.59</v>
      </c>
      <c r="K55" s="85">
        <v>0</v>
      </c>
      <c r="L55" s="86">
        <f t="shared" si="0"/>
        <v>5935.59</v>
      </c>
      <c r="M55" s="277">
        <f t="shared" si="1"/>
        <v>0</v>
      </c>
      <c r="N55" s="87">
        <f t="shared" si="2"/>
        <v>1</v>
      </c>
      <c r="O55" s="88">
        <f t="shared" si="3"/>
        <v>5935.59</v>
      </c>
      <c r="P55" s="278">
        <f t="shared" si="4"/>
        <v>5935.59</v>
      </c>
      <c r="W55" s="177"/>
    </row>
    <row r="56" spans="1:23" s="109" customFormat="1" ht="24" x14ac:dyDescent="0.2">
      <c r="A56" s="97"/>
      <c r="B56" s="116"/>
      <c r="C56" s="117" t="s">
        <v>176</v>
      </c>
      <c r="D56" s="117" t="s">
        <v>69</v>
      </c>
      <c r="E56" s="118" t="s">
        <v>242</v>
      </c>
      <c r="F56" s="119" t="s">
        <v>243</v>
      </c>
      <c r="G56" s="120" t="s">
        <v>138</v>
      </c>
      <c r="H56" s="121">
        <v>1</v>
      </c>
      <c r="I56" s="122">
        <v>485.32</v>
      </c>
      <c r="J56" s="122">
        <v>485.32</v>
      </c>
      <c r="K56" s="85">
        <v>0</v>
      </c>
      <c r="L56" s="86">
        <f t="shared" si="0"/>
        <v>485.32</v>
      </c>
      <c r="M56" s="277">
        <f t="shared" si="1"/>
        <v>0</v>
      </c>
      <c r="N56" s="87">
        <f t="shared" si="2"/>
        <v>1</v>
      </c>
      <c r="O56" s="88">
        <f t="shared" si="3"/>
        <v>485.32</v>
      </c>
      <c r="P56" s="278">
        <f t="shared" si="4"/>
        <v>485.32</v>
      </c>
      <c r="W56" s="177"/>
    </row>
    <row r="57" spans="1:23" s="109" customFormat="1" ht="12" x14ac:dyDescent="0.2">
      <c r="A57" s="97"/>
      <c r="B57" s="116"/>
      <c r="C57" s="123" t="s">
        <v>179</v>
      </c>
      <c r="D57" s="123" t="s">
        <v>127</v>
      </c>
      <c r="E57" s="124" t="s">
        <v>311</v>
      </c>
      <c r="F57" s="125" t="s">
        <v>312</v>
      </c>
      <c r="G57" s="126" t="s">
        <v>138</v>
      </c>
      <c r="H57" s="127">
        <v>1</v>
      </c>
      <c r="I57" s="128">
        <v>6510.34</v>
      </c>
      <c r="J57" s="128">
        <v>6510.34</v>
      </c>
      <c r="K57" s="85">
        <v>0</v>
      </c>
      <c r="L57" s="86">
        <f t="shared" si="0"/>
        <v>6510.34</v>
      </c>
      <c r="M57" s="277">
        <f t="shared" si="1"/>
        <v>0</v>
      </c>
      <c r="N57" s="87">
        <f t="shared" si="2"/>
        <v>1</v>
      </c>
      <c r="O57" s="88">
        <f t="shared" si="3"/>
        <v>6510.34</v>
      </c>
      <c r="P57" s="278">
        <f t="shared" si="4"/>
        <v>6510.34</v>
      </c>
      <c r="W57" s="177"/>
    </row>
    <row r="58" spans="1:23" s="109" customFormat="1" ht="24" x14ac:dyDescent="0.2">
      <c r="A58" s="97"/>
      <c r="B58" s="116"/>
      <c r="C58" s="117" t="s">
        <v>183</v>
      </c>
      <c r="D58" s="117" t="s">
        <v>69</v>
      </c>
      <c r="E58" s="118" t="s">
        <v>254</v>
      </c>
      <c r="F58" s="119" t="s">
        <v>255</v>
      </c>
      <c r="G58" s="120" t="s">
        <v>62</v>
      </c>
      <c r="H58" s="121">
        <v>4.07</v>
      </c>
      <c r="I58" s="122">
        <v>3059.28</v>
      </c>
      <c r="J58" s="122">
        <v>12451.27</v>
      </c>
      <c r="K58" s="85">
        <f t="shared" ref="K58:K59" si="7">ROUND(27.5/27.62*H58-H58,2)</f>
        <v>-0.02</v>
      </c>
      <c r="L58" s="86">
        <f t="shared" si="0"/>
        <v>3059.28</v>
      </c>
      <c r="M58" s="277">
        <f t="shared" si="1"/>
        <v>-61.185600000000008</v>
      </c>
      <c r="N58" s="87">
        <f t="shared" si="2"/>
        <v>4.0500000000000007</v>
      </c>
      <c r="O58" s="88">
        <f t="shared" si="3"/>
        <v>3059.28</v>
      </c>
      <c r="P58" s="278">
        <f t="shared" si="4"/>
        <v>12390.084000000003</v>
      </c>
      <c r="U58" s="148" t="s">
        <v>1158</v>
      </c>
      <c r="W58" s="177"/>
    </row>
    <row r="59" spans="1:23" s="109" customFormat="1" ht="12" x14ac:dyDescent="0.2">
      <c r="A59" s="97"/>
      <c r="B59" s="116"/>
      <c r="C59" s="117" t="s">
        <v>186</v>
      </c>
      <c r="D59" s="117" t="s">
        <v>69</v>
      </c>
      <c r="E59" s="118" t="s">
        <v>266</v>
      </c>
      <c r="F59" s="119" t="s">
        <v>267</v>
      </c>
      <c r="G59" s="120" t="s">
        <v>61</v>
      </c>
      <c r="H59" s="121">
        <v>27.62</v>
      </c>
      <c r="I59" s="122">
        <v>9.2100000000000009</v>
      </c>
      <c r="J59" s="122">
        <v>254.38</v>
      </c>
      <c r="K59" s="85">
        <f t="shared" si="7"/>
        <v>-0.12</v>
      </c>
      <c r="L59" s="86">
        <f t="shared" si="0"/>
        <v>9.2100000000000009</v>
      </c>
      <c r="M59" s="277">
        <f t="shared" si="1"/>
        <v>-1.1052</v>
      </c>
      <c r="N59" s="87">
        <f t="shared" si="2"/>
        <v>27.5</v>
      </c>
      <c r="O59" s="88">
        <f t="shared" si="3"/>
        <v>9.2100000000000009</v>
      </c>
      <c r="P59" s="278">
        <f t="shared" si="4"/>
        <v>253.27500000000003</v>
      </c>
    </row>
    <row r="60" spans="1:23" s="110" customFormat="1" ht="12.75" x14ac:dyDescent="0.2">
      <c r="C60" s="245"/>
      <c r="D60" s="246" t="s">
        <v>3</v>
      </c>
      <c r="E60" s="247" t="s">
        <v>93</v>
      </c>
      <c r="F60" s="247" t="s">
        <v>268</v>
      </c>
      <c r="G60" s="245"/>
      <c r="H60" s="245"/>
      <c r="I60" s="245"/>
      <c r="J60" s="248">
        <v>18050.8</v>
      </c>
      <c r="K60" s="243"/>
      <c r="L60" s="244"/>
      <c r="M60" s="279">
        <f>SUM(M61:M64)</f>
        <v>0</v>
      </c>
      <c r="N60" s="280"/>
      <c r="O60" s="244"/>
      <c r="P60" s="279">
        <f>SUM(P61:P64)</f>
        <v>18050.794800000003</v>
      </c>
      <c r="V60" s="109"/>
    </row>
    <row r="61" spans="1:23" s="109" customFormat="1" ht="48" x14ac:dyDescent="0.2">
      <c r="A61" s="97"/>
      <c r="B61" s="116"/>
      <c r="C61" s="117" t="s">
        <v>189</v>
      </c>
      <c r="D61" s="117" t="s">
        <v>69</v>
      </c>
      <c r="E61" s="118" t="s">
        <v>270</v>
      </c>
      <c r="F61" s="119" t="s">
        <v>271</v>
      </c>
      <c r="G61" s="120" t="s">
        <v>61</v>
      </c>
      <c r="H61" s="121">
        <v>55.24</v>
      </c>
      <c r="I61" s="122">
        <v>87.65</v>
      </c>
      <c r="J61" s="122">
        <v>4841.79</v>
      </c>
      <c r="K61" s="85">
        <v>0</v>
      </c>
      <c r="L61" s="86">
        <f t="shared" si="0"/>
        <v>87.65</v>
      </c>
      <c r="M61" s="277">
        <f t="shared" si="1"/>
        <v>0</v>
      </c>
      <c r="N61" s="87">
        <f t="shared" si="2"/>
        <v>55.24</v>
      </c>
      <c r="O61" s="88">
        <f t="shared" si="3"/>
        <v>87.65</v>
      </c>
      <c r="P61" s="278">
        <f t="shared" si="4"/>
        <v>4841.7860000000001</v>
      </c>
    </row>
    <row r="62" spans="1:23" s="109" customFormat="1" ht="36" x14ac:dyDescent="0.2">
      <c r="A62" s="97"/>
      <c r="B62" s="116"/>
      <c r="C62" s="117" t="s">
        <v>192</v>
      </c>
      <c r="D62" s="117" t="s">
        <v>69</v>
      </c>
      <c r="E62" s="118" t="s">
        <v>273</v>
      </c>
      <c r="F62" s="119" t="s">
        <v>274</v>
      </c>
      <c r="G62" s="120" t="s">
        <v>61</v>
      </c>
      <c r="H62" s="121">
        <v>110.48</v>
      </c>
      <c r="I62" s="122">
        <v>32.22</v>
      </c>
      <c r="J62" s="122">
        <v>3559.67</v>
      </c>
      <c r="K62" s="85">
        <v>0</v>
      </c>
      <c r="L62" s="86">
        <f t="shared" si="0"/>
        <v>32.22</v>
      </c>
      <c r="M62" s="277">
        <f t="shared" si="1"/>
        <v>0</v>
      </c>
      <c r="N62" s="87">
        <f t="shared" si="2"/>
        <v>110.48</v>
      </c>
      <c r="O62" s="88">
        <f t="shared" si="3"/>
        <v>32.22</v>
      </c>
      <c r="P62" s="278">
        <f t="shared" si="4"/>
        <v>3559.6655999999998</v>
      </c>
    </row>
    <row r="63" spans="1:23" s="109" customFormat="1" ht="24" x14ac:dyDescent="0.2">
      <c r="A63" s="97"/>
      <c r="B63" s="116"/>
      <c r="C63" s="117" t="s">
        <v>195</v>
      </c>
      <c r="D63" s="117" t="s">
        <v>69</v>
      </c>
      <c r="E63" s="118" t="s">
        <v>276</v>
      </c>
      <c r="F63" s="119" t="s">
        <v>277</v>
      </c>
      <c r="G63" s="120" t="s">
        <v>61</v>
      </c>
      <c r="H63" s="121">
        <v>110.48</v>
      </c>
      <c r="I63" s="122">
        <v>72.34</v>
      </c>
      <c r="J63" s="122">
        <v>7992.12</v>
      </c>
      <c r="K63" s="85">
        <v>0</v>
      </c>
      <c r="L63" s="86">
        <f t="shared" si="0"/>
        <v>72.34</v>
      </c>
      <c r="M63" s="277">
        <f t="shared" si="1"/>
        <v>0</v>
      </c>
      <c r="N63" s="87">
        <f t="shared" si="2"/>
        <v>110.48</v>
      </c>
      <c r="O63" s="88">
        <f t="shared" si="3"/>
        <v>72.34</v>
      </c>
      <c r="P63" s="278">
        <f t="shared" si="4"/>
        <v>7992.1232000000009</v>
      </c>
    </row>
    <row r="64" spans="1:23" s="109" customFormat="1" ht="36" x14ac:dyDescent="0.2">
      <c r="A64" s="97"/>
      <c r="B64" s="116"/>
      <c r="C64" s="117" t="s">
        <v>198</v>
      </c>
      <c r="D64" s="117" t="s">
        <v>69</v>
      </c>
      <c r="E64" s="118" t="s">
        <v>279</v>
      </c>
      <c r="F64" s="119" t="s">
        <v>280</v>
      </c>
      <c r="G64" s="120" t="s">
        <v>138</v>
      </c>
      <c r="H64" s="121">
        <v>1</v>
      </c>
      <c r="I64" s="122">
        <v>1657.22</v>
      </c>
      <c r="J64" s="122">
        <v>1657.22</v>
      </c>
      <c r="K64" s="85">
        <v>0</v>
      </c>
      <c r="L64" s="86">
        <f t="shared" si="0"/>
        <v>1657.22</v>
      </c>
      <c r="M64" s="277">
        <f t="shared" si="1"/>
        <v>0</v>
      </c>
      <c r="N64" s="87">
        <f t="shared" si="2"/>
        <v>1</v>
      </c>
      <c r="O64" s="88">
        <f t="shared" si="3"/>
        <v>1657.22</v>
      </c>
      <c r="P64" s="278">
        <f t="shared" si="4"/>
        <v>1657.22</v>
      </c>
    </row>
    <row r="65" spans="1:22" s="110" customFormat="1" ht="12.75" x14ac:dyDescent="0.2">
      <c r="C65" s="245"/>
      <c r="D65" s="246" t="s">
        <v>3</v>
      </c>
      <c r="E65" s="247" t="s">
        <v>281</v>
      </c>
      <c r="F65" s="247" t="s">
        <v>282</v>
      </c>
      <c r="G65" s="245"/>
      <c r="H65" s="245"/>
      <c r="I65" s="245"/>
      <c r="J65" s="248">
        <v>9996.9</v>
      </c>
      <c r="K65" s="243"/>
      <c r="L65" s="244"/>
      <c r="M65" s="279">
        <f>SUM(M66:M68)</f>
        <v>-34.557400000000001</v>
      </c>
      <c r="N65" s="280"/>
      <c r="O65" s="244"/>
      <c r="P65" s="279">
        <f>SUM(P66:P68)</f>
        <v>9962.3331500000004</v>
      </c>
      <c r="V65" s="109"/>
    </row>
    <row r="66" spans="1:22" s="109" customFormat="1" ht="24" x14ac:dyDescent="0.2">
      <c r="A66" s="97"/>
      <c r="B66" s="116"/>
      <c r="C66" s="117" t="s">
        <v>201</v>
      </c>
      <c r="D66" s="117" t="s">
        <v>69</v>
      </c>
      <c r="E66" s="118" t="s">
        <v>284</v>
      </c>
      <c r="F66" s="119" t="s">
        <v>285</v>
      </c>
      <c r="G66" s="120" t="s">
        <v>120</v>
      </c>
      <c r="H66" s="121">
        <v>31.166</v>
      </c>
      <c r="I66" s="122">
        <v>136.36000000000001</v>
      </c>
      <c r="J66" s="122">
        <v>4249.8</v>
      </c>
      <c r="K66" s="85">
        <f t="shared" ref="K66" si="8">ROUND(27.5/27.62*H66-H66,2)</f>
        <v>-0.14000000000000001</v>
      </c>
      <c r="L66" s="86">
        <f t="shared" si="0"/>
        <v>136.36000000000001</v>
      </c>
      <c r="M66" s="277">
        <f t="shared" si="1"/>
        <v>-19.090400000000002</v>
      </c>
      <c r="N66" s="87">
        <f t="shared" si="2"/>
        <v>31.026</v>
      </c>
      <c r="O66" s="88">
        <f t="shared" si="3"/>
        <v>136.36000000000001</v>
      </c>
      <c r="P66" s="278">
        <f t="shared" si="4"/>
        <v>4230.7053600000008</v>
      </c>
    </row>
    <row r="67" spans="1:22" s="109" customFormat="1" ht="36" x14ac:dyDescent="0.2">
      <c r="A67" s="97"/>
      <c r="B67" s="116"/>
      <c r="C67" s="117" t="s">
        <v>204</v>
      </c>
      <c r="D67" s="117" t="s">
        <v>69</v>
      </c>
      <c r="E67" s="118" t="s">
        <v>287</v>
      </c>
      <c r="F67" s="119" t="s">
        <v>288</v>
      </c>
      <c r="G67" s="120" t="s">
        <v>120</v>
      </c>
      <c r="H67" s="121">
        <v>8.9870000000000001</v>
      </c>
      <c r="I67" s="122">
        <v>257.77999999999997</v>
      </c>
      <c r="J67" s="122">
        <v>2316.67</v>
      </c>
      <c r="K67" s="85">
        <v>0</v>
      </c>
      <c r="L67" s="86">
        <f t="shared" si="0"/>
        <v>257.77999999999997</v>
      </c>
      <c r="M67" s="277">
        <f t="shared" si="1"/>
        <v>0</v>
      </c>
      <c r="N67" s="87">
        <f t="shared" si="2"/>
        <v>8.9870000000000001</v>
      </c>
      <c r="O67" s="88">
        <f t="shared" si="3"/>
        <v>257.77999999999997</v>
      </c>
      <c r="P67" s="278">
        <f t="shared" si="4"/>
        <v>2316.6688599999998</v>
      </c>
    </row>
    <row r="68" spans="1:22" s="109" customFormat="1" ht="36" x14ac:dyDescent="0.2">
      <c r="A68" s="97"/>
      <c r="B68" s="116"/>
      <c r="C68" s="117" t="s">
        <v>207</v>
      </c>
      <c r="D68" s="117" t="s">
        <v>69</v>
      </c>
      <c r="E68" s="118" t="s">
        <v>290</v>
      </c>
      <c r="F68" s="119" t="s">
        <v>119</v>
      </c>
      <c r="G68" s="120" t="s">
        <v>120</v>
      </c>
      <c r="H68" s="121">
        <v>22.178999999999998</v>
      </c>
      <c r="I68" s="122">
        <v>154.66999999999999</v>
      </c>
      <c r="J68" s="122">
        <v>3430.43</v>
      </c>
      <c r="K68" s="85">
        <f t="shared" ref="K68" si="9">ROUND(27.5/27.62*H68-H68,2)</f>
        <v>-0.1</v>
      </c>
      <c r="L68" s="86">
        <f t="shared" si="0"/>
        <v>154.66999999999999</v>
      </c>
      <c r="M68" s="277">
        <f t="shared" si="1"/>
        <v>-15.466999999999999</v>
      </c>
      <c r="N68" s="87">
        <f t="shared" si="2"/>
        <v>22.078999999999997</v>
      </c>
      <c r="O68" s="88">
        <f t="shared" si="3"/>
        <v>154.66999999999999</v>
      </c>
      <c r="P68" s="278">
        <f t="shared" si="4"/>
        <v>3414.9589299999993</v>
      </c>
      <c r="Q68" s="148" t="s">
        <v>1137</v>
      </c>
    </row>
    <row r="69" spans="1:22" s="110" customFormat="1" ht="12.75" x14ac:dyDescent="0.2">
      <c r="C69" s="245"/>
      <c r="D69" s="246" t="s">
        <v>3</v>
      </c>
      <c r="E69" s="247" t="s">
        <v>291</v>
      </c>
      <c r="F69" s="247" t="s">
        <v>292</v>
      </c>
      <c r="G69" s="245"/>
      <c r="H69" s="245"/>
      <c r="I69" s="245"/>
      <c r="J69" s="248">
        <v>1065.3599999999999</v>
      </c>
      <c r="K69" s="243"/>
      <c r="L69" s="244"/>
      <c r="M69" s="279">
        <f>M70</f>
        <v>-4.5768000000000004</v>
      </c>
      <c r="N69" s="280"/>
      <c r="O69" s="244"/>
      <c r="P69" s="279">
        <f>P70</f>
        <v>1060.78782</v>
      </c>
      <c r="V69" s="109"/>
    </row>
    <row r="70" spans="1:22" s="109" customFormat="1" ht="36" x14ac:dyDescent="0.2">
      <c r="A70" s="97"/>
      <c r="B70" s="116"/>
      <c r="C70" s="117" t="s">
        <v>210</v>
      </c>
      <c r="D70" s="117" t="s">
        <v>69</v>
      </c>
      <c r="E70" s="118" t="s">
        <v>294</v>
      </c>
      <c r="F70" s="119" t="s">
        <v>295</v>
      </c>
      <c r="G70" s="120" t="s">
        <v>120</v>
      </c>
      <c r="H70" s="121">
        <v>9.3109999999999999</v>
      </c>
      <c r="I70" s="122">
        <v>114.42</v>
      </c>
      <c r="J70" s="122">
        <v>1065.3599999999999</v>
      </c>
      <c r="K70" s="85">
        <f t="shared" ref="K70" si="10">ROUND(27.5/27.62*H70-H70,2)</f>
        <v>-0.04</v>
      </c>
      <c r="L70" s="86">
        <f t="shared" si="0"/>
        <v>114.42</v>
      </c>
      <c r="M70" s="277">
        <f t="shared" si="1"/>
        <v>-4.5768000000000004</v>
      </c>
      <c r="N70" s="87">
        <f t="shared" si="2"/>
        <v>9.2710000000000008</v>
      </c>
      <c r="O70" s="88">
        <f t="shared" si="3"/>
        <v>114.42</v>
      </c>
      <c r="P70" s="278">
        <f t="shared" si="4"/>
        <v>1060.78782</v>
      </c>
    </row>
    <row r="71" spans="1:22" s="109" customFormat="1" x14ac:dyDescent="0.2">
      <c r="A71" s="97"/>
      <c r="B71" s="97"/>
      <c r="C71" s="97"/>
      <c r="D71" s="97"/>
      <c r="E71" s="97"/>
      <c r="F71" s="97"/>
      <c r="G71" s="97"/>
      <c r="H71" s="97"/>
      <c r="I71" s="97"/>
      <c r="J71" s="97"/>
    </row>
    <row r="72" spans="1:22" ht="12.75" x14ac:dyDescent="0.2">
      <c r="D72" s="89"/>
      <c r="E72" s="141" t="str">
        <f>CONCATENATE("CELKEM ",C$12)</f>
        <v>CELKEM 17 - SO 01.P - Stoka B.3</v>
      </c>
      <c r="F72" s="90"/>
      <c r="G72" s="90"/>
      <c r="H72" s="91"/>
      <c r="I72" s="90"/>
      <c r="J72" s="92">
        <v>282788.33</v>
      </c>
      <c r="K72" s="94"/>
      <c r="L72" s="92"/>
      <c r="M72" s="147">
        <f>M69+M65+M60+M46+M40+M37+M35+M14</f>
        <v>-755.22859999999991</v>
      </c>
      <c r="N72" s="147"/>
      <c r="O72" s="147"/>
      <c r="P72" s="147">
        <f t="shared" ref="P72" si="11">P69+P65+P60+P46+P40+P37+P35+P14</f>
        <v>282033.09282999998</v>
      </c>
      <c r="V72" s="109"/>
    </row>
    <row r="73" spans="1:22" x14ac:dyDescent="0.2">
      <c r="I73" s="95"/>
      <c r="V73" s="109"/>
    </row>
    <row r="74" spans="1:22" ht="14.25" x14ac:dyDescent="0.2">
      <c r="E74" s="58" t="s">
        <v>994</v>
      </c>
      <c r="F74" s="58"/>
      <c r="H74" s="96"/>
      <c r="J74" s="161"/>
      <c r="K74" s="58" t="s">
        <v>995</v>
      </c>
    </row>
  </sheetData>
  <protectedRanges>
    <protectedRange password="CCAA" sqref="K8" name="Oblast1_1_1_1_1_1"/>
    <protectedRange password="CCAA" sqref="D9:H10" name="Oblast1_2_1_1_1_1"/>
  </protectedRanges>
  <autoFilter ref="C10:P70" xr:uid="{1ABCAF38-0B87-4A03-B85B-11329DCAA9AE}"/>
  <mergeCells count="4">
    <mergeCell ref="U11:U14"/>
    <mergeCell ref="K9:M9"/>
    <mergeCell ref="N9:P9"/>
    <mergeCell ref="V11:V14"/>
  </mergeCells>
  <pageMargins left="0.39370078740157483" right="0.39370078740157483" top="0.39370078740157483" bottom="0.39370078740157483" header="0" footer="0"/>
  <pageSetup paperSize="9" scale="55" fitToHeight="0" orientation="portrait" r:id="rId1"/>
  <headerFooter>
    <oddFooter>&amp;CStrana &amp;P z &amp;N</oddFooter>
  </headerFooter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>
    <pageSetUpPr fitToPage="1"/>
  </sheetPr>
  <dimension ref="A1:Q82"/>
  <sheetViews>
    <sheetView showGridLines="0" view="pageBreakPreview" topLeftCell="A59" zoomScale="60" zoomScaleNormal="90" workbookViewId="0">
      <selection activeCell="J82" sqref="J82"/>
    </sheetView>
  </sheetViews>
  <sheetFormatPr defaultColWidth="9.33203125" defaultRowHeight="11.25" x14ac:dyDescent="0.2"/>
  <cols>
    <col min="1" max="1" width="8.33203125" style="60" customWidth="1"/>
    <col min="2" max="2" width="1.6640625" style="60" customWidth="1"/>
    <col min="3" max="3" width="4.1640625" style="60" customWidth="1"/>
    <col min="4" max="4" width="4.33203125" style="60" customWidth="1"/>
    <col min="5" max="5" width="17.1640625" style="60" customWidth="1"/>
    <col min="6" max="6" width="50.83203125" style="60" customWidth="1"/>
    <col min="7" max="7" width="7" style="60" customWidth="1"/>
    <col min="8" max="8" width="11.5" style="60" customWidth="1"/>
    <col min="9" max="10" width="20.1640625" style="60" customWidth="1"/>
    <col min="11" max="22" width="16.33203125" style="60" customWidth="1"/>
    <col min="23" max="16384" width="9.33203125" style="60"/>
  </cols>
  <sheetData>
    <row r="1" spans="1:17" ht="18.95" customHeight="1" x14ac:dyDescent="0.2">
      <c r="F1" s="3"/>
      <c r="G1" s="4"/>
      <c r="H1" s="1"/>
      <c r="J1" s="61"/>
    </row>
    <row r="2" spans="1:17" s="1" customFormat="1" ht="18" customHeight="1" x14ac:dyDescent="0.2">
      <c r="E2" s="2"/>
      <c r="F2" s="3" t="s">
        <v>979</v>
      </c>
      <c r="G2" s="4" t="str">
        <f>'[1]VRN 01'!G3</f>
        <v>Odkanalizování povodí Jizery - část B</v>
      </c>
      <c r="I2" s="5"/>
      <c r="J2" s="63"/>
      <c r="K2" s="10"/>
      <c r="L2" s="11"/>
      <c r="M2" s="11"/>
      <c r="N2" s="64"/>
    </row>
    <row r="3" spans="1:17" s="1" customFormat="1" ht="18" customHeight="1" x14ac:dyDescent="0.2">
      <c r="E3" s="2"/>
      <c r="F3" s="3" t="s">
        <v>980</v>
      </c>
      <c r="G3" s="4" t="str">
        <f>+'Rekapitulace stavby'!D2</f>
        <v>ÚHERCE, výstavba kanalizace - UZNATELNÉ NÁKLADY - doměrky</v>
      </c>
      <c r="H3" s="2"/>
      <c r="I3" s="5"/>
      <c r="J3" s="63"/>
      <c r="K3" s="10"/>
      <c r="L3" s="11"/>
      <c r="M3" s="11"/>
      <c r="N3" s="64"/>
    </row>
    <row r="4" spans="1:17" s="2" customFormat="1" ht="18" customHeight="1" x14ac:dyDescent="0.2">
      <c r="F4" s="12" t="s">
        <v>981</v>
      </c>
      <c r="G4" s="13" t="str">
        <f>'[1]VRN 01'!G5</f>
        <v>VRI/SOD/2020/Ži</v>
      </c>
      <c r="I4" s="5"/>
      <c r="J4" s="65"/>
      <c r="K4" s="18"/>
      <c r="L4" s="19"/>
      <c r="M4" s="19"/>
      <c r="N4" s="66"/>
    </row>
    <row r="5" spans="1:17" s="2" customFormat="1" ht="18" customHeight="1" x14ac:dyDescent="0.2">
      <c r="F5" s="12" t="s">
        <v>983</v>
      </c>
      <c r="G5" s="13" t="s">
        <v>1001</v>
      </c>
      <c r="I5" s="5"/>
      <c r="J5" s="65"/>
      <c r="K5" s="18"/>
      <c r="L5" s="19"/>
      <c r="M5" s="19"/>
      <c r="N5" s="66"/>
    </row>
    <row r="6" spans="1:17" s="2" customFormat="1" ht="18" customHeight="1" x14ac:dyDescent="0.2">
      <c r="F6" s="3" t="s">
        <v>984</v>
      </c>
      <c r="G6" s="13" t="str">
        <f>'[1]VRN 01'!G7</f>
        <v>Vododvody a kanalizace Mladá Boleslav, a.s.</v>
      </c>
      <c r="I6" s="5"/>
      <c r="J6" s="65"/>
      <c r="K6" s="18"/>
      <c r="L6" s="19"/>
      <c r="M6" s="19"/>
      <c r="N6" s="66"/>
    </row>
    <row r="7" spans="1:17" s="2" customFormat="1" ht="18" customHeight="1" x14ac:dyDescent="0.2">
      <c r="F7" s="3" t="s">
        <v>986</v>
      </c>
      <c r="G7" s="20" t="str">
        <f>'[1]VRN 01'!G8</f>
        <v>VCES a.s.</v>
      </c>
      <c r="H7" s="67"/>
      <c r="I7" s="5"/>
      <c r="J7" s="65"/>
      <c r="K7" s="18"/>
      <c r="L7" s="19"/>
      <c r="M7" s="19"/>
      <c r="N7" s="66"/>
    </row>
    <row r="8" spans="1:17" s="68" customFormat="1" ht="18" customHeight="1" x14ac:dyDescent="0.2">
      <c r="D8" s="69"/>
      <c r="F8" s="3"/>
      <c r="G8" s="20"/>
      <c r="H8" s="67"/>
      <c r="K8" s="72" t="s">
        <v>996</v>
      </c>
      <c r="L8" s="73" t="str">
        <f>+C12</f>
        <v>18 - SO 01.L - Stoka B.4</v>
      </c>
      <c r="M8" s="73"/>
      <c r="O8" s="74"/>
    </row>
    <row r="9" spans="1:17" s="75" customFormat="1" ht="12.75" customHeight="1" x14ac:dyDescent="0.2">
      <c r="C9" s="76"/>
      <c r="D9" s="77"/>
      <c r="E9" s="77"/>
      <c r="F9" s="77"/>
      <c r="G9" s="77"/>
      <c r="H9" s="77"/>
      <c r="I9" s="78"/>
      <c r="J9" s="79"/>
      <c r="K9" s="332" t="s">
        <v>1266</v>
      </c>
      <c r="L9" s="332"/>
      <c r="M9" s="332"/>
      <c r="N9" s="339" t="s">
        <v>1267</v>
      </c>
      <c r="O9" s="339"/>
      <c r="P9" s="340"/>
    </row>
    <row r="10" spans="1:17" s="75" customFormat="1" ht="12.75" x14ac:dyDescent="0.2">
      <c r="C10" s="80"/>
      <c r="D10" s="81" t="s">
        <v>997</v>
      </c>
      <c r="E10" s="81" t="s">
        <v>976</v>
      </c>
      <c r="F10" s="81" t="s">
        <v>977</v>
      </c>
      <c r="G10" s="81" t="s">
        <v>64</v>
      </c>
      <c r="H10" s="82" t="s">
        <v>65</v>
      </c>
      <c r="I10" s="83" t="s">
        <v>998</v>
      </c>
      <c r="J10" s="84" t="s">
        <v>978</v>
      </c>
      <c r="K10" s="218" t="s">
        <v>999</v>
      </c>
      <c r="L10" s="219" t="s">
        <v>1260</v>
      </c>
      <c r="M10" s="220" t="s">
        <v>978</v>
      </c>
      <c r="N10" s="263" t="s">
        <v>1264</v>
      </c>
      <c r="O10" s="264" t="s">
        <v>1260</v>
      </c>
      <c r="P10" s="265" t="s">
        <v>978</v>
      </c>
      <c r="Q10" s="157" t="s">
        <v>1132</v>
      </c>
    </row>
    <row r="12" spans="1:17" s="109" customFormat="1" ht="15.75" x14ac:dyDescent="0.25">
      <c r="A12" s="97"/>
      <c r="B12" s="97"/>
      <c r="C12" s="98" t="s">
        <v>396</v>
      </c>
      <c r="D12" s="97"/>
      <c r="E12" s="97"/>
      <c r="F12" s="97"/>
      <c r="G12" s="97"/>
      <c r="H12" s="97"/>
      <c r="I12" s="97"/>
      <c r="J12" s="99">
        <v>159187.41999999995</v>
      </c>
    </row>
    <row r="13" spans="1:17" s="110" customFormat="1" ht="15" x14ac:dyDescent="0.2">
      <c r="D13" s="111" t="s">
        <v>3</v>
      </c>
      <c r="E13" s="112" t="s">
        <v>66</v>
      </c>
      <c r="F13" s="112" t="s">
        <v>67</v>
      </c>
      <c r="J13" s="113">
        <v>159187.41999999995</v>
      </c>
    </row>
    <row r="14" spans="1:17" s="110" customFormat="1" ht="12.75" x14ac:dyDescent="0.2">
      <c r="C14" s="232"/>
      <c r="D14" s="233" t="s">
        <v>3</v>
      </c>
      <c r="E14" s="234" t="s">
        <v>7</v>
      </c>
      <c r="F14" s="234" t="s">
        <v>68</v>
      </c>
      <c r="G14" s="232"/>
      <c r="H14" s="232"/>
      <c r="I14" s="232"/>
      <c r="J14" s="235">
        <v>63412.339999999989</v>
      </c>
      <c r="K14" s="232"/>
      <c r="L14" s="232"/>
      <c r="M14" s="292">
        <f>SUM(M15:M42)</f>
        <v>1094.7067999999999</v>
      </c>
      <c r="N14" s="232"/>
      <c r="O14" s="232"/>
      <c r="P14" s="292">
        <f>SUM(P15:P42)</f>
        <v>64507.054520000005</v>
      </c>
    </row>
    <row r="15" spans="1:17" s="109" customFormat="1" ht="60" x14ac:dyDescent="0.2">
      <c r="A15" s="97"/>
      <c r="B15" s="116"/>
      <c r="C15" s="117" t="s">
        <v>7</v>
      </c>
      <c r="D15" s="117" t="s">
        <v>69</v>
      </c>
      <c r="E15" s="118" t="s">
        <v>79</v>
      </c>
      <c r="F15" s="119" t="s">
        <v>80</v>
      </c>
      <c r="G15" s="120" t="s">
        <v>72</v>
      </c>
      <c r="H15" s="121">
        <v>11.66</v>
      </c>
      <c r="I15" s="122">
        <v>26.3</v>
      </c>
      <c r="J15" s="122">
        <v>306.66000000000003</v>
      </c>
      <c r="K15" s="85">
        <v>0</v>
      </c>
      <c r="L15" s="86">
        <f>I15</f>
        <v>26.3</v>
      </c>
      <c r="M15" s="277">
        <f>K15*L15</f>
        <v>0</v>
      </c>
      <c r="N15" s="87">
        <f>H15+K15</f>
        <v>11.66</v>
      </c>
      <c r="O15" s="88">
        <f>I15</f>
        <v>26.3</v>
      </c>
      <c r="P15" s="278">
        <f>N15*O15</f>
        <v>306.65800000000002</v>
      </c>
    </row>
    <row r="16" spans="1:17" s="109" customFormat="1" ht="60" x14ac:dyDescent="0.2">
      <c r="A16" s="97"/>
      <c r="B16" s="116"/>
      <c r="C16" s="117" t="s">
        <v>8</v>
      </c>
      <c r="D16" s="117" t="s">
        <v>69</v>
      </c>
      <c r="E16" s="118" t="s">
        <v>74</v>
      </c>
      <c r="F16" s="119" t="s">
        <v>75</v>
      </c>
      <c r="G16" s="120" t="s">
        <v>72</v>
      </c>
      <c r="H16" s="121">
        <v>11.66</v>
      </c>
      <c r="I16" s="122">
        <v>40.770000000000003</v>
      </c>
      <c r="J16" s="122">
        <v>475.38</v>
      </c>
      <c r="K16" s="85">
        <v>0</v>
      </c>
      <c r="L16" s="86">
        <f t="shared" ref="L16:L78" si="0">I16</f>
        <v>40.770000000000003</v>
      </c>
      <c r="M16" s="277">
        <f t="shared" ref="M16:M78" si="1">K16*L16</f>
        <v>0</v>
      </c>
      <c r="N16" s="87">
        <f t="shared" ref="N16:N78" si="2">H16+K16</f>
        <v>11.66</v>
      </c>
      <c r="O16" s="88">
        <f t="shared" ref="O16:O78" si="3">I16</f>
        <v>40.770000000000003</v>
      </c>
      <c r="P16" s="278">
        <f t="shared" ref="P16:P78" si="4">N16*O16</f>
        <v>475.37820000000005</v>
      </c>
    </row>
    <row r="17" spans="1:16" s="109" customFormat="1" ht="60" x14ac:dyDescent="0.2">
      <c r="A17" s="97"/>
      <c r="B17" s="116"/>
      <c r="C17" s="117" t="s">
        <v>76</v>
      </c>
      <c r="D17" s="117" t="s">
        <v>69</v>
      </c>
      <c r="E17" s="118" t="s">
        <v>82</v>
      </c>
      <c r="F17" s="119" t="s">
        <v>83</v>
      </c>
      <c r="G17" s="120" t="s">
        <v>72</v>
      </c>
      <c r="H17" s="121">
        <v>11.66</v>
      </c>
      <c r="I17" s="122">
        <v>39.46</v>
      </c>
      <c r="J17" s="122">
        <v>460.1</v>
      </c>
      <c r="K17" s="85">
        <v>0</v>
      </c>
      <c r="L17" s="86">
        <f t="shared" si="0"/>
        <v>39.46</v>
      </c>
      <c r="M17" s="277">
        <f t="shared" si="1"/>
        <v>0</v>
      </c>
      <c r="N17" s="87">
        <f t="shared" si="2"/>
        <v>11.66</v>
      </c>
      <c r="O17" s="88">
        <f t="shared" si="3"/>
        <v>39.46</v>
      </c>
      <c r="P17" s="278">
        <f t="shared" si="4"/>
        <v>460.10360000000003</v>
      </c>
    </row>
    <row r="18" spans="1:16" s="109" customFormat="1" ht="48" x14ac:dyDescent="0.2">
      <c r="A18" s="97"/>
      <c r="B18" s="116"/>
      <c r="C18" s="117" t="s">
        <v>73</v>
      </c>
      <c r="D18" s="117" t="s">
        <v>69</v>
      </c>
      <c r="E18" s="118" t="s">
        <v>85</v>
      </c>
      <c r="F18" s="119" t="s">
        <v>86</v>
      </c>
      <c r="G18" s="120" t="s">
        <v>72</v>
      </c>
      <c r="H18" s="121">
        <v>18.02</v>
      </c>
      <c r="I18" s="122">
        <v>55.24</v>
      </c>
      <c r="J18" s="122">
        <v>995.42</v>
      </c>
      <c r="K18" s="85">
        <v>0</v>
      </c>
      <c r="L18" s="86">
        <f t="shared" si="0"/>
        <v>55.24</v>
      </c>
      <c r="M18" s="277">
        <f t="shared" si="1"/>
        <v>0</v>
      </c>
      <c r="N18" s="87">
        <f t="shared" si="2"/>
        <v>18.02</v>
      </c>
      <c r="O18" s="88">
        <f t="shared" si="3"/>
        <v>55.24</v>
      </c>
      <c r="P18" s="278">
        <f t="shared" si="4"/>
        <v>995.4248</v>
      </c>
    </row>
    <row r="19" spans="1:16" s="109" customFormat="1" ht="84" x14ac:dyDescent="0.2">
      <c r="A19" s="97"/>
      <c r="B19" s="116"/>
      <c r="C19" s="117" t="s">
        <v>81</v>
      </c>
      <c r="D19" s="117" t="s">
        <v>69</v>
      </c>
      <c r="E19" s="118" t="s">
        <v>88</v>
      </c>
      <c r="F19" s="119" t="s">
        <v>89</v>
      </c>
      <c r="G19" s="120" t="s">
        <v>61</v>
      </c>
      <c r="H19" s="121">
        <v>2.2000000000000002</v>
      </c>
      <c r="I19" s="122">
        <v>170.98</v>
      </c>
      <c r="J19" s="122">
        <v>376.16</v>
      </c>
      <c r="K19" s="85">
        <f>ROUND(14.2/13.95*H19-H19,2)</f>
        <v>0.04</v>
      </c>
      <c r="L19" s="86">
        <f t="shared" si="0"/>
        <v>170.98</v>
      </c>
      <c r="M19" s="277">
        <f t="shared" si="1"/>
        <v>6.8391999999999999</v>
      </c>
      <c r="N19" s="87">
        <f t="shared" si="2"/>
        <v>2.2400000000000002</v>
      </c>
      <c r="O19" s="88">
        <f t="shared" si="3"/>
        <v>170.98</v>
      </c>
      <c r="P19" s="278">
        <f t="shared" si="4"/>
        <v>382.99520000000001</v>
      </c>
    </row>
    <row r="20" spans="1:16" s="109" customFormat="1" ht="36" x14ac:dyDescent="0.2">
      <c r="A20" s="97"/>
      <c r="B20" s="116"/>
      <c r="C20" s="117" t="s">
        <v>84</v>
      </c>
      <c r="D20" s="117" t="s">
        <v>69</v>
      </c>
      <c r="E20" s="118" t="s">
        <v>318</v>
      </c>
      <c r="F20" s="119" t="s">
        <v>319</v>
      </c>
      <c r="G20" s="120" t="s">
        <v>61</v>
      </c>
      <c r="H20" s="121">
        <v>1.1000000000000001</v>
      </c>
      <c r="I20" s="122">
        <v>257.77999999999997</v>
      </c>
      <c r="J20" s="122">
        <v>283.56</v>
      </c>
      <c r="K20" s="85">
        <f t="shared" ref="K20:K44" si="5">ROUND(14.2/13.95*H20-H20,2)</f>
        <v>0.02</v>
      </c>
      <c r="L20" s="86">
        <f t="shared" si="0"/>
        <v>257.77999999999997</v>
      </c>
      <c r="M20" s="277">
        <f t="shared" si="1"/>
        <v>5.1555999999999997</v>
      </c>
      <c r="N20" s="87">
        <f t="shared" si="2"/>
        <v>1.1200000000000001</v>
      </c>
      <c r="O20" s="88">
        <f t="shared" si="3"/>
        <v>257.77999999999997</v>
      </c>
      <c r="P20" s="278">
        <f t="shared" si="4"/>
        <v>288.71359999999999</v>
      </c>
    </row>
    <row r="21" spans="1:16" s="109" customFormat="1" ht="96" x14ac:dyDescent="0.2">
      <c r="A21" s="97"/>
      <c r="B21" s="116"/>
      <c r="C21" s="117" t="s">
        <v>87</v>
      </c>
      <c r="D21" s="117" t="s">
        <v>69</v>
      </c>
      <c r="E21" s="118" t="s">
        <v>91</v>
      </c>
      <c r="F21" s="119" t="s">
        <v>92</v>
      </c>
      <c r="G21" s="120" t="s">
        <v>61</v>
      </c>
      <c r="H21" s="121">
        <v>1.1000000000000001</v>
      </c>
      <c r="I21" s="122">
        <v>147.30000000000001</v>
      </c>
      <c r="J21" s="122">
        <v>162.03</v>
      </c>
      <c r="K21" s="85">
        <f t="shared" si="5"/>
        <v>0.02</v>
      </c>
      <c r="L21" s="86">
        <f t="shared" si="0"/>
        <v>147.30000000000001</v>
      </c>
      <c r="M21" s="277">
        <f t="shared" si="1"/>
        <v>2.9460000000000002</v>
      </c>
      <c r="N21" s="87">
        <f t="shared" si="2"/>
        <v>1.1200000000000001</v>
      </c>
      <c r="O21" s="88">
        <f t="shared" si="3"/>
        <v>147.30000000000001</v>
      </c>
      <c r="P21" s="278">
        <f t="shared" si="4"/>
        <v>164.97600000000003</v>
      </c>
    </row>
    <row r="22" spans="1:16" s="109" customFormat="1" ht="48" x14ac:dyDescent="0.2">
      <c r="A22" s="97"/>
      <c r="B22" s="116"/>
      <c r="C22" s="117" t="s">
        <v>90</v>
      </c>
      <c r="D22" s="117" t="s">
        <v>69</v>
      </c>
      <c r="E22" s="118" t="s">
        <v>297</v>
      </c>
      <c r="F22" s="119" t="s">
        <v>298</v>
      </c>
      <c r="G22" s="120" t="s">
        <v>62</v>
      </c>
      <c r="H22" s="121">
        <v>0.36899999999999999</v>
      </c>
      <c r="I22" s="122">
        <v>57.87</v>
      </c>
      <c r="J22" s="122">
        <v>21.35</v>
      </c>
      <c r="K22" s="85">
        <f t="shared" si="5"/>
        <v>0.01</v>
      </c>
      <c r="L22" s="86">
        <f t="shared" si="0"/>
        <v>57.87</v>
      </c>
      <c r="M22" s="277">
        <f t="shared" si="1"/>
        <v>0.57869999999999999</v>
      </c>
      <c r="N22" s="87">
        <f t="shared" si="2"/>
        <v>0.379</v>
      </c>
      <c r="O22" s="88">
        <f t="shared" si="3"/>
        <v>57.87</v>
      </c>
      <c r="P22" s="278">
        <f t="shared" si="4"/>
        <v>21.932729999999999</v>
      </c>
    </row>
    <row r="23" spans="1:16" s="109" customFormat="1" ht="36" x14ac:dyDescent="0.2">
      <c r="A23" s="97"/>
      <c r="B23" s="116"/>
      <c r="C23" s="117" t="s">
        <v>93</v>
      </c>
      <c r="D23" s="117" t="s">
        <v>69</v>
      </c>
      <c r="E23" s="118" t="s">
        <v>94</v>
      </c>
      <c r="F23" s="119" t="s">
        <v>95</v>
      </c>
      <c r="G23" s="120" t="s">
        <v>62</v>
      </c>
      <c r="H23" s="121">
        <v>16.73</v>
      </c>
      <c r="I23" s="122">
        <v>257.77999999999997</v>
      </c>
      <c r="J23" s="122">
        <v>4312.66</v>
      </c>
      <c r="K23" s="85">
        <f t="shared" si="5"/>
        <v>0.3</v>
      </c>
      <c r="L23" s="86">
        <f t="shared" si="0"/>
        <v>257.77999999999997</v>
      </c>
      <c r="M23" s="277">
        <f t="shared" si="1"/>
        <v>77.333999999999989</v>
      </c>
      <c r="N23" s="87">
        <f t="shared" si="2"/>
        <v>17.03</v>
      </c>
      <c r="O23" s="88">
        <f t="shared" si="3"/>
        <v>257.77999999999997</v>
      </c>
      <c r="P23" s="278">
        <f t="shared" si="4"/>
        <v>4389.9933999999994</v>
      </c>
    </row>
    <row r="24" spans="1:16" s="109" customFormat="1" ht="48" x14ac:dyDescent="0.2">
      <c r="A24" s="97"/>
      <c r="B24" s="116"/>
      <c r="C24" s="117" t="s">
        <v>26</v>
      </c>
      <c r="D24" s="117" t="s">
        <v>69</v>
      </c>
      <c r="E24" s="118" t="s">
        <v>96</v>
      </c>
      <c r="F24" s="119" t="s">
        <v>97</v>
      </c>
      <c r="G24" s="120" t="s">
        <v>62</v>
      </c>
      <c r="H24" s="121">
        <v>8.16</v>
      </c>
      <c r="I24" s="122">
        <v>234.11</v>
      </c>
      <c r="J24" s="122">
        <v>1910.34</v>
      </c>
      <c r="K24" s="85">
        <f t="shared" si="5"/>
        <v>0.15</v>
      </c>
      <c r="L24" s="86">
        <f t="shared" si="0"/>
        <v>234.11</v>
      </c>
      <c r="M24" s="277">
        <f t="shared" si="1"/>
        <v>35.116500000000002</v>
      </c>
      <c r="N24" s="87">
        <f t="shared" si="2"/>
        <v>8.31</v>
      </c>
      <c r="O24" s="88">
        <f t="shared" si="3"/>
        <v>234.11</v>
      </c>
      <c r="P24" s="278">
        <f t="shared" si="4"/>
        <v>1945.4541000000002</v>
      </c>
    </row>
    <row r="25" spans="1:16" s="109" customFormat="1" ht="48" x14ac:dyDescent="0.2">
      <c r="A25" s="97"/>
      <c r="B25" s="116"/>
      <c r="C25" s="117" t="s">
        <v>28</v>
      </c>
      <c r="D25" s="117" t="s">
        <v>69</v>
      </c>
      <c r="E25" s="118" t="s">
        <v>98</v>
      </c>
      <c r="F25" s="119" t="s">
        <v>99</v>
      </c>
      <c r="G25" s="120" t="s">
        <v>62</v>
      </c>
      <c r="H25" s="121">
        <v>16.32</v>
      </c>
      <c r="I25" s="122">
        <v>257.77999999999997</v>
      </c>
      <c r="J25" s="122">
        <v>4206.97</v>
      </c>
      <c r="K25" s="85">
        <f t="shared" si="5"/>
        <v>0.28999999999999998</v>
      </c>
      <c r="L25" s="86">
        <f t="shared" si="0"/>
        <v>257.77999999999997</v>
      </c>
      <c r="M25" s="277">
        <f t="shared" si="1"/>
        <v>74.756199999999993</v>
      </c>
      <c r="N25" s="87">
        <f t="shared" si="2"/>
        <v>16.61</v>
      </c>
      <c r="O25" s="88">
        <f t="shared" si="3"/>
        <v>257.77999999999997</v>
      </c>
      <c r="P25" s="278">
        <f t="shared" si="4"/>
        <v>4281.7257999999993</v>
      </c>
    </row>
    <row r="26" spans="1:16" s="109" customFormat="1" ht="48" x14ac:dyDescent="0.2">
      <c r="A26" s="97"/>
      <c r="B26" s="116"/>
      <c r="C26" s="117" t="s">
        <v>30</v>
      </c>
      <c r="D26" s="117" t="s">
        <v>69</v>
      </c>
      <c r="E26" s="118" t="s">
        <v>100</v>
      </c>
      <c r="F26" s="119" t="s">
        <v>101</v>
      </c>
      <c r="G26" s="120" t="s">
        <v>62</v>
      </c>
      <c r="H26" s="121">
        <v>16.32</v>
      </c>
      <c r="I26" s="122">
        <v>315.64999999999998</v>
      </c>
      <c r="J26" s="122">
        <v>5151.41</v>
      </c>
      <c r="K26" s="85">
        <f t="shared" si="5"/>
        <v>0.28999999999999998</v>
      </c>
      <c r="L26" s="86">
        <f t="shared" si="0"/>
        <v>315.64999999999998</v>
      </c>
      <c r="M26" s="277">
        <f t="shared" si="1"/>
        <v>91.538499999999985</v>
      </c>
      <c r="N26" s="87">
        <f t="shared" si="2"/>
        <v>16.61</v>
      </c>
      <c r="O26" s="88">
        <f t="shared" si="3"/>
        <v>315.64999999999998</v>
      </c>
      <c r="P26" s="278">
        <f t="shared" si="4"/>
        <v>5242.9464999999991</v>
      </c>
    </row>
    <row r="27" spans="1:16" s="109" customFormat="1" ht="36" x14ac:dyDescent="0.2">
      <c r="A27" s="97"/>
      <c r="B27" s="116"/>
      <c r="C27" s="117" t="s">
        <v>32</v>
      </c>
      <c r="D27" s="117" t="s">
        <v>69</v>
      </c>
      <c r="E27" s="118" t="s">
        <v>102</v>
      </c>
      <c r="F27" s="119" t="s">
        <v>103</v>
      </c>
      <c r="G27" s="120" t="s">
        <v>72</v>
      </c>
      <c r="H27" s="121">
        <v>70.319999999999993</v>
      </c>
      <c r="I27" s="122">
        <v>69.709999999999994</v>
      </c>
      <c r="J27" s="122">
        <v>4902.01</v>
      </c>
      <c r="K27" s="85">
        <f t="shared" si="5"/>
        <v>1.26</v>
      </c>
      <c r="L27" s="86">
        <f t="shared" si="0"/>
        <v>69.709999999999994</v>
      </c>
      <c r="M27" s="277">
        <f t="shared" si="1"/>
        <v>87.834599999999995</v>
      </c>
      <c r="N27" s="87">
        <f t="shared" si="2"/>
        <v>71.58</v>
      </c>
      <c r="O27" s="88">
        <f t="shared" si="3"/>
        <v>69.709999999999994</v>
      </c>
      <c r="P27" s="278">
        <f t="shared" si="4"/>
        <v>4989.8417999999992</v>
      </c>
    </row>
    <row r="28" spans="1:16" s="109" customFormat="1" ht="48" x14ac:dyDescent="0.2">
      <c r="A28" s="97"/>
      <c r="B28" s="116"/>
      <c r="C28" s="117" t="s">
        <v>34</v>
      </c>
      <c r="D28" s="117" t="s">
        <v>69</v>
      </c>
      <c r="E28" s="118" t="s">
        <v>104</v>
      </c>
      <c r="F28" s="119" t="s">
        <v>105</v>
      </c>
      <c r="G28" s="120" t="s">
        <v>72</v>
      </c>
      <c r="H28" s="121">
        <v>70.319999999999993</v>
      </c>
      <c r="I28" s="122">
        <v>80.23</v>
      </c>
      <c r="J28" s="122">
        <v>5641.77</v>
      </c>
      <c r="K28" s="85">
        <f t="shared" si="5"/>
        <v>1.26</v>
      </c>
      <c r="L28" s="86">
        <f t="shared" si="0"/>
        <v>80.23</v>
      </c>
      <c r="M28" s="277">
        <f t="shared" si="1"/>
        <v>101.08980000000001</v>
      </c>
      <c r="N28" s="87">
        <f t="shared" si="2"/>
        <v>71.58</v>
      </c>
      <c r="O28" s="88">
        <f t="shared" si="3"/>
        <v>80.23</v>
      </c>
      <c r="P28" s="278">
        <f t="shared" si="4"/>
        <v>5742.8634000000002</v>
      </c>
    </row>
    <row r="29" spans="1:16" s="109" customFormat="1" ht="60" x14ac:dyDescent="0.2">
      <c r="A29" s="97"/>
      <c r="B29" s="116"/>
      <c r="C29" s="117" t="s">
        <v>1</v>
      </c>
      <c r="D29" s="117" t="s">
        <v>69</v>
      </c>
      <c r="E29" s="118" t="s">
        <v>106</v>
      </c>
      <c r="F29" s="119" t="s">
        <v>107</v>
      </c>
      <c r="G29" s="120" t="s">
        <v>62</v>
      </c>
      <c r="H29" s="121">
        <v>24.486000000000001</v>
      </c>
      <c r="I29" s="122">
        <v>13.15</v>
      </c>
      <c r="J29" s="122">
        <v>321.99</v>
      </c>
      <c r="K29" s="85">
        <f t="shared" si="5"/>
        <v>0.44</v>
      </c>
      <c r="L29" s="86">
        <f t="shared" si="0"/>
        <v>13.15</v>
      </c>
      <c r="M29" s="277">
        <f t="shared" si="1"/>
        <v>5.7860000000000005</v>
      </c>
      <c r="N29" s="87">
        <f t="shared" si="2"/>
        <v>24.926000000000002</v>
      </c>
      <c r="O29" s="88">
        <f t="shared" si="3"/>
        <v>13.15</v>
      </c>
      <c r="P29" s="278">
        <f t="shared" si="4"/>
        <v>327.77690000000001</v>
      </c>
    </row>
    <row r="30" spans="1:16" s="109" customFormat="1" ht="48" x14ac:dyDescent="0.2">
      <c r="A30" s="97"/>
      <c r="B30" s="116"/>
      <c r="C30" s="117" t="s">
        <v>37</v>
      </c>
      <c r="D30" s="117" t="s">
        <v>69</v>
      </c>
      <c r="E30" s="118" t="s">
        <v>108</v>
      </c>
      <c r="F30" s="119" t="s">
        <v>109</v>
      </c>
      <c r="G30" s="120" t="s">
        <v>62</v>
      </c>
      <c r="H30" s="121">
        <v>67.58</v>
      </c>
      <c r="I30" s="122">
        <v>186.51</v>
      </c>
      <c r="J30" s="122">
        <v>12604.35</v>
      </c>
      <c r="K30" s="85">
        <f t="shared" si="5"/>
        <v>1.21</v>
      </c>
      <c r="L30" s="86">
        <f t="shared" si="0"/>
        <v>186.51</v>
      </c>
      <c r="M30" s="277">
        <f t="shared" si="1"/>
        <v>225.6771</v>
      </c>
      <c r="N30" s="87">
        <f t="shared" si="2"/>
        <v>68.789999999999992</v>
      </c>
      <c r="O30" s="88">
        <f t="shared" si="3"/>
        <v>186.51</v>
      </c>
      <c r="P30" s="278">
        <f t="shared" si="4"/>
        <v>12830.022899999998</v>
      </c>
    </row>
    <row r="31" spans="1:16" s="109" customFormat="1" ht="36" x14ac:dyDescent="0.2">
      <c r="A31" s="97"/>
      <c r="B31" s="116"/>
      <c r="C31" s="117" t="s">
        <v>39</v>
      </c>
      <c r="D31" s="117" t="s">
        <v>69</v>
      </c>
      <c r="E31" s="118" t="s">
        <v>110</v>
      </c>
      <c r="F31" s="119" t="s">
        <v>111</v>
      </c>
      <c r="G31" s="120" t="s">
        <v>62</v>
      </c>
      <c r="H31" s="121">
        <v>40.81</v>
      </c>
      <c r="I31" s="122">
        <v>44.72</v>
      </c>
      <c r="J31" s="122">
        <v>1825.02</v>
      </c>
      <c r="K31" s="85">
        <f t="shared" si="5"/>
        <v>0.73</v>
      </c>
      <c r="L31" s="86">
        <f t="shared" si="0"/>
        <v>44.72</v>
      </c>
      <c r="M31" s="277">
        <f t="shared" si="1"/>
        <v>32.645600000000002</v>
      </c>
      <c r="N31" s="87">
        <f t="shared" si="2"/>
        <v>41.54</v>
      </c>
      <c r="O31" s="88">
        <f t="shared" si="3"/>
        <v>44.72</v>
      </c>
      <c r="P31" s="278">
        <f t="shared" si="4"/>
        <v>1857.6687999999999</v>
      </c>
    </row>
    <row r="32" spans="1:16" s="109" customFormat="1" ht="48" x14ac:dyDescent="0.2">
      <c r="A32" s="97"/>
      <c r="B32" s="116"/>
      <c r="C32" s="117" t="s">
        <v>41</v>
      </c>
      <c r="D32" s="117" t="s">
        <v>69</v>
      </c>
      <c r="E32" s="118" t="s">
        <v>112</v>
      </c>
      <c r="F32" s="119" t="s">
        <v>113</v>
      </c>
      <c r="G32" s="120" t="s">
        <v>62</v>
      </c>
      <c r="H32" s="121">
        <v>14</v>
      </c>
      <c r="I32" s="122">
        <v>247.39</v>
      </c>
      <c r="J32" s="122">
        <v>3463.46</v>
      </c>
      <c r="K32" s="85">
        <f t="shared" si="5"/>
        <v>0.25</v>
      </c>
      <c r="L32" s="86">
        <f t="shared" si="0"/>
        <v>247.39</v>
      </c>
      <c r="M32" s="277">
        <f t="shared" si="1"/>
        <v>61.847499999999997</v>
      </c>
      <c r="N32" s="87">
        <f t="shared" si="2"/>
        <v>14.25</v>
      </c>
      <c r="O32" s="88">
        <f t="shared" si="3"/>
        <v>247.39</v>
      </c>
      <c r="P32" s="278">
        <f t="shared" si="4"/>
        <v>3525.3074999999999</v>
      </c>
    </row>
    <row r="33" spans="1:17" s="109" customFormat="1" ht="12" x14ac:dyDescent="0.2">
      <c r="A33" s="97"/>
      <c r="B33" s="116"/>
      <c r="C33" s="117" t="s">
        <v>114</v>
      </c>
      <c r="D33" s="117" t="s">
        <v>69</v>
      </c>
      <c r="E33" s="118" t="s">
        <v>115</v>
      </c>
      <c r="F33" s="119" t="s">
        <v>116</v>
      </c>
      <c r="G33" s="120" t="s">
        <v>62</v>
      </c>
      <c r="H33" s="121">
        <v>14</v>
      </c>
      <c r="I33" s="122">
        <v>11.84</v>
      </c>
      <c r="J33" s="122">
        <v>165.76</v>
      </c>
      <c r="K33" s="85">
        <f t="shared" si="5"/>
        <v>0.25</v>
      </c>
      <c r="L33" s="86">
        <f t="shared" si="0"/>
        <v>11.84</v>
      </c>
      <c r="M33" s="277">
        <f t="shared" si="1"/>
        <v>2.96</v>
      </c>
      <c r="N33" s="87">
        <f t="shared" si="2"/>
        <v>14.25</v>
      </c>
      <c r="O33" s="88">
        <f t="shared" si="3"/>
        <v>11.84</v>
      </c>
      <c r="P33" s="278">
        <f t="shared" si="4"/>
        <v>168.72</v>
      </c>
    </row>
    <row r="34" spans="1:17" s="109" customFormat="1" ht="36" x14ac:dyDescent="0.2">
      <c r="A34" s="97"/>
      <c r="B34" s="116"/>
      <c r="C34" s="117" t="s">
        <v>117</v>
      </c>
      <c r="D34" s="117" t="s">
        <v>69</v>
      </c>
      <c r="E34" s="118" t="s">
        <v>118</v>
      </c>
      <c r="F34" s="119" t="s">
        <v>119</v>
      </c>
      <c r="G34" s="120" t="s">
        <v>120</v>
      </c>
      <c r="H34" s="121">
        <v>22.373999999999999</v>
      </c>
      <c r="I34" s="122">
        <v>116</v>
      </c>
      <c r="J34" s="122">
        <v>2595.38</v>
      </c>
      <c r="K34" s="85">
        <f t="shared" si="5"/>
        <v>0.4</v>
      </c>
      <c r="L34" s="86">
        <f t="shared" si="0"/>
        <v>116</v>
      </c>
      <c r="M34" s="277">
        <f t="shared" si="1"/>
        <v>46.400000000000006</v>
      </c>
      <c r="N34" s="87">
        <f t="shared" si="2"/>
        <v>22.773999999999997</v>
      </c>
      <c r="O34" s="88">
        <f t="shared" si="3"/>
        <v>116</v>
      </c>
      <c r="P34" s="278">
        <f t="shared" si="4"/>
        <v>2641.7839999999997</v>
      </c>
      <c r="Q34" s="148" t="s">
        <v>1137</v>
      </c>
    </row>
    <row r="35" spans="1:17" s="109" customFormat="1" ht="36" x14ac:dyDescent="0.2">
      <c r="A35" s="97"/>
      <c r="B35" s="116"/>
      <c r="C35" s="117" t="s">
        <v>0</v>
      </c>
      <c r="D35" s="117" t="s">
        <v>69</v>
      </c>
      <c r="E35" s="118" t="s">
        <v>121</v>
      </c>
      <c r="F35" s="119" t="s">
        <v>122</v>
      </c>
      <c r="G35" s="120" t="s">
        <v>62</v>
      </c>
      <c r="H35" s="121">
        <v>26.77</v>
      </c>
      <c r="I35" s="122">
        <v>286.72000000000003</v>
      </c>
      <c r="J35" s="122">
        <v>7675.49</v>
      </c>
      <c r="K35" s="85">
        <f t="shared" si="5"/>
        <v>0.48</v>
      </c>
      <c r="L35" s="86">
        <f t="shared" si="0"/>
        <v>286.72000000000003</v>
      </c>
      <c r="M35" s="277">
        <f t="shared" si="1"/>
        <v>137.62560000000002</v>
      </c>
      <c r="N35" s="87">
        <f t="shared" si="2"/>
        <v>27.25</v>
      </c>
      <c r="O35" s="88">
        <f t="shared" si="3"/>
        <v>286.72000000000003</v>
      </c>
      <c r="P35" s="278">
        <f t="shared" si="4"/>
        <v>7813.1200000000008</v>
      </c>
    </row>
    <row r="36" spans="1:17" s="109" customFormat="1" ht="60" x14ac:dyDescent="0.2">
      <c r="A36" s="97"/>
      <c r="B36" s="116"/>
      <c r="C36" s="117" t="s">
        <v>123</v>
      </c>
      <c r="D36" s="117" t="s">
        <v>69</v>
      </c>
      <c r="E36" s="118" t="s">
        <v>124</v>
      </c>
      <c r="F36" s="119" t="s">
        <v>125</v>
      </c>
      <c r="G36" s="120" t="s">
        <v>62</v>
      </c>
      <c r="H36" s="121">
        <v>8.0299999999999994</v>
      </c>
      <c r="I36" s="122">
        <v>318.27999999999997</v>
      </c>
      <c r="J36" s="122">
        <v>2555.79</v>
      </c>
      <c r="K36" s="85">
        <f t="shared" si="5"/>
        <v>0.14000000000000001</v>
      </c>
      <c r="L36" s="86">
        <f t="shared" si="0"/>
        <v>318.27999999999997</v>
      </c>
      <c r="M36" s="277">
        <f t="shared" si="1"/>
        <v>44.559199999999997</v>
      </c>
      <c r="N36" s="87">
        <f t="shared" si="2"/>
        <v>8.17</v>
      </c>
      <c r="O36" s="88">
        <f t="shared" si="3"/>
        <v>318.27999999999997</v>
      </c>
      <c r="P36" s="278">
        <f t="shared" si="4"/>
        <v>2600.3475999999996</v>
      </c>
    </row>
    <row r="37" spans="1:17" s="109" customFormat="1" ht="12" x14ac:dyDescent="0.2">
      <c r="A37" s="97"/>
      <c r="B37" s="116"/>
      <c r="C37" s="123" t="s">
        <v>126</v>
      </c>
      <c r="D37" s="123" t="s">
        <v>127</v>
      </c>
      <c r="E37" s="124" t="s">
        <v>128</v>
      </c>
      <c r="F37" s="125" t="s">
        <v>129</v>
      </c>
      <c r="G37" s="126" t="s">
        <v>120</v>
      </c>
      <c r="H37" s="127">
        <v>14.454000000000001</v>
      </c>
      <c r="I37" s="128">
        <v>190.76</v>
      </c>
      <c r="J37" s="128">
        <v>2757.25</v>
      </c>
      <c r="K37" s="85">
        <f t="shared" si="5"/>
        <v>0.26</v>
      </c>
      <c r="L37" s="86">
        <f t="shared" si="0"/>
        <v>190.76</v>
      </c>
      <c r="M37" s="277">
        <f t="shared" si="1"/>
        <v>49.5976</v>
      </c>
      <c r="N37" s="87">
        <f t="shared" si="2"/>
        <v>14.714</v>
      </c>
      <c r="O37" s="88">
        <f t="shared" si="3"/>
        <v>190.76</v>
      </c>
      <c r="P37" s="278">
        <f t="shared" si="4"/>
        <v>2806.8426399999998</v>
      </c>
    </row>
    <row r="38" spans="1:17" s="109" customFormat="1" ht="36" x14ac:dyDescent="0.2">
      <c r="A38" s="97"/>
      <c r="B38" s="116"/>
      <c r="C38" s="117" t="s">
        <v>131</v>
      </c>
      <c r="D38" s="117" t="s">
        <v>69</v>
      </c>
      <c r="E38" s="118" t="s">
        <v>299</v>
      </c>
      <c r="F38" s="119" t="s">
        <v>300</v>
      </c>
      <c r="G38" s="120" t="s">
        <v>72</v>
      </c>
      <c r="H38" s="121">
        <v>3.6850000000000001</v>
      </c>
      <c r="I38" s="122">
        <v>18.41</v>
      </c>
      <c r="J38" s="122">
        <v>67.84</v>
      </c>
      <c r="K38" s="85">
        <f t="shared" si="5"/>
        <v>7.0000000000000007E-2</v>
      </c>
      <c r="L38" s="86">
        <f t="shared" si="0"/>
        <v>18.41</v>
      </c>
      <c r="M38" s="277">
        <f t="shared" si="1"/>
        <v>1.2887000000000002</v>
      </c>
      <c r="N38" s="87">
        <f t="shared" si="2"/>
        <v>3.7549999999999999</v>
      </c>
      <c r="O38" s="88">
        <f t="shared" si="3"/>
        <v>18.41</v>
      </c>
      <c r="P38" s="278">
        <f t="shared" si="4"/>
        <v>69.129549999999995</v>
      </c>
    </row>
    <row r="39" spans="1:17" s="109" customFormat="1" ht="24" x14ac:dyDescent="0.2">
      <c r="A39" s="97"/>
      <c r="B39" s="116"/>
      <c r="C39" s="117" t="s">
        <v>135</v>
      </c>
      <c r="D39" s="117" t="s">
        <v>69</v>
      </c>
      <c r="E39" s="118" t="s">
        <v>301</v>
      </c>
      <c r="F39" s="119" t="s">
        <v>302</v>
      </c>
      <c r="G39" s="120" t="s">
        <v>72</v>
      </c>
      <c r="H39" s="121">
        <v>3.6850000000000001</v>
      </c>
      <c r="I39" s="122">
        <v>27.62</v>
      </c>
      <c r="J39" s="122">
        <v>101.78</v>
      </c>
      <c r="K39" s="85">
        <f t="shared" si="5"/>
        <v>7.0000000000000007E-2</v>
      </c>
      <c r="L39" s="86">
        <f t="shared" si="0"/>
        <v>27.62</v>
      </c>
      <c r="M39" s="277">
        <f t="shared" si="1"/>
        <v>1.9334000000000002</v>
      </c>
      <c r="N39" s="87">
        <f t="shared" si="2"/>
        <v>3.7549999999999999</v>
      </c>
      <c r="O39" s="88">
        <f t="shared" si="3"/>
        <v>27.62</v>
      </c>
      <c r="P39" s="278">
        <f t="shared" si="4"/>
        <v>103.7131</v>
      </c>
    </row>
    <row r="40" spans="1:17" s="109" customFormat="1" ht="12" x14ac:dyDescent="0.2">
      <c r="A40" s="97"/>
      <c r="B40" s="116"/>
      <c r="C40" s="117" t="s">
        <v>139</v>
      </c>
      <c r="D40" s="117" t="s">
        <v>69</v>
      </c>
      <c r="E40" s="118" t="s">
        <v>303</v>
      </c>
      <c r="F40" s="119" t="s">
        <v>304</v>
      </c>
      <c r="G40" s="120" t="s">
        <v>72</v>
      </c>
      <c r="H40" s="121">
        <v>3.6850000000000001</v>
      </c>
      <c r="I40" s="122">
        <v>11.84</v>
      </c>
      <c r="J40" s="122">
        <v>43.63</v>
      </c>
      <c r="K40" s="85">
        <f t="shared" si="5"/>
        <v>7.0000000000000007E-2</v>
      </c>
      <c r="L40" s="86">
        <f t="shared" si="0"/>
        <v>11.84</v>
      </c>
      <c r="M40" s="277">
        <f t="shared" si="1"/>
        <v>0.82880000000000009</v>
      </c>
      <c r="N40" s="87">
        <f t="shared" si="2"/>
        <v>3.7549999999999999</v>
      </c>
      <c r="O40" s="88">
        <f t="shared" si="3"/>
        <v>11.84</v>
      </c>
      <c r="P40" s="278">
        <f t="shared" si="4"/>
        <v>44.459199999999996</v>
      </c>
    </row>
    <row r="41" spans="1:17" s="109" customFormat="1" ht="12" x14ac:dyDescent="0.2">
      <c r="A41" s="97"/>
      <c r="B41" s="116"/>
      <c r="C41" s="123" t="s">
        <v>142</v>
      </c>
      <c r="D41" s="123" t="s">
        <v>127</v>
      </c>
      <c r="E41" s="124" t="s">
        <v>305</v>
      </c>
      <c r="F41" s="125" t="s">
        <v>306</v>
      </c>
      <c r="G41" s="126" t="s">
        <v>307</v>
      </c>
      <c r="H41" s="127">
        <v>5.5E-2</v>
      </c>
      <c r="I41" s="128">
        <v>170.98</v>
      </c>
      <c r="J41" s="128">
        <v>9.4</v>
      </c>
      <c r="K41" s="85">
        <f t="shared" si="5"/>
        <v>0</v>
      </c>
      <c r="L41" s="86">
        <f t="shared" si="0"/>
        <v>170.98</v>
      </c>
      <c r="M41" s="277">
        <f t="shared" si="1"/>
        <v>0</v>
      </c>
      <c r="N41" s="87">
        <f t="shared" si="2"/>
        <v>5.5E-2</v>
      </c>
      <c r="O41" s="88">
        <f t="shared" si="3"/>
        <v>170.98</v>
      </c>
      <c r="P41" s="278">
        <f t="shared" si="4"/>
        <v>9.4039000000000001</v>
      </c>
    </row>
    <row r="42" spans="1:17" s="109" customFormat="1" ht="24" x14ac:dyDescent="0.2">
      <c r="A42" s="97"/>
      <c r="B42" s="116"/>
      <c r="C42" s="117" t="s">
        <v>145</v>
      </c>
      <c r="D42" s="117" t="s">
        <v>69</v>
      </c>
      <c r="E42" s="118" t="s">
        <v>308</v>
      </c>
      <c r="F42" s="119" t="s">
        <v>309</v>
      </c>
      <c r="G42" s="120" t="s">
        <v>72</v>
      </c>
      <c r="H42" s="121">
        <v>3.6850000000000001</v>
      </c>
      <c r="I42" s="122">
        <v>5.26</v>
      </c>
      <c r="J42" s="122">
        <v>19.38</v>
      </c>
      <c r="K42" s="85">
        <f t="shared" si="5"/>
        <v>7.0000000000000007E-2</v>
      </c>
      <c r="L42" s="86">
        <f t="shared" si="0"/>
        <v>5.26</v>
      </c>
      <c r="M42" s="277">
        <f t="shared" si="1"/>
        <v>0.36820000000000003</v>
      </c>
      <c r="N42" s="87">
        <f t="shared" si="2"/>
        <v>3.7549999999999999</v>
      </c>
      <c r="O42" s="88">
        <f t="shared" si="3"/>
        <v>5.26</v>
      </c>
      <c r="P42" s="278">
        <f t="shared" si="4"/>
        <v>19.751299999999997</v>
      </c>
    </row>
    <row r="43" spans="1:17" s="110" customFormat="1" ht="12.75" x14ac:dyDescent="0.2">
      <c r="C43" s="224"/>
      <c r="D43" s="225" t="s">
        <v>3</v>
      </c>
      <c r="E43" s="226" t="s">
        <v>76</v>
      </c>
      <c r="F43" s="226" t="s">
        <v>130</v>
      </c>
      <c r="G43" s="224"/>
      <c r="H43" s="224"/>
      <c r="I43" s="224"/>
      <c r="J43" s="227">
        <v>458.68</v>
      </c>
      <c r="K43" s="281"/>
      <c r="L43" s="282"/>
      <c r="M43" s="291">
        <f>M44</f>
        <v>8.2200000000000006</v>
      </c>
      <c r="N43" s="290"/>
      <c r="O43" s="283"/>
      <c r="P43" s="291">
        <f>P44</f>
        <v>466.89600000000002</v>
      </c>
    </row>
    <row r="44" spans="1:17" s="109" customFormat="1" ht="12" x14ac:dyDescent="0.2">
      <c r="A44" s="97"/>
      <c r="B44" s="116"/>
      <c r="C44" s="117" t="s">
        <v>148</v>
      </c>
      <c r="D44" s="117" t="s">
        <v>69</v>
      </c>
      <c r="E44" s="118" t="s">
        <v>132</v>
      </c>
      <c r="F44" s="119" t="s">
        <v>133</v>
      </c>
      <c r="G44" s="120" t="s">
        <v>61</v>
      </c>
      <c r="H44" s="121">
        <v>13.95</v>
      </c>
      <c r="I44" s="122">
        <v>32.880000000000003</v>
      </c>
      <c r="J44" s="122">
        <v>458.68</v>
      </c>
      <c r="K44" s="85">
        <f t="shared" si="5"/>
        <v>0.25</v>
      </c>
      <c r="L44" s="86">
        <f t="shared" si="0"/>
        <v>32.880000000000003</v>
      </c>
      <c r="M44" s="277">
        <f t="shared" si="1"/>
        <v>8.2200000000000006</v>
      </c>
      <c r="N44" s="87">
        <f t="shared" si="2"/>
        <v>14.2</v>
      </c>
      <c r="O44" s="88">
        <f t="shared" si="3"/>
        <v>32.880000000000003</v>
      </c>
      <c r="P44" s="278">
        <f t="shared" si="4"/>
        <v>466.89600000000002</v>
      </c>
    </row>
    <row r="45" spans="1:17" s="110" customFormat="1" ht="12.75" x14ac:dyDescent="0.2">
      <c r="C45" s="224"/>
      <c r="D45" s="225" t="s">
        <v>3</v>
      </c>
      <c r="E45" s="226" t="s">
        <v>73</v>
      </c>
      <c r="F45" s="226" t="s">
        <v>134</v>
      </c>
      <c r="G45" s="224"/>
      <c r="H45" s="224"/>
      <c r="I45" s="224"/>
      <c r="J45" s="227">
        <v>903.56</v>
      </c>
      <c r="K45" s="281"/>
      <c r="L45" s="282"/>
      <c r="M45" s="291">
        <f>SUM(M46:M48)</f>
        <v>0</v>
      </c>
      <c r="N45" s="290"/>
      <c r="O45" s="283"/>
      <c r="P45" s="291">
        <f>SUM(P46:P48)</f>
        <v>903.56</v>
      </c>
    </row>
    <row r="46" spans="1:17" s="109" customFormat="1" ht="24" x14ac:dyDescent="0.2">
      <c r="A46" s="97"/>
      <c r="B46" s="116"/>
      <c r="C46" s="117" t="s">
        <v>151</v>
      </c>
      <c r="D46" s="117" t="s">
        <v>69</v>
      </c>
      <c r="E46" s="118" t="s">
        <v>136</v>
      </c>
      <c r="F46" s="119" t="s">
        <v>137</v>
      </c>
      <c r="G46" s="120" t="s">
        <v>138</v>
      </c>
      <c r="H46" s="121">
        <v>2</v>
      </c>
      <c r="I46" s="122">
        <v>122.32</v>
      </c>
      <c r="J46" s="122">
        <v>244.64</v>
      </c>
      <c r="K46" s="85">
        <v>0</v>
      </c>
      <c r="L46" s="86">
        <f t="shared" si="0"/>
        <v>122.32</v>
      </c>
      <c r="M46" s="277">
        <f t="shared" si="1"/>
        <v>0</v>
      </c>
      <c r="N46" s="87">
        <f t="shared" si="2"/>
        <v>2</v>
      </c>
      <c r="O46" s="88">
        <f t="shared" si="3"/>
        <v>122.32</v>
      </c>
      <c r="P46" s="278">
        <f t="shared" si="4"/>
        <v>244.64</v>
      </c>
    </row>
    <row r="47" spans="1:17" s="109" customFormat="1" ht="24" x14ac:dyDescent="0.2">
      <c r="A47" s="97"/>
      <c r="B47" s="116"/>
      <c r="C47" s="123" t="s">
        <v>155</v>
      </c>
      <c r="D47" s="123" t="s">
        <v>127</v>
      </c>
      <c r="E47" s="124" t="s">
        <v>146</v>
      </c>
      <c r="F47" s="125" t="s">
        <v>147</v>
      </c>
      <c r="G47" s="126" t="s">
        <v>138</v>
      </c>
      <c r="H47" s="127">
        <v>1</v>
      </c>
      <c r="I47" s="128">
        <v>345.9</v>
      </c>
      <c r="J47" s="128">
        <v>345.9</v>
      </c>
      <c r="K47" s="85">
        <v>0</v>
      </c>
      <c r="L47" s="86">
        <f t="shared" si="0"/>
        <v>345.9</v>
      </c>
      <c r="M47" s="277">
        <f t="shared" si="1"/>
        <v>0</v>
      </c>
      <c r="N47" s="87">
        <f t="shared" si="2"/>
        <v>1</v>
      </c>
      <c r="O47" s="88">
        <f t="shared" si="3"/>
        <v>345.9</v>
      </c>
      <c r="P47" s="278">
        <f t="shared" si="4"/>
        <v>345.9</v>
      </c>
    </row>
    <row r="48" spans="1:17" s="109" customFormat="1" ht="24" x14ac:dyDescent="0.2">
      <c r="A48" s="97"/>
      <c r="B48" s="116"/>
      <c r="C48" s="123" t="s">
        <v>158</v>
      </c>
      <c r="D48" s="123" t="s">
        <v>127</v>
      </c>
      <c r="E48" s="124" t="s">
        <v>143</v>
      </c>
      <c r="F48" s="125" t="s">
        <v>144</v>
      </c>
      <c r="G48" s="126" t="s">
        <v>138</v>
      </c>
      <c r="H48" s="127">
        <v>1</v>
      </c>
      <c r="I48" s="128">
        <v>313.02</v>
      </c>
      <c r="J48" s="128">
        <v>313.02</v>
      </c>
      <c r="K48" s="85">
        <v>0</v>
      </c>
      <c r="L48" s="86">
        <f t="shared" si="0"/>
        <v>313.02</v>
      </c>
      <c r="M48" s="277">
        <f t="shared" si="1"/>
        <v>0</v>
      </c>
      <c r="N48" s="87">
        <f t="shared" si="2"/>
        <v>1</v>
      </c>
      <c r="O48" s="88">
        <f t="shared" si="3"/>
        <v>313.02</v>
      </c>
      <c r="P48" s="278">
        <f t="shared" si="4"/>
        <v>313.02</v>
      </c>
    </row>
    <row r="49" spans="1:16" s="110" customFormat="1" ht="12.75" x14ac:dyDescent="0.2">
      <c r="C49" s="224"/>
      <c r="D49" s="225" t="s">
        <v>3</v>
      </c>
      <c r="E49" s="226" t="s">
        <v>81</v>
      </c>
      <c r="F49" s="226" t="s">
        <v>154</v>
      </c>
      <c r="G49" s="224"/>
      <c r="H49" s="224"/>
      <c r="I49" s="224"/>
      <c r="J49" s="227">
        <v>18184.310000000001</v>
      </c>
      <c r="K49" s="281"/>
      <c r="L49" s="282"/>
      <c r="M49" s="291">
        <f>SUM(M50:M54)</f>
        <v>0</v>
      </c>
      <c r="N49" s="290"/>
      <c r="O49" s="283"/>
      <c r="P49" s="291">
        <f>SUM(P50:P54)</f>
        <v>18184.321199999998</v>
      </c>
    </row>
    <row r="50" spans="1:16" s="109" customFormat="1" ht="36" x14ac:dyDescent="0.2">
      <c r="A50" s="97"/>
      <c r="B50" s="116"/>
      <c r="C50" s="117" t="s">
        <v>161</v>
      </c>
      <c r="D50" s="117" t="s">
        <v>69</v>
      </c>
      <c r="E50" s="118" t="s">
        <v>156</v>
      </c>
      <c r="F50" s="119" t="s">
        <v>157</v>
      </c>
      <c r="G50" s="120" t="s">
        <v>72</v>
      </c>
      <c r="H50" s="121">
        <v>11.66</v>
      </c>
      <c r="I50" s="122">
        <v>319.88</v>
      </c>
      <c r="J50" s="122">
        <v>3729.8</v>
      </c>
      <c r="K50" s="85">
        <v>0</v>
      </c>
      <c r="L50" s="86">
        <f t="shared" si="0"/>
        <v>319.88</v>
      </c>
      <c r="M50" s="277">
        <f t="shared" si="1"/>
        <v>0</v>
      </c>
      <c r="N50" s="87">
        <f t="shared" si="2"/>
        <v>11.66</v>
      </c>
      <c r="O50" s="88">
        <f t="shared" si="3"/>
        <v>319.88</v>
      </c>
      <c r="P50" s="278">
        <f t="shared" si="4"/>
        <v>3729.8008</v>
      </c>
    </row>
    <row r="51" spans="1:16" s="109" customFormat="1" ht="24" x14ac:dyDescent="0.2">
      <c r="A51" s="97"/>
      <c r="B51" s="116"/>
      <c r="C51" s="117" t="s">
        <v>164</v>
      </c>
      <c r="D51" s="117" t="s">
        <v>69</v>
      </c>
      <c r="E51" s="118" t="s">
        <v>162</v>
      </c>
      <c r="F51" s="119" t="s">
        <v>163</v>
      </c>
      <c r="G51" s="120" t="s">
        <v>72</v>
      </c>
      <c r="H51" s="121">
        <v>11.66</v>
      </c>
      <c r="I51" s="122">
        <v>155.66999999999999</v>
      </c>
      <c r="J51" s="122">
        <v>1815.11</v>
      </c>
      <c r="K51" s="85">
        <v>0</v>
      </c>
      <c r="L51" s="86">
        <f t="shared" si="0"/>
        <v>155.66999999999999</v>
      </c>
      <c r="M51" s="277">
        <f t="shared" si="1"/>
        <v>0</v>
      </c>
      <c r="N51" s="87">
        <f t="shared" si="2"/>
        <v>11.66</v>
      </c>
      <c r="O51" s="88">
        <f t="shared" si="3"/>
        <v>155.66999999999999</v>
      </c>
      <c r="P51" s="278">
        <f t="shared" si="4"/>
        <v>1815.1121999999998</v>
      </c>
    </row>
    <row r="52" spans="1:16" s="109" customFormat="1" ht="24" x14ac:dyDescent="0.2">
      <c r="A52" s="97"/>
      <c r="B52" s="116"/>
      <c r="C52" s="117" t="s">
        <v>167</v>
      </c>
      <c r="D52" s="117" t="s">
        <v>69</v>
      </c>
      <c r="E52" s="118" t="s">
        <v>168</v>
      </c>
      <c r="F52" s="119" t="s">
        <v>169</v>
      </c>
      <c r="G52" s="120" t="s">
        <v>72</v>
      </c>
      <c r="H52" s="121">
        <v>18.02</v>
      </c>
      <c r="I52" s="122">
        <v>18.04</v>
      </c>
      <c r="J52" s="122">
        <v>325.08</v>
      </c>
      <c r="K52" s="85">
        <v>0</v>
      </c>
      <c r="L52" s="86">
        <f t="shared" si="0"/>
        <v>18.04</v>
      </c>
      <c r="M52" s="277">
        <f t="shared" si="1"/>
        <v>0</v>
      </c>
      <c r="N52" s="87">
        <f t="shared" si="2"/>
        <v>18.02</v>
      </c>
      <c r="O52" s="88">
        <f t="shared" si="3"/>
        <v>18.04</v>
      </c>
      <c r="P52" s="278">
        <f t="shared" si="4"/>
        <v>325.08079999999995</v>
      </c>
    </row>
    <row r="53" spans="1:16" s="109" customFormat="1" ht="48" x14ac:dyDescent="0.2">
      <c r="A53" s="97"/>
      <c r="B53" s="116"/>
      <c r="C53" s="117" t="s">
        <v>170</v>
      </c>
      <c r="D53" s="117" t="s">
        <v>69</v>
      </c>
      <c r="E53" s="118" t="s">
        <v>171</v>
      </c>
      <c r="F53" s="119" t="s">
        <v>172</v>
      </c>
      <c r="G53" s="120" t="s">
        <v>72</v>
      </c>
      <c r="H53" s="121">
        <v>18.02</v>
      </c>
      <c r="I53" s="122">
        <v>396.71</v>
      </c>
      <c r="J53" s="122">
        <v>7148.71</v>
      </c>
      <c r="K53" s="85">
        <v>0</v>
      </c>
      <c r="L53" s="86">
        <f t="shared" si="0"/>
        <v>396.71</v>
      </c>
      <c r="M53" s="277">
        <f t="shared" si="1"/>
        <v>0</v>
      </c>
      <c r="N53" s="87">
        <f t="shared" si="2"/>
        <v>18.02</v>
      </c>
      <c r="O53" s="88">
        <f t="shared" si="3"/>
        <v>396.71</v>
      </c>
      <c r="P53" s="278">
        <f t="shared" si="4"/>
        <v>7148.7141999999994</v>
      </c>
    </row>
    <row r="54" spans="1:16" s="109" customFormat="1" ht="36" x14ac:dyDescent="0.2">
      <c r="A54" s="97"/>
      <c r="B54" s="116"/>
      <c r="C54" s="117" t="s">
        <v>173</v>
      </c>
      <c r="D54" s="117" t="s">
        <v>69</v>
      </c>
      <c r="E54" s="118" t="s">
        <v>174</v>
      </c>
      <c r="F54" s="119" t="s">
        <v>175</v>
      </c>
      <c r="G54" s="120" t="s">
        <v>72</v>
      </c>
      <c r="H54" s="121">
        <v>11.66</v>
      </c>
      <c r="I54" s="122">
        <v>443.02</v>
      </c>
      <c r="J54" s="122">
        <v>5165.6099999999997</v>
      </c>
      <c r="K54" s="85">
        <v>0</v>
      </c>
      <c r="L54" s="86">
        <f t="shared" si="0"/>
        <v>443.02</v>
      </c>
      <c r="M54" s="277">
        <f t="shared" si="1"/>
        <v>0</v>
      </c>
      <c r="N54" s="87">
        <f t="shared" si="2"/>
        <v>11.66</v>
      </c>
      <c r="O54" s="88">
        <f t="shared" si="3"/>
        <v>443.02</v>
      </c>
      <c r="P54" s="278">
        <f t="shared" si="4"/>
        <v>5165.6131999999998</v>
      </c>
    </row>
    <row r="55" spans="1:16" s="110" customFormat="1" ht="12.75" x14ac:dyDescent="0.2">
      <c r="C55" s="224"/>
      <c r="D55" s="225" t="s">
        <v>3</v>
      </c>
      <c r="E55" s="226" t="s">
        <v>90</v>
      </c>
      <c r="F55" s="226" t="s">
        <v>182</v>
      </c>
      <c r="G55" s="224"/>
      <c r="H55" s="224"/>
      <c r="I55" s="224"/>
      <c r="J55" s="227">
        <v>65357.430000000015</v>
      </c>
      <c r="K55" s="281"/>
      <c r="L55" s="282"/>
      <c r="M55" s="291">
        <f>SUM(M56:M68)</f>
        <v>579.08230000000003</v>
      </c>
      <c r="N55" s="290"/>
      <c r="O55" s="283"/>
      <c r="P55" s="291">
        <f>SUM(P56:P68)</f>
        <v>65936.518230000016</v>
      </c>
    </row>
    <row r="56" spans="1:16" s="109" customFormat="1" ht="36" x14ac:dyDescent="0.2">
      <c r="A56" s="97"/>
      <c r="B56" s="116"/>
      <c r="C56" s="117" t="s">
        <v>176</v>
      </c>
      <c r="D56" s="117" t="s">
        <v>69</v>
      </c>
      <c r="E56" s="118" t="s">
        <v>184</v>
      </c>
      <c r="F56" s="119" t="s">
        <v>185</v>
      </c>
      <c r="G56" s="120" t="s">
        <v>61</v>
      </c>
      <c r="H56" s="121">
        <v>13.95</v>
      </c>
      <c r="I56" s="122">
        <v>552.39</v>
      </c>
      <c r="J56" s="122">
        <v>7705.84</v>
      </c>
      <c r="K56" s="85">
        <f t="shared" ref="K56:K58" si="6">ROUND(14.2/13.95*H56-H56,2)</f>
        <v>0.25</v>
      </c>
      <c r="L56" s="86">
        <f t="shared" si="0"/>
        <v>552.39</v>
      </c>
      <c r="M56" s="277">
        <f t="shared" si="1"/>
        <v>138.0975</v>
      </c>
      <c r="N56" s="87">
        <f t="shared" si="2"/>
        <v>14.2</v>
      </c>
      <c r="O56" s="88">
        <f t="shared" si="3"/>
        <v>552.39</v>
      </c>
      <c r="P56" s="278">
        <f t="shared" si="4"/>
        <v>7843.9379999999992</v>
      </c>
    </row>
    <row r="57" spans="1:16" s="109" customFormat="1" ht="24" x14ac:dyDescent="0.2">
      <c r="A57" s="97"/>
      <c r="B57" s="116"/>
      <c r="C57" s="123" t="s">
        <v>179</v>
      </c>
      <c r="D57" s="123" t="s">
        <v>127</v>
      </c>
      <c r="E57" s="124" t="s">
        <v>187</v>
      </c>
      <c r="F57" s="125" t="s">
        <v>188</v>
      </c>
      <c r="G57" s="126" t="s">
        <v>61</v>
      </c>
      <c r="H57" s="127">
        <v>14.159000000000001</v>
      </c>
      <c r="I57" s="128">
        <v>1060.07</v>
      </c>
      <c r="J57" s="128">
        <v>15009.53</v>
      </c>
      <c r="K57" s="85">
        <f t="shared" si="6"/>
        <v>0.25</v>
      </c>
      <c r="L57" s="86">
        <f t="shared" si="0"/>
        <v>1060.07</v>
      </c>
      <c r="M57" s="277">
        <f t="shared" si="1"/>
        <v>265.01749999999998</v>
      </c>
      <c r="N57" s="87">
        <f t="shared" si="2"/>
        <v>14.409000000000001</v>
      </c>
      <c r="O57" s="88">
        <f t="shared" si="3"/>
        <v>1060.07</v>
      </c>
      <c r="P57" s="278">
        <f t="shared" si="4"/>
        <v>15274.548629999999</v>
      </c>
    </row>
    <row r="58" spans="1:16" s="109" customFormat="1" ht="24" x14ac:dyDescent="0.2">
      <c r="A58" s="97"/>
      <c r="B58" s="116"/>
      <c r="C58" s="117" t="s">
        <v>183</v>
      </c>
      <c r="D58" s="117" t="s">
        <v>69</v>
      </c>
      <c r="E58" s="118" t="s">
        <v>211</v>
      </c>
      <c r="F58" s="119" t="s">
        <v>212</v>
      </c>
      <c r="G58" s="120" t="s">
        <v>213</v>
      </c>
      <c r="H58" s="121">
        <v>1</v>
      </c>
      <c r="I58" s="122">
        <v>2564.6799999999998</v>
      </c>
      <c r="J58" s="122">
        <v>2564.6799999999998</v>
      </c>
      <c r="K58" s="85">
        <f t="shared" si="6"/>
        <v>0.02</v>
      </c>
      <c r="L58" s="86">
        <f t="shared" si="0"/>
        <v>2564.6799999999998</v>
      </c>
      <c r="M58" s="277">
        <f t="shared" si="1"/>
        <v>51.293599999999998</v>
      </c>
      <c r="N58" s="87">
        <f t="shared" si="2"/>
        <v>1.02</v>
      </c>
      <c r="O58" s="88">
        <f t="shared" si="3"/>
        <v>2564.6799999999998</v>
      </c>
      <c r="P58" s="278">
        <f t="shared" si="4"/>
        <v>2615.9735999999998</v>
      </c>
    </row>
    <row r="59" spans="1:16" s="109" customFormat="1" ht="24" x14ac:dyDescent="0.2">
      <c r="A59" s="97"/>
      <c r="B59" s="116"/>
      <c r="C59" s="117" t="s">
        <v>186</v>
      </c>
      <c r="D59" s="117" t="s">
        <v>69</v>
      </c>
      <c r="E59" s="118" t="s">
        <v>215</v>
      </c>
      <c r="F59" s="119" t="s">
        <v>216</v>
      </c>
      <c r="G59" s="120" t="s">
        <v>138</v>
      </c>
      <c r="H59" s="121">
        <v>1</v>
      </c>
      <c r="I59" s="122">
        <v>2016.23</v>
      </c>
      <c r="J59" s="122">
        <v>2016.23</v>
      </c>
      <c r="K59" s="85">
        <v>0</v>
      </c>
      <c r="L59" s="86">
        <f t="shared" si="0"/>
        <v>2016.23</v>
      </c>
      <c r="M59" s="277">
        <f t="shared" si="1"/>
        <v>0</v>
      </c>
      <c r="N59" s="87">
        <f t="shared" si="2"/>
        <v>1</v>
      </c>
      <c r="O59" s="88">
        <f t="shared" si="3"/>
        <v>2016.23</v>
      </c>
      <c r="P59" s="278">
        <f t="shared" si="4"/>
        <v>2016.23</v>
      </c>
    </row>
    <row r="60" spans="1:16" s="109" customFormat="1" ht="24" x14ac:dyDescent="0.2">
      <c r="A60" s="97"/>
      <c r="B60" s="116"/>
      <c r="C60" s="123" t="s">
        <v>189</v>
      </c>
      <c r="D60" s="123" t="s">
        <v>127</v>
      </c>
      <c r="E60" s="124" t="s">
        <v>221</v>
      </c>
      <c r="F60" s="125" t="s">
        <v>222</v>
      </c>
      <c r="G60" s="126" t="s">
        <v>138</v>
      </c>
      <c r="H60" s="127">
        <v>1</v>
      </c>
      <c r="I60" s="128">
        <v>14898.16</v>
      </c>
      <c r="J60" s="128">
        <v>14898.16</v>
      </c>
      <c r="K60" s="85">
        <v>0</v>
      </c>
      <c r="L60" s="86">
        <f t="shared" si="0"/>
        <v>14898.16</v>
      </c>
      <c r="M60" s="277">
        <f t="shared" si="1"/>
        <v>0</v>
      </c>
      <c r="N60" s="87">
        <f t="shared" si="2"/>
        <v>1</v>
      </c>
      <c r="O60" s="88">
        <f t="shared" si="3"/>
        <v>14898.16</v>
      </c>
      <c r="P60" s="278">
        <f t="shared" si="4"/>
        <v>14898.16</v>
      </c>
    </row>
    <row r="61" spans="1:16" s="109" customFormat="1" ht="24" x14ac:dyDescent="0.2">
      <c r="A61" s="97"/>
      <c r="B61" s="116"/>
      <c r="C61" s="123" t="s">
        <v>192</v>
      </c>
      <c r="D61" s="123" t="s">
        <v>127</v>
      </c>
      <c r="E61" s="124" t="s">
        <v>224</v>
      </c>
      <c r="F61" s="125" t="s">
        <v>225</v>
      </c>
      <c r="G61" s="126" t="s">
        <v>138</v>
      </c>
      <c r="H61" s="127">
        <v>1</v>
      </c>
      <c r="I61" s="128">
        <v>1530.92</v>
      </c>
      <c r="J61" s="128">
        <v>1530.92</v>
      </c>
      <c r="K61" s="85">
        <v>0</v>
      </c>
      <c r="L61" s="86">
        <f t="shared" si="0"/>
        <v>1530.92</v>
      </c>
      <c r="M61" s="277">
        <f t="shared" si="1"/>
        <v>0</v>
      </c>
      <c r="N61" s="87">
        <f t="shared" si="2"/>
        <v>1</v>
      </c>
      <c r="O61" s="88">
        <f t="shared" si="3"/>
        <v>1530.92</v>
      </c>
      <c r="P61" s="278">
        <f t="shared" si="4"/>
        <v>1530.92</v>
      </c>
    </row>
    <row r="62" spans="1:16" s="109" customFormat="1" ht="24" x14ac:dyDescent="0.2">
      <c r="A62" s="97"/>
      <c r="B62" s="116"/>
      <c r="C62" s="123" t="s">
        <v>195</v>
      </c>
      <c r="D62" s="123" t="s">
        <v>127</v>
      </c>
      <c r="E62" s="124" t="s">
        <v>227</v>
      </c>
      <c r="F62" s="125" t="s">
        <v>228</v>
      </c>
      <c r="G62" s="126" t="s">
        <v>138</v>
      </c>
      <c r="H62" s="127">
        <v>1</v>
      </c>
      <c r="I62" s="128">
        <v>775.98</v>
      </c>
      <c r="J62" s="128">
        <v>775.98</v>
      </c>
      <c r="K62" s="85">
        <v>0</v>
      </c>
      <c r="L62" s="86">
        <f t="shared" si="0"/>
        <v>775.98</v>
      </c>
      <c r="M62" s="277">
        <f t="shared" si="1"/>
        <v>0</v>
      </c>
      <c r="N62" s="87">
        <f t="shared" si="2"/>
        <v>1</v>
      </c>
      <c r="O62" s="88">
        <f t="shared" si="3"/>
        <v>775.98</v>
      </c>
      <c r="P62" s="278">
        <f t="shared" si="4"/>
        <v>775.98</v>
      </c>
    </row>
    <row r="63" spans="1:16" s="109" customFormat="1" ht="24" x14ac:dyDescent="0.2">
      <c r="A63" s="97"/>
      <c r="B63" s="116"/>
      <c r="C63" s="123" t="s">
        <v>198</v>
      </c>
      <c r="D63" s="123" t="s">
        <v>127</v>
      </c>
      <c r="E63" s="124" t="s">
        <v>236</v>
      </c>
      <c r="F63" s="125" t="s">
        <v>237</v>
      </c>
      <c r="G63" s="126" t="s">
        <v>138</v>
      </c>
      <c r="H63" s="127">
        <v>2</v>
      </c>
      <c r="I63" s="128">
        <v>211.75</v>
      </c>
      <c r="J63" s="128">
        <v>423.5</v>
      </c>
      <c r="K63" s="85">
        <v>0</v>
      </c>
      <c r="L63" s="86">
        <f t="shared" si="0"/>
        <v>211.75</v>
      </c>
      <c r="M63" s="277">
        <f t="shared" si="1"/>
        <v>0</v>
      </c>
      <c r="N63" s="87">
        <f t="shared" si="2"/>
        <v>2</v>
      </c>
      <c r="O63" s="88">
        <f t="shared" si="3"/>
        <v>211.75</v>
      </c>
      <c r="P63" s="278">
        <f t="shared" si="4"/>
        <v>423.5</v>
      </c>
    </row>
    <row r="64" spans="1:16" s="109" customFormat="1" ht="36" x14ac:dyDescent="0.2">
      <c r="A64" s="97"/>
      <c r="B64" s="116"/>
      <c r="C64" s="117" t="s">
        <v>201</v>
      </c>
      <c r="D64" s="117" t="s">
        <v>69</v>
      </c>
      <c r="E64" s="118" t="s">
        <v>239</v>
      </c>
      <c r="F64" s="119" t="s">
        <v>240</v>
      </c>
      <c r="G64" s="120" t="s">
        <v>138</v>
      </c>
      <c r="H64" s="121">
        <v>1</v>
      </c>
      <c r="I64" s="122">
        <v>5935.59</v>
      </c>
      <c r="J64" s="122">
        <v>5935.59</v>
      </c>
      <c r="K64" s="85">
        <v>0</v>
      </c>
      <c r="L64" s="86">
        <f t="shared" si="0"/>
        <v>5935.59</v>
      </c>
      <c r="M64" s="277">
        <f t="shared" si="1"/>
        <v>0</v>
      </c>
      <c r="N64" s="87">
        <f t="shared" si="2"/>
        <v>1</v>
      </c>
      <c r="O64" s="88">
        <f t="shared" si="3"/>
        <v>5935.59</v>
      </c>
      <c r="P64" s="278">
        <f t="shared" si="4"/>
        <v>5935.59</v>
      </c>
    </row>
    <row r="65" spans="1:17" s="109" customFormat="1" ht="24" x14ac:dyDescent="0.2">
      <c r="A65" s="97"/>
      <c r="B65" s="116"/>
      <c r="C65" s="117" t="s">
        <v>204</v>
      </c>
      <c r="D65" s="117" t="s">
        <v>69</v>
      </c>
      <c r="E65" s="118" t="s">
        <v>242</v>
      </c>
      <c r="F65" s="119" t="s">
        <v>243</v>
      </c>
      <c r="G65" s="120" t="s">
        <v>138</v>
      </c>
      <c r="H65" s="121">
        <v>1</v>
      </c>
      <c r="I65" s="122">
        <v>485.32</v>
      </c>
      <c r="J65" s="122">
        <v>485.32</v>
      </c>
      <c r="K65" s="85">
        <v>0</v>
      </c>
      <c r="L65" s="86">
        <f t="shared" si="0"/>
        <v>485.32</v>
      </c>
      <c r="M65" s="277">
        <f t="shared" si="1"/>
        <v>0</v>
      </c>
      <c r="N65" s="87">
        <f t="shared" si="2"/>
        <v>1</v>
      </c>
      <c r="O65" s="88">
        <f t="shared" si="3"/>
        <v>485.32</v>
      </c>
      <c r="P65" s="278">
        <f t="shared" si="4"/>
        <v>485.32</v>
      </c>
    </row>
    <row r="66" spans="1:17" s="109" customFormat="1" ht="24" x14ac:dyDescent="0.2">
      <c r="A66" s="97"/>
      <c r="B66" s="116"/>
      <c r="C66" s="123" t="s">
        <v>207</v>
      </c>
      <c r="D66" s="123" t="s">
        <v>127</v>
      </c>
      <c r="E66" s="124" t="s">
        <v>248</v>
      </c>
      <c r="F66" s="125" t="s">
        <v>249</v>
      </c>
      <c r="G66" s="126" t="s">
        <v>138</v>
      </c>
      <c r="H66" s="127">
        <v>1</v>
      </c>
      <c r="I66" s="128">
        <v>6510.34</v>
      </c>
      <c r="J66" s="128">
        <v>6510.34</v>
      </c>
      <c r="K66" s="85">
        <v>0</v>
      </c>
      <c r="L66" s="86">
        <f t="shared" si="0"/>
        <v>6510.34</v>
      </c>
      <c r="M66" s="277">
        <f t="shared" si="1"/>
        <v>0</v>
      </c>
      <c r="N66" s="87">
        <f t="shared" si="2"/>
        <v>1</v>
      </c>
      <c r="O66" s="88">
        <f t="shared" si="3"/>
        <v>6510.34</v>
      </c>
      <c r="P66" s="278">
        <f t="shared" si="4"/>
        <v>6510.34</v>
      </c>
    </row>
    <row r="67" spans="1:17" s="109" customFormat="1" ht="24" x14ac:dyDescent="0.2">
      <c r="A67" s="97"/>
      <c r="B67" s="116"/>
      <c r="C67" s="117" t="s">
        <v>210</v>
      </c>
      <c r="D67" s="117" t="s">
        <v>69</v>
      </c>
      <c r="E67" s="118" t="s">
        <v>254</v>
      </c>
      <c r="F67" s="119" t="s">
        <v>255</v>
      </c>
      <c r="G67" s="120" t="s">
        <v>62</v>
      </c>
      <c r="H67" s="121">
        <v>2.41</v>
      </c>
      <c r="I67" s="122">
        <v>3059.28</v>
      </c>
      <c r="J67" s="122">
        <v>7372.86</v>
      </c>
      <c r="K67" s="85">
        <f t="shared" ref="K67:K68" si="7">ROUND(14.2/13.95*H67-H67,2)</f>
        <v>0.04</v>
      </c>
      <c r="L67" s="86">
        <f t="shared" si="0"/>
        <v>3059.28</v>
      </c>
      <c r="M67" s="277">
        <f t="shared" si="1"/>
        <v>122.37120000000002</v>
      </c>
      <c r="N67" s="87">
        <f t="shared" si="2"/>
        <v>2.4500000000000002</v>
      </c>
      <c r="O67" s="88">
        <f t="shared" si="3"/>
        <v>3059.28</v>
      </c>
      <c r="P67" s="278">
        <f t="shared" si="4"/>
        <v>7495.2360000000008</v>
      </c>
    </row>
    <row r="68" spans="1:17" s="109" customFormat="1" ht="24" x14ac:dyDescent="0.2">
      <c r="A68" s="97"/>
      <c r="B68" s="116"/>
      <c r="C68" s="117" t="s">
        <v>214</v>
      </c>
      <c r="D68" s="117" t="s">
        <v>69</v>
      </c>
      <c r="E68" s="118" t="s">
        <v>266</v>
      </c>
      <c r="F68" s="119" t="s">
        <v>267</v>
      </c>
      <c r="G68" s="120" t="s">
        <v>61</v>
      </c>
      <c r="H68" s="121">
        <v>13.95</v>
      </c>
      <c r="I68" s="122">
        <v>9.2100000000000009</v>
      </c>
      <c r="J68" s="122">
        <v>128.47999999999999</v>
      </c>
      <c r="K68" s="85">
        <f t="shared" si="7"/>
        <v>0.25</v>
      </c>
      <c r="L68" s="86">
        <f t="shared" si="0"/>
        <v>9.2100000000000009</v>
      </c>
      <c r="M68" s="277">
        <f t="shared" si="1"/>
        <v>2.3025000000000002</v>
      </c>
      <c r="N68" s="87">
        <f t="shared" si="2"/>
        <v>14.2</v>
      </c>
      <c r="O68" s="88">
        <f t="shared" si="3"/>
        <v>9.2100000000000009</v>
      </c>
      <c r="P68" s="278">
        <f t="shared" si="4"/>
        <v>130.78200000000001</v>
      </c>
    </row>
    <row r="69" spans="1:17" s="110" customFormat="1" ht="12.75" x14ac:dyDescent="0.2">
      <c r="C69" s="224"/>
      <c r="D69" s="225" t="s">
        <v>3</v>
      </c>
      <c r="E69" s="226" t="s">
        <v>93</v>
      </c>
      <c r="F69" s="226" t="s">
        <v>268</v>
      </c>
      <c r="G69" s="224"/>
      <c r="H69" s="224"/>
      <c r="I69" s="224"/>
      <c r="J69" s="227">
        <v>6291.5300000000007</v>
      </c>
      <c r="K69" s="281"/>
      <c r="L69" s="282"/>
      <c r="M69" s="291">
        <f>SUM(M70:M72)</f>
        <v>0</v>
      </c>
      <c r="N69" s="290"/>
      <c r="O69" s="283"/>
      <c r="P69" s="291">
        <f>SUM(P70:P72)</f>
        <v>6291.5239999999994</v>
      </c>
    </row>
    <row r="70" spans="1:17" s="109" customFormat="1" ht="48" x14ac:dyDescent="0.2">
      <c r="A70" s="97"/>
      <c r="B70" s="116"/>
      <c r="C70" s="117" t="s">
        <v>217</v>
      </c>
      <c r="D70" s="117" t="s">
        <v>69</v>
      </c>
      <c r="E70" s="118" t="s">
        <v>270</v>
      </c>
      <c r="F70" s="119" t="s">
        <v>271</v>
      </c>
      <c r="G70" s="120" t="s">
        <v>61</v>
      </c>
      <c r="H70" s="121">
        <v>21.2</v>
      </c>
      <c r="I70" s="122">
        <v>87.65</v>
      </c>
      <c r="J70" s="122">
        <v>1858.18</v>
      </c>
      <c r="K70" s="85">
        <v>0</v>
      </c>
      <c r="L70" s="86">
        <f t="shared" si="0"/>
        <v>87.65</v>
      </c>
      <c r="M70" s="277">
        <f t="shared" si="1"/>
        <v>0</v>
      </c>
      <c r="N70" s="87">
        <f t="shared" si="2"/>
        <v>21.2</v>
      </c>
      <c r="O70" s="88">
        <f t="shared" si="3"/>
        <v>87.65</v>
      </c>
      <c r="P70" s="278">
        <f t="shared" si="4"/>
        <v>1858.18</v>
      </c>
    </row>
    <row r="71" spans="1:17" s="109" customFormat="1" ht="36" x14ac:dyDescent="0.2">
      <c r="A71" s="97"/>
      <c r="B71" s="116"/>
      <c r="C71" s="117" t="s">
        <v>220</v>
      </c>
      <c r="D71" s="117" t="s">
        <v>69</v>
      </c>
      <c r="E71" s="118" t="s">
        <v>273</v>
      </c>
      <c r="F71" s="119" t="s">
        <v>274</v>
      </c>
      <c r="G71" s="120" t="s">
        <v>61</v>
      </c>
      <c r="H71" s="121">
        <v>42.4</v>
      </c>
      <c r="I71" s="122">
        <v>32.22</v>
      </c>
      <c r="J71" s="122">
        <v>1366.13</v>
      </c>
      <c r="K71" s="85">
        <v>0</v>
      </c>
      <c r="L71" s="86">
        <f t="shared" si="0"/>
        <v>32.22</v>
      </c>
      <c r="M71" s="277">
        <f t="shared" si="1"/>
        <v>0</v>
      </c>
      <c r="N71" s="87">
        <f t="shared" si="2"/>
        <v>42.4</v>
      </c>
      <c r="O71" s="88">
        <f t="shared" si="3"/>
        <v>32.22</v>
      </c>
      <c r="P71" s="278">
        <f t="shared" si="4"/>
        <v>1366.1279999999999</v>
      </c>
    </row>
    <row r="72" spans="1:17" s="109" customFormat="1" ht="24" x14ac:dyDescent="0.2">
      <c r="A72" s="97"/>
      <c r="B72" s="116"/>
      <c r="C72" s="117" t="s">
        <v>223</v>
      </c>
      <c r="D72" s="117" t="s">
        <v>69</v>
      </c>
      <c r="E72" s="118" t="s">
        <v>276</v>
      </c>
      <c r="F72" s="119" t="s">
        <v>277</v>
      </c>
      <c r="G72" s="120" t="s">
        <v>61</v>
      </c>
      <c r="H72" s="121">
        <v>42.4</v>
      </c>
      <c r="I72" s="122">
        <v>72.34</v>
      </c>
      <c r="J72" s="122">
        <v>3067.22</v>
      </c>
      <c r="K72" s="85">
        <v>0</v>
      </c>
      <c r="L72" s="86">
        <f t="shared" si="0"/>
        <v>72.34</v>
      </c>
      <c r="M72" s="277">
        <f t="shared" si="1"/>
        <v>0</v>
      </c>
      <c r="N72" s="87">
        <f t="shared" si="2"/>
        <v>42.4</v>
      </c>
      <c r="O72" s="88">
        <f t="shared" si="3"/>
        <v>72.34</v>
      </c>
      <c r="P72" s="278">
        <f t="shared" si="4"/>
        <v>3067.2159999999999</v>
      </c>
    </row>
    <row r="73" spans="1:17" s="110" customFormat="1" ht="12.75" x14ac:dyDescent="0.2">
      <c r="C73" s="224"/>
      <c r="D73" s="225" t="s">
        <v>3</v>
      </c>
      <c r="E73" s="226" t="s">
        <v>281</v>
      </c>
      <c r="F73" s="226" t="s">
        <v>282</v>
      </c>
      <c r="G73" s="224"/>
      <c r="H73" s="224"/>
      <c r="I73" s="224"/>
      <c r="J73" s="227">
        <v>3836.98</v>
      </c>
      <c r="K73" s="281"/>
      <c r="L73" s="282"/>
      <c r="M73" s="291">
        <f>SUM(M74:M76)</f>
        <v>51.840299999999999</v>
      </c>
      <c r="N73" s="290"/>
      <c r="O73" s="283"/>
      <c r="P73" s="291">
        <f>SUM(P74:P76)</f>
        <v>3888.8188500000001</v>
      </c>
    </row>
    <row r="74" spans="1:17" s="109" customFormat="1" ht="36" x14ac:dyDescent="0.2">
      <c r="A74" s="97"/>
      <c r="B74" s="116"/>
      <c r="C74" s="117" t="s">
        <v>226</v>
      </c>
      <c r="D74" s="117" t="s">
        <v>69</v>
      </c>
      <c r="E74" s="118" t="s">
        <v>284</v>
      </c>
      <c r="F74" s="119" t="s">
        <v>285</v>
      </c>
      <c r="G74" s="120" t="s">
        <v>120</v>
      </c>
      <c r="H74" s="121">
        <v>11.961</v>
      </c>
      <c r="I74" s="122">
        <v>136.38</v>
      </c>
      <c r="J74" s="122">
        <v>1631.24</v>
      </c>
      <c r="K74" s="85">
        <f t="shared" ref="K74" si="8">ROUND(14.2/13.95*H74-H74,2)</f>
        <v>0.21</v>
      </c>
      <c r="L74" s="86">
        <f t="shared" si="0"/>
        <v>136.38</v>
      </c>
      <c r="M74" s="277">
        <f t="shared" si="1"/>
        <v>28.639799999999997</v>
      </c>
      <c r="N74" s="87">
        <f t="shared" si="2"/>
        <v>12.171000000000001</v>
      </c>
      <c r="O74" s="88">
        <f t="shared" si="3"/>
        <v>136.38</v>
      </c>
      <c r="P74" s="278">
        <f t="shared" si="4"/>
        <v>1659.8809800000001</v>
      </c>
    </row>
    <row r="75" spans="1:17" s="109" customFormat="1" ht="48" x14ac:dyDescent="0.2">
      <c r="A75" s="97"/>
      <c r="B75" s="116"/>
      <c r="C75" s="117" t="s">
        <v>229</v>
      </c>
      <c r="D75" s="117" t="s">
        <v>69</v>
      </c>
      <c r="E75" s="118" t="s">
        <v>287</v>
      </c>
      <c r="F75" s="119" t="s">
        <v>288</v>
      </c>
      <c r="G75" s="120" t="s">
        <v>120</v>
      </c>
      <c r="H75" s="121">
        <v>3.45</v>
      </c>
      <c r="I75" s="122">
        <v>257.77999999999997</v>
      </c>
      <c r="J75" s="122">
        <v>889.34</v>
      </c>
      <c r="K75" s="85">
        <v>0</v>
      </c>
      <c r="L75" s="86">
        <f t="shared" si="0"/>
        <v>257.77999999999997</v>
      </c>
      <c r="M75" s="277">
        <f t="shared" si="1"/>
        <v>0</v>
      </c>
      <c r="N75" s="87">
        <f t="shared" si="2"/>
        <v>3.45</v>
      </c>
      <c r="O75" s="88">
        <f t="shared" si="3"/>
        <v>257.77999999999997</v>
      </c>
      <c r="P75" s="278">
        <f t="shared" si="4"/>
        <v>889.34100000000001</v>
      </c>
    </row>
    <row r="76" spans="1:17" s="109" customFormat="1" ht="36" x14ac:dyDescent="0.2">
      <c r="A76" s="97"/>
      <c r="B76" s="116"/>
      <c r="C76" s="117" t="s">
        <v>232</v>
      </c>
      <c r="D76" s="117" t="s">
        <v>69</v>
      </c>
      <c r="E76" s="118" t="s">
        <v>290</v>
      </c>
      <c r="F76" s="119" t="s">
        <v>119</v>
      </c>
      <c r="G76" s="120" t="s">
        <v>120</v>
      </c>
      <c r="H76" s="121">
        <v>8.5109999999999992</v>
      </c>
      <c r="I76" s="122">
        <v>154.66999999999999</v>
      </c>
      <c r="J76" s="122">
        <v>1316.4</v>
      </c>
      <c r="K76" s="85">
        <f t="shared" ref="K76" si="9">ROUND(14.2/13.95*H76-H76,2)</f>
        <v>0.15</v>
      </c>
      <c r="L76" s="86">
        <f t="shared" si="0"/>
        <v>154.66999999999999</v>
      </c>
      <c r="M76" s="277">
        <f t="shared" si="1"/>
        <v>23.200499999999998</v>
      </c>
      <c r="N76" s="87">
        <f t="shared" si="2"/>
        <v>8.6609999999999996</v>
      </c>
      <c r="O76" s="88">
        <f t="shared" si="3"/>
        <v>154.66999999999999</v>
      </c>
      <c r="P76" s="278">
        <f t="shared" si="4"/>
        <v>1339.5968699999999</v>
      </c>
      <c r="Q76" s="148" t="s">
        <v>1137</v>
      </c>
    </row>
    <row r="77" spans="1:17" s="110" customFormat="1" ht="12.75" x14ac:dyDescent="0.2">
      <c r="C77" s="224"/>
      <c r="D77" s="225" t="s">
        <v>3</v>
      </c>
      <c r="E77" s="226" t="s">
        <v>291</v>
      </c>
      <c r="F77" s="226" t="s">
        <v>292</v>
      </c>
      <c r="G77" s="224"/>
      <c r="H77" s="224"/>
      <c r="I77" s="224"/>
      <c r="J77" s="227">
        <v>742.59</v>
      </c>
      <c r="K77" s="281"/>
      <c r="L77" s="282"/>
      <c r="M77" s="291">
        <f>M78</f>
        <v>13.730399999999999</v>
      </c>
      <c r="N77" s="290"/>
      <c r="O77" s="283"/>
      <c r="P77" s="291">
        <f>P78</f>
        <v>756.31620000000009</v>
      </c>
    </row>
    <row r="78" spans="1:17" s="109" customFormat="1" ht="36" x14ac:dyDescent="0.2">
      <c r="A78" s="97"/>
      <c r="B78" s="116"/>
      <c r="C78" s="117" t="s">
        <v>235</v>
      </c>
      <c r="D78" s="117" t="s">
        <v>69</v>
      </c>
      <c r="E78" s="118" t="s">
        <v>294</v>
      </c>
      <c r="F78" s="119" t="s">
        <v>295</v>
      </c>
      <c r="G78" s="120" t="s">
        <v>120</v>
      </c>
      <c r="H78" s="121">
        <v>6.49</v>
      </c>
      <c r="I78" s="122">
        <v>114.42</v>
      </c>
      <c r="J78" s="122">
        <v>742.59</v>
      </c>
      <c r="K78" s="85">
        <f t="shared" ref="K78" si="10">ROUND(14.2/13.95*H78-H78,2)</f>
        <v>0.12</v>
      </c>
      <c r="L78" s="86">
        <f t="shared" si="0"/>
        <v>114.42</v>
      </c>
      <c r="M78" s="277">
        <f t="shared" si="1"/>
        <v>13.730399999999999</v>
      </c>
      <c r="N78" s="87">
        <f t="shared" si="2"/>
        <v>6.61</v>
      </c>
      <c r="O78" s="88">
        <f t="shared" si="3"/>
        <v>114.42</v>
      </c>
      <c r="P78" s="278">
        <f t="shared" si="4"/>
        <v>756.31620000000009</v>
      </c>
    </row>
    <row r="79" spans="1:17" s="109" customFormat="1" x14ac:dyDescent="0.2">
      <c r="A79" s="97"/>
      <c r="B79" s="97"/>
      <c r="C79" s="97"/>
      <c r="D79" s="97"/>
      <c r="E79" s="97"/>
      <c r="F79" s="97"/>
      <c r="G79" s="97"/>
      <c r="H79" s="97"/>
      <c r="I79" s="97"/>
      <c r="J79" s="97"/>
    </row>
    <row r="80" spans="1:17" ht="18" customHeight="1" x14ac:dyDescent="0.2">
      <c r="D80" s="89"/>
      <c r="E80" s="141" t="str">
        <f>CONCATENATE("CELKEM ",C$12)</f>
        <v>CELKEM 18 - SO 01.L - Stoka B.4</v>
      </c>
      <c r="F80" s="90"/>
      <c r="G80" s="90"/>
      <c r="H80" s="91"/>
      <c r="I80" s="90"/>
      <c r="J80" s="92">
        <v>159187.42000000001</v>
      </c>
      <c r="K80" s="94"/>
      <c r="L80" s="92"/>
      <c r="M80" s="147">
        <f>M77+M73+M69+M55+M49+M45+M43+M14</f>
        <v>1747.5798</v>
      </c>
      <c r="N80" s="147"/>
      <c r="O80" s="147"/>
      <c r="P80" s="147">
        <f t="shared" ref="P80" si="11">P77+P73+P69+P55+P49+P45+P43+P14</f>
        <v>160935.00900000002</v>
      </c>
    </row>
    <row r="81" spans="5:11" x14ac:dyDescent="0.2">
      <c r="I81" s="95"/>
    </row>
    <row r="82" spans="5:11" ht="14.25" x14ac:dyDescent="0.2">
      <c r="E82" s="58" t="s">
        <v>994</v>
      </c>
      <c r="F82" s="58"/>
      <c r="H82" s="96"/>
      <c r="J82" s="161"/>
      <c r="K82" s="58" t="s">
        <v>995</v>
      </c>
    </row>
  </sheetData>
  <protectedRanges>
    <protectedRange password="CCAA" sqref="K8" name="Oblast1_1_1_1_1_1"/>
    <protectedRange password="CCAA" sqref="D9:H10" name="Oblast1_2_1_1_1_1"/>
  </protectedRanges>
  <autoFilter ref="C10:P78" xr:uid="{A77E6641-5EC5-4857-9FE1-7206212B9AF4}"/>
  <mergeCells count="2">
    <mergeCell ref="K9:M9"/>
    <mergeCell ref="N9:P9"/>
  </mergeCells>
  <conditionalFormatting sqref="D3:E7 H3:J7 K8:GF8 Q9:GF10 D1:J2 K1:GE7 K15:L78">
    <cfRule type="cellIs" dxfId="191" priority="87" operator="lessThan">
      <formula>0</formula>
    </cfRule>
  </conditionalFormatting>
  <conditionalFormatting sqref="G4">
    <cfRule type="cellIs" dxfId="190" priority="86" operator="lessThan">
      <formula>0</formula>
    </cfRule>
  </conditionalFormatting>
  <conditionalFormatting sqref="G3">
    <cfRule type="cellIs" dxfId="189" priority="85" operator="lessThan">
      <formula>0</formula>
    </cfRule>
  </conditionalFormatting>
  <conditionalFormatting sqref="D8:E8 H8:J8">
    <cfRule type="cellIs" dxfId="188" priority="84" operator="lessThan">
      <formula>0</formula>
    </cfRule>
  </conditionalFormatting>
  <conditionalFormatting sqref="N15:O78">
    <cfRule type="cellIs" dxfId="187" priority="35" operator="lessThan">
      <formula>0</formula>
    </cfRule>
  </conditionalFormatting>
  <conditionalFormatting sqref="N15:O78">
    <cfRule type="cellIs" dxfId="186" priority="34" operator="lessThan">
      <formula>0</formula>
    </cfRule>
  </conditionalFormatting>
  <conditionalFormatting sqref="K80 Q80:GP80">
    <cfRule type="cellIs" dxfId="185" priority="33" operator="lessThan">
      <formula>0</formula>
    </cfRule>
  </conditionalFormatting>
  <conditionalFormatting sqref="D80:J80">
    <cfRule type="cellIs" dxfId="184" priority="31" operator="lessThan">
      <formula>0</formula>
    </cfRule>
  </conditionalFormatting>
  <conditionalFormatting sqref="L82:HS82 D82 G82:I82">
    <cfRule type="cellIs" dxfId="183" priority="21" operator="lessThan">
      <formula>0</formula>
    </cfRule>
  </conditionalFormatting>
  <conditionalFormatting sqref="G82:I82 L82:M82">
    <cfRule type="cellIs" dxfId="182" priority="20" operator="lessThan">
      <formula>0</formula>
    </cfRule>
  </conditionalFormatting>
  <conditionalFormatting sqref="G82:I82">
    <cfRule type="cellIs" dxfId="181" priority="19" operator="lessThan">
      <formula>0</formula>
    </cfRule>
  </conditionalFormatting>
  <conditionalFormatting sqref="G82:I82">
    <cfRule type="cellIs" dxfId="180" priority="18" operator="lessThan">
      <formula>0</formula>
    </cfRule>
  </conditionalFormatting>
  <conditionalFormatting sqref="M80:P80">
    <cfRule type="cellIs" dxfId="179" priority="8" operator="lessThan">
      <formula>0</formula>
    </cfRule>
  </conditionalFormatting>
  <conditionalFormatting sqref="L80">
    <cfRule type="cellIs" dxfId="178" priority="6" operator="lessThan">
      <formula>0</formula>
    </cfRule>
  </conditionalFormatting>
  <conditionalFormatting sqref="D9:J10">
    <cfRule type="cellIs" dxfId="177" priority="5" operator="lessThan">
      <formula>0</formula>
    </cfRule>
  </conditionalFormatting>
  <conditionalFormatting sqref="N9">
    <cfRule type="cellIs" dxfId="176" priority="4" operator="lessThan">
      <formula>0</formula>
    </cfRule>
  </conditionalFormatting>
  <conditionalFormatting sqref="K10:L10 K9">
    <cfRule type="cellIs" dxfId="175" priority="3" operator="lessThan">
      <formula>0</formula>
    </cfRule>
  </conditionalFormatting>
  <conditionalFormatting sqref="M10:N10">
    <cfRule type="cellIs" dxfId="174" priority="2" operator="lessThan">
      <formula>0</formula>
    </cfRule>
  </conditionalFormatting>
  <conditionalFormatting sqref="O10:P10">
    <cfRule type="cellIs" dxfId="173" priority="1" operator="lessThan">
      <formula>0</formula>
    </cfRule>
  </conditionalFormatting>
  <pageMargins left="0.39370078740157483" right="0.39370078740157483" top="0.39370078740157483" bottom="0.39370078740157483" header="0" footer="0"/>
  <pageSetup paperSize="9" scale="51" fitToHeight="0" orientation="portrait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Z100"/>
  <sheetViews>
    <sheetView showGridLines="0" view="pageBreakPreview" topLeftCell="A22" zoomScale="60" zoomScaleNormal="90" workbookViewId="0">
      <selection activeCell="K15" sqref="K15:K96"/>
    </sheetView>
  </sheetViews>
  <sheetFormatPr defaultColWidth="9.33203125" defaultRowHeight="11.25" x14ac:dyDescent="0.2"/>
  <cols>
    <col min="1" max="1" width="8.33203125" style="60" customWidth="1"/>
    <col min="2" max="2" width="1.6640625" style="60" customWidth="1"/>
    <col min="3" max="3" width="4.1640625" style="60" customWidth="1"/>
    <col min="4" max="4" width="4.33203125" style="60" customWidth="1"/>
    <col min="5" max="5" width="17.1640625" style="60" customWidth="1"/>
    <col min="6" max="6" width="50.83203125" style="60" customWidth="1"/>
    <col min="7" max="7" width="7" style="60" customWidth="1"/>
    <col min="8" max="8" width="11.5" style="60" customWidth="1"/>
    <col min="9" max="10" width="20.1640625" style="60" customWidth="1"/>
    <col min="11" max="11" width="16.33203125" style="60" customWidth="1"/>
    <col min="12" max="12" width="13.33203125" style="60" bestFit="1" customWidth="1"/>
    <col min="13" max="13" width="16" style="60" bestFit="1" customWidth="1"/>
    <col min="14" max="14" width="13.6640625" style="60" customWidth="1"/>
    <col min="15" max="15" width="12.1640625" style="60" bestFit="1" customWidth="1"/>
    <col min="16" max="16" width="26.5" style="60" bestFit="1" customWidth="1"/>
    <col min="17" max="17" width="23.83203125" style="60" hidden="1" customWidth="1"/>
    <col min="18" max="18" width="0" style="60" hidden="1" customWidth="1"/>
    <col min="19" max="19" width="26.5" style="60" hidden="1" customWidth="1"/>
    <col min="20" max="20" width="20.83203125" style="60" hidden="1" customWidth="1"/>
    <col min="21" max="23" width="0" style="60" hidden="1" customWidth="1"/>
    <col min="24" max="24" width="20.83203125" style="60" hidden="1" customWidth="1"/>
    <col min="25" max="26" width="9.33203125" style="60" hidden="1" customWidth="1"/>
    <col min="27" max="16384" width="9.33203125" style="60"/>
  </cols>
  <sheetData>
    <row r="1" spans="1:20" ht="15" x14ac:dyDescent="0.2">
      <c r="F1" s="3"/>
      <c r="G1" s="4"/>
      <c r="H1" s="1"/>
      <c r="J1" s="61"/>
      <c r="K1" s="62"/>
    </row>
    <row r="2" spans="1:20" s="1" customFormat="1" ht="15.75" x14ac:dyDescent="0.25">
      <c r="E2" s="2"/>
      <c r="F2" s="3" t="s">
        <v>979</v>
      </c>
      <c r="G2" s="4" t="str">
        <f>'[1]VRN 01'!G3</f>
        <v>Odkanalizování povodí Jizery - část B</v>
      </c>
      <c r="I2" s="5"/>
      <c r="J2" s="63"/>
      <c r="K2" s="5"/>
      <c r="L2" s="6"/>
      <c r="M2" s="7"/>
      <c r="N2" s="6"/>
      <c r="O2" s="10"/>
      <c r="P2" s="11"/>
    </row>
    <row r="3" spans="1:20" s="1" customFormat="1" ht="15.75" x14ac:dyDescent="0.25">
      <c r="E3" s="2"/>
      <c r="F3" s="3" t="s">
        <v>980</v>
      </c>
      <c r="G3" s="4" t="str">
        <f>+'Rekapitulace stavby'!D2</f>
        <v>ÚHERCE, výstavba kanalizace - UZNATELNÉ NÁKLADY - doměrky</v>
      </c>
      <c r="H3" s="2"/>
      <c r="I3" s="5"/>
      <c r="J3" s="63"/>
      <c r="K3" s="5"/>
      <c r="L3" s="6"/>
      <c r="M3" s="7"/>
      <c r="N3" s="6"/>
      <c r="O3" s="10"/>
      <c r="P3" s="11"/>
    </row>
    <row r="4" spans="1:20" s="2" customFormat="1" ht="15.75" x14ac:dyDescent="0.25">
      <c r="F4" s="12" t="s">
        <v>981</v>
      </c>
      <c r="G4" s="13" t="str">
        <f>'[1]VRN 01'!G5</f>
        <v>VRI/SOD/2020/Ži</v>
      </c>
      <c r="I4" s="5"/>
      <c r="J4" s="65"/>
      <c r="K4" s="5"/>
      <c r="L4" s="14"/>
      <c r="M4" s="15"/>
      <c r="N4" s="14"/>
      <c r="O4" s="18"/>
      <c r="P4" s="19"/>
    </row>
    <row r="5" spans="1:20" s="2" customFormat="1" ht="15.75" x14ac:dyDescent="0.25">
      <c r="F5" s="12" t="s">
        <v>983</v>
      </c>
      <c r="G5" s="13" t="s">
        <v>1001</v>
      </c>
      <c r="I5" s="5"/>
      <c r="J5" s="65"/>
      <c r="K5" s="5"/>
      <c r="L5" s="14"/>
      <c r="M5" s="15"/>
      <c r="N5" s="14"/>
      <c r="O5" s="18"/>
      <c r="P5" s="19"/>
    </row>
    <row r="6" spans="1:20" s="2" customFormat="1" ht="15.75" x14ac:dyDescent="0.25">
      <c r="F6" s="3" t="s">
        <v>984</v>
      </c>
      <c r="G6" s="13" t="str">
        <f>'[1]VRN 01'!G7</f>
        <v>Vododvody a kanalizace Mladá Boleslav, a.s.</v>
      </c>
      <c r="I6" s="5"/>
      <c r="J6" s="65"/>
      <c r="K6" s="5"/>
      <c r="L6" s="14"/>
      <c r="M6" s="15"/>
      <c r="N6" s="14"/>
      <c r="O6" s="18"/>
      <c r="P6" s="19"/>
    </row>
    <row r="7" spans="1:20" s="2" customFormat="1" ht="15.75" x14ac:dyDescent="0.25">
      <c r="F7" s="3" t="s">
        <v>986</v>
      </c>
      <c r="G7" s="20" t="str">
        <f>'[1]VRN 01'!G8</f>
        <v>VCES a.s.</v>
      </c>
      <c r="H7" s="67"/>
      <c r="I7" s="5"/>
      <c r="J7" s="65"/>
      <c r="K7" s="5"/>
      <c r="L7" s="14"/>
      <c r="M7" s="15"/>
      <c r="N7" s="14"/>
      <c r="O7" s="18"/>
      <c r="P7" s="19"/>
    </row>
    <row r="8" spans="1:20" s="68" customFormat="1" ht="12.75" x14ac:dyDescent="0.2">
      <c r="D8" s="69"/>
      <c r="F8" s="3"/>
      <c r="G8" s="20"/>
      <c r="H8" s="67"/>
      <c r="I8" s="326" t="s">
        <v>1263</v>
      </c>
      <c r="J8" s="326"/>
      <c r="K8" s="70"/>
      <c r="L8" s="71"/>
      <c r="M8" s="330"/>
      <c r="N8" s="330"/>
      <c r="O8" s="72"/>
      <c r="P8" s="73"/>
    </row>
    <row r="9" spans="1:20" s="75" customFormat="1" ht="12.75" x14ac:dyDescent="0.2">
      <c r="C9" s="76"/>
      <c r="D9" s="77"/>
      <c r="E9" s="77"/>
      <c r="F9" s="77"/>
      <c r="G9" s="77"/>
      <c r="H9" s="77"/>
      <c r="I9" s="78"/>
      <c r="J9" s="79"/>
      <c r="K9" s="332" t="s">
        <v>1266</v>
      </c>
      <c r="L9" s="332"/>
      <c r="M9" s="332"/>
      <c r="N9" s="333" t="s">
        <v>1267</v>
      </c>
      <c r="O9" s="333"/>
      <c r="P9" s="334"/>
    </row>
    <row r="10" spans="1:20" s="75" customFormat="1" ht="12.75" x14ac:dyDescent="0.2">
      <c r="C10" s="80"/>
      <c r="D10" s="81" t="s">
        <v>997</v>
      </c>
      <c r="E10" s="81" t="s">
        <v>976</v>
      </c>
      <c r="F10" s="81" t="s">
        <v>977</v>
      </c>
      <c r="G10" s="81" t="s">
        <v>64</v>
      </c>
      <c r="H10" s="82" t="s">
        <v>65</v>
      </c>
      <c r="I10" s="83" t="s">
        <v>998</v>
      </c>
      <c r="J10" s="84" t="s">
        <v>978</v>
      </c>
      <c r="K10" s="218" t="s">
        <v>999</v>
      </c>
      <c r="L10" s="219" t="s">
        <v>1260</v>
      </c>
      <c r="M10" s="220" t="s">
        <v>978</v>
      </c>
      <c r="N10" s="221" t="s">
        <v>1264</v>
      </c>
      <c r="O10" s="222" t="s">
        <v>1260</v>
      </c>
      <c r="P10" s="223" t="s">
        <v>978</v>
      </c>
      <c r="Q10" s="157" t="s">
        <v>1059</v>
      </c>
      <c r="S10" s="157" t="s">
        <v>1150</v>
      </c>
    </row>
    <row r="11" spans="1:20" x14ac:dyDescent="0.2">
      <c r="M11" s="189" t="s">
        <v>1000</v>
      </c>
    </row>
    <row r="12" spans="1:20" s="109" customFormat="1" ht="15.75" x14ac:dyDescent="0.25">
      <c r="A12" s="97"/>
      <c r="B12" s="97"/>
      <c r="C12" s="98" t="s">
        <v>63</v>
      </c>
      <c r="D12" s="97"/>
      <c r="E12" s="97"/>
      <c r="F12" s="97"/>
      <c r="G12" s="97"/>
      <c r="H12" s="97"/>
      <c r="I12" s="97"/>
      <c r="J12" s="99">
        <v>1307362.58</v>
      </c>
      <c r="K12" s="100" t="str">
        <f>IF(ISBLANK(I12),"",SUM(#REF!+#REF!+#REF!+#REF!+#REF!+#REF!+#REF!+#REF!+#REF!+#REF!+#REF!,#REF!,#REF!,#REF!,#REF!,#REF!,#REF!,#REF!,#REF!,M12,#REF!,#REF!,#REF!))</f>
        <v/>
      </c>
      <c r="L12" s="101" t="str">
        <f t="shared" ref="L12:L14" si="0">IF(ISBLANK(I12),"",K12*I12)</f>
        <v/>
      </c>
      <c r="M12" s="188" t="s">
        <v>1000</v>
      </c>
      <c r="N12" s="102" t="str">
        <f t="shared" ref="N12:N14" si="1">IF(ISBLANK($H12),"",M12*$I12)</f>
        <v/>
      </c>
      <c r="O12" s="103" t="str">
        <f>IF(ISBLANK(H12),"",SUM(#REF!+#REF!+#REF!+#REF!+#REF!+#REF!+#REF!+#REF!+#REF!+#REF!+#REF!,#REF!,#REF!,#REF!,#REF!,#REF!,#REF!,#REF!,#REF!,M12,#REF!,#REF!))</f>
        <v/>
      </c>
      <c r="P12" s="104" t="str">
        <f>IF(ISBLANK(H12),"",SUM(#REF!+#REF!+#REF!+#REF!+#REF!+#REF!+#REF!+#REF!+#REF!+#REF!+#REF!,#REF!,#REF!,N12,#REF!,#REF!,#REF!,#REF!,#REF!,#REF!,#REF!,#REF!,#REF!))</f>
        <v/>
      </c>
      <c r="Q12" s="329" t="s">
        <v>1101</v>
      </c>
      <c r="S12" s="327" t="s">
        <v>1151</v>
      </c>
    </row>
    <row r="13" spans="1:20" s="110" customFormat="1" ht="15" x14ac:dyDescent="0.2">
      <c r="D13" s="111" t="s">
        <v>3</v>
      </c>
      <c r="E13" s="112" t="s">
        <v>66</v>
      </c>
      <c r="F13" s="112" t="s">
        <v>67</v>
      </c>
      <c r="J13" s="113">
        <v>1307362.58</v>
      </c>
      <c r="K13" s="100"/>
      <c r="L13" s="101" t="str">
        <f t="shared" si="0"/>
        <v/>
      </c>
      <c r="M13" s="188" t="s">
        <v>1000</v>
      </c>
      <c r="N13" s="102" t="str">
        <f t="shared" si="1"/>
        <v/>
      </c>
      <c r="O13" s="103" t="str">
        <f>IF(ISBLANK(H13),"",SUM(#REF!+#REF!+#REF!+#REF!+#REF!+#REF!+#REF!+#REF!+#REF!+#REF!+#REF!,#REF!,#REF!,#REF!,#REF!,#REF!,#REF!,#REF!,#REF!,M13,#REF!,#REF!))</f>
        <v/>
      </c>
      <c r="P13" s="104" t="str">
        <f>IF(ISBLANK(H13),"",SUM(#REF!+#REF!+#REF!+#REF!+#REF!+#REF!+#REF!+#REF!+#REF!+#REF!+#REF!,#REF!,#REF!,N13,#REF!,#REF!,#REF!,#REF!,#REF!,#REF!,#REF!,#REF!,#REF!))</f>
        <v/>
      </c>
      <c r="Q13" s="329"/>
      <c r="S13" s="328"/>
      <c r="T13" s="172" t="s">
        <v>1185</v>
      </c>
    </row>
    <row r="14" spans="1:20" s="110" customFormat="1" ht="12.75" x14ac:dyDescent="0.2">
      <c r="C14" s="232"/>
      <c r="D14" s="233" t="s">
        <v>3</v>
      </c>
      <c r="E14" s="234" t="s">
        <v>7</v>
      </c>
      <c r="F14" s="234" t="s">
        <v>68</v>
      </c>
      <c r="G14" s="232"/>
      <c r="H14" s="232"/>
      <c r="I14" s="232"/>
      <c r="J14" s="235">
        <v>550024.64</v>
      </c>
      <c r="K14" s="236" t="str">
        <f>IF(ISBLANK(I14),"",SUM(#REF!+#REF!+#REF!+#REF!+#REF!+#REF!+#REF!+#REF!+#REF!+#REF!+#REF!,#REF!,#REF!,#REF!,#REF!,#REF!,#REF!,#REF!,#REF!,M14,#REF!,#REF!,#REF!))</f>
        <v/>
      </c>
      <c r="L14" s="237" t="str">
        <f t="shared" si="0"/>
        <v/>
      </c>
      <c r="M14" s="240">
        <f>SUM(M15:M37)</f>
        <v>2898.0699999999997</v>
      </c>
      <c r="N14" s="238" t="str">
        <f t="shared" si="1"/>
        <v/>
      </c>
      <c r="O14" s="239" t="str">
        <f>IF(ISBLANK(H14),"",SUM(#REF!+#REF!+#REF!+#REF!+#REF!+#REF!+#REF!+#REF!+#REF!+#REF!+#REF!,#REF!,#REF!,#REF!,#REF!,#REF!,#REF!,#REF!,#REF!,M14,#REF!,#REF!))</f>
        <v/>
      </c>
      <c r="P14" s="240">
        <f>SUM(P15:P37)</f>
        <v>552922.69999999995</v>
      </c>
      <c r="Q14" s="329"/>
      <c r="S14" s="328"/>
    </row>
    <row r="15" spans="1:20" s="109" customFormat="1" ht="72" x14ac:dyDescent="0.2">
      <c r="A15" s="97"/>
      <c r="B15" s="116"/>
      <c r="C15" s="117" t="s">
        <v>7</v>
      </c>
      <c r="D15" s="117" t="s">
        <v>69</v>
      </c>
      <c r="E15" s="118" t="s">
        <v>70</v>
      </c>
      <c r="F15" s="119" t="s">
        <v>71</v>
      </c>
      <c r="G15" s="120" t="s">
        <v>72</v>
      </c>
      <c r="H15" s="121">
        <v>71.900000000000006</v>
      </c>
      <c r="I15" s="122">
        <v>46.03</v>
      </c>
      <c r="J15" s="122">
        <v>3309.56</v>
      </c>
      <c r="K15" s="206"/>
      <c r="L15" s="210">
        <f>I15</f>
        <v>46.03</v>
      </c>
      <c r="M15" s="207">
        <f>ROUND(K15*L15,2)</f>
        <v>0</v>
      </c>
      <c r="N15" s="211">
        <f>H15+K15</f>
        <v>71.900000000000006</v>
      </c>
      <c r="O15" s="208">
        <f t="shared" ref="O15:O36" si="2">I15</f>
        <v>46.03</v>
      </c>
      <c r="P15" s="209">
        <f t="shared" ref="P15:P36" si="3">ROUND(N15*O15,2)</f>
        <v>3309.56</v>
      </c>
      <c r="Q15" s="109" t="s">
        <v>1124</v>
      </c>
    </row>
    <row r="16" spans="1:20" s="109" customFormat="1" ht="60" x14ac:dyDescent="0.2">
      <c r="A16" s="97"/>
      <c r="B16" s="116"/>
      <c r="C16" s="117" t="s">
        <v>8</v>
      </c>
      <c r="D16" s="117" t="s">
        <v>69</v>
      </c>
      <c r="E16" s="118" t="s">
        <v>74</v>
      </c>
      <c r="F16" s="119" t="s">
        <v>75</v>
      </c>
      <c r="G16" s="120" t="s">
        <v>72</v>
      </c>
      <c r="H16" s="121">
        <v>125.46599999999999</v>
      </c>
      <c r="I16" s="122">
        <v>40.770000000000003</v>
      </c>
      <c r="J16" s="122">
        <v>5115.25</v>
      </c>
      <c r="K16" s="206"/>
      <c r="L16" s="210">
        <f t="shared" ref="L16:L79" si="4">I16</f>
        <v>40.770000000000003</v>
      </c>
      <c r="M16" s="207">
        <f t="shared" ref="M16:M79" si="5">ROUND(K16*L16,2)</f>
        <v>0</v>
      </c>
      <c r="N16" s="211">
        <f>H16+K16</f>
        <v>125.46599999999999</v>
      </c>
      <c r="O16" s="208">
        <f t="shared" si="2"/>
        <v>40.770000000000003</v>
      </c>
      <c r="P16" s="209">
        <f t="shared" si="3"/>
        <v>5115.25</v>
      </c>
    </row>
    <row r="17" spans="1:16" s="109" customFormat="1" ht="60" x14ac:dyDescent="0.2">
      <c r="A17" s="97"/>
      <c r="B17" s="116"/>
      <c r="C17" s="117" t="s">
        <v>76</v>
      </c>
      <c r="D17" s="117" t="s">
        <v>69</v>
      </c>
      <c r="E17" s="118" t="s">
        <v>77</v>
      </c>
      <c r="F17" s="119" t="s">
        <v>78</v>
      </c>
      <c r="G17" s="120" t="s">
        <v>72</v>
      </c>
      <c r="H17" s="121">
        <v>28.687999999999999</v>
      </c>
      <c r="I17" s="122">
        <v>21.04</v>
      </c>
      <c r="J17" s="122">
        <v>603.6</v>
      </c>
      <c r="K17" s="206"/>
      <c r="L17" s="210">
        <f t="shared" si="4"/>
        <v>21.04</v>
      </c>
      <c r="M17" s="207">
        <f t="shared" si="5"/>
        <v>0</v>
      </c>
      <c r="N17" s="211">
        <f>H17+K17</f>
        <v>28.687999999999999</v>
      </c>
      <c r="O17" s="208">
        <f t="shared" si="2"/>
        <v>21.04</v>
      </c>
      <c r="P17" s="209">
        <f t="shared" si="3"/>
        <v>603.6</v>
      </c>
    </row>
    <row r="18" spans="1:16" s="109" customFormat="1" ht="60" x14ac:dyDescent="0.2">
      <c r="A18" s="97"/>
      <c r="B18" s="116"/>
      <c r="C18" s="117" t="s">
        <v>73</v>
      </c>
      <c r="D18" s="117" t="s">
        <v>69</v>
      </c>
      <c r="E18" s="118" t="s">
        <v>79</v>
      </c>
      <c r="F18" s="119" t="s">
        <v>80</v>
      </c>
      <c r="G18" s="120" t="s">
        <v>72</v>
      </c>
      <c r="H18" s="121">
        <v>46.375999999999998</v>
      </c>
      <c r="I18" s="122">
        <v>26.3</v>
      </c>
      <c r="J18" s="122">
        <v>1219.69</v>
      </c>
      <c r="K18" s="206"/>
      <c r="L18" s="210">
        <f t="shared" si="4"/>
        <v>26.3</v>
      </c>
      <c r="M18" s="207">
        <f t="shared" si="5"/>
        <v>0</v>
      </c>
      <c r="N18" s="211">
        <f>H18+K18</f>
        <v>46.375999999999998</v>
      </c>
      <c r="O18" s="208">
        <f t="shared" si="2"/>
        <v>26.3</v>
      </c>
      <c r="P18" s="209">
        <f t="shared" si="3"/>
        <v>1219.69</v>
      </c>
    </row>
    <row r="19" spans="1:16" s="109" customFormat="1" ht="60" x14ac:dyDescent="0.2">
      <c r="A19" s="97"/>
      <c r="B19" s="116"/>
      <c r="C19" s="117" t="s">
        <v>81</v>
      </c>
      <c r="D19" s="117" t="s">
        <v>69</v>
      </c>
      <c r="E19" s="118" t="s">
        <v>82</v>
      </c>
      <c r="F19" s="119" t="s">
        <v>83</v>
      </c>
      <c r="G19" s="120" t="s">
        <v>72</v>
      </c>
      <c r="H19" s="121">
        <v>46.375999999999998</v>
      </c>
      <c r="I19" s="122">
        <v>39.46</v>
      </c>
      <c r="J19" s="122">
        <v>1830</v>
      </c>
      <c r="K19" s="206"/>
      <c r="L19" s="210">
        <f t="shared" si="4"/>
        <v>39.46</v>
      </c>
      <c r="M19" s="207">
        <f t="shared" si="5"/>
        <v>0</v>
      </c>
      <c r="N19" s="211">
        <f>H19+K19</f>
        <v>46.375999999999998</v>
      </c>
      <c r="O19" s="208">
        <f t="shared" si="2"/>
        <v>39.46</v>
      </c>
      <c r="P19" s="209">
        <f t="shared" si="3"/>
        <v>1830</v>
      </c>
    </row>
    <row r="20" spans="1:16" s="109" customFormat="1" ht="48" x14ac:dyDescent="0.2">
      <c r="A20" s="97"/>
      <c r="B20" s="116"/>
      <c r="C20" s="117" t="s">
        <v>84</v>
      </c>
      <c r="D20" s="117" t="s">
        <v>69</v>
      </c>
      <c r="E20" s="118" t="s">
        <v>85</v>
      </c>
      <c r="F20" s="119" t="s">
        <v>86</v>
      </c>
      <c r="G20" s="120" t="s">
        <v>72</v>
      </c>
      <c r="H20" s="121">
        <v>71.671999999999997</v>
      </c>
      <c r="I20" s="122">
        <v>55.24</v>
      </c>
      <c r="J20" s="122">
        <v>3959.16</v>
      </c>
      <c r="K20" s="206"/>
      <c r="L20" s="210">
        <f t="shared" si="4"/>
        <v>55.24</v>
      </c>
      <c r="M20" s="207">
        <f t="shared" si="5"/>
        <v>0</v>
      </c>
      <c r="N20" s="211">
        <f t="shared" ref="N20:N83" si="6">H20+K20</f>
        <v>71.671999999999997</v>
      </c>
      <c r="O20" s="208">
        <f t="shared" si="2"/>
        <v>55.24</v>
      </c>
      <c r="P20" s="209">
        <f t="shared" si="3"/>
        <v>3959.16</v>
      </c>
    </row>
    <row r="21" spans="1:16" s="109" customFormat="1" ht="84" x14ac:dyDescent="0.2">
      <c r="A21" s="97"/>
      <c r="B21" s="116"/>
      <c r="C21" s="117" t="s">
        <v>87</v>
      </c>
      <c r="D21" s="117" t="s">
        <v>69</v>
      </c>
      <c r="E21" s="118" t="s">
        <v>88</v>
      </c>
      <c r="F21" s="119" t="s">
        <v>89</v>
      </c>
      <c r="G21" s="120" t="s">
        <v>61</v>
      </c>
      <c r="H21" s="121">
        <v>1.1000000000000001</v>
      </c>
      <c r="I21" s="122">
        <v>170.98</v>
      </c>
      <c r="J21" s="122">
        <v>188.08</v>
      </c>
      <c r="K21" s="206">
        <v>0.01</v>
      </c>
      <c r="L21" s="210">
        <f t="shared" si="4"/>
        <v>170.98</v>
      </c>
      <c r="M21" s="207">
        <f t="shared" si="5"/>
        <v>1.71</v>
      </c>
      <c r="N21" s="211">
        <f t="shared" si="6"/>
        <v>1.1100000000000001</v>
      </c>
      <c r="O21" s="208">
        <f t="shared" si="2"/>
        <v>170.98</v>
      </c>
      <c r="P21" s="209">
        <f t="shared" si="3"/>
        <v>189.79</v>
      </c>
    </row>
    <row r="22" spans="1:16" s="109" customFormat="1" ht="96" x14ac:dyDescent="0.2">
      <c r="A22" s="97"/>
      <c r="B22" s="116"/>
      <c r="C22" s="117" t="s">
        <v>90</v>
      </c>
      <c r="D22" s="117" t="s">
        <v>69</v>
      </c>
      <c r="E22" s="118" t="s">
        <v>91</v>
      </c>
      <c r="F22" s="119" t="s">
        <v>92</v>
      </c>
      <c r="G22" s="120" t="s">
        <v>61</v>
      </c>
      <c r="H22" s="121">
        <v>1.1000000000000001</v>
      </c>
      <c r="I22" s="122">
        <v>147.30000000000001</v>
      </c>
      <c r="J22" s="122">
        <v>162.03</v>
      </c>
      <c r="K22" s="206">
        <v>0.01</v>
      </c>
      <c r="L22" s="210">
        <f t="shared" si="4"/>
        <v>147.30000000000001</v>
      </c>
      <c r="M22" s="207">
        <f t="shared" si="5"/>
        <v>1.47</v>
      </c>
      <c r="N22" s="211">
        <f t="shared" si="6"/>
        <v>1.1100000000000001</v>
      </c>
      <c r="O22" s="208">
        <f t="shared" si="2"/>
        <v>147.30000000000001</v>
      </c>
      <c r="P22" s="209">
        <f t="shared" si="3"/>
        <v>163.5</v>
      </c>
    </row>
    <row r="23" spans="1:16" s="109" customFormat="1" ht="36" x14ac:dyDescent="0.2">
      <c r="A23" s="97"/>
      <c r="B23" s="116"/>
      <c r="C23" s="117" t="s">
        <v>93</v>
      </c>
      <c r="D23" s="117" t="s">
        <v>69</v>
      </c>
      <c r="E23" s="118" t="s">
        <v>94</v>
      </c>
      <c r="F23" s="119" t="s">
        <v>95</v>
      </c>
      <c r="G23" s="120" t="s">
        <v>62</v>
      </c>
      <c r="H23" s="121">
        <v>8.41</v>
      </c>
      <c r="I23" s="122">
        <v>257.77999999999997</v>
      </c>
      <c r="J23" s="122">
        <v>2167.9299999999998</v>
      </c>
      <c r="K23" s="206">
        <v>0.05</v>
      </c>
      <c r="L23" s="210">
        <f t="shared" si="4"/>
        <v>257.77999999999997</v>
      </c>
      <c r="M23" s="207">
        <f t="shared" si="5"/>
        <v>12.89</v>
      </c>
      <c r="N23" s="211">
        <f t="shared" si="6"/>
        <v>8.4600000000000009</v>
      </c>
      <c r="O23" s="208">
        <f t="shared" si="2"/>
        <v>257.77999999999997</v>
      </c>
      <c r="P23" s="209">
        <f t="shared" si="3"/>
        <v>2180.8200000000002</v>
      </c>
    </row>
    <row r="24" spans="1:16" s="109" customFormat="1" ht="48" x14ac:dyDescent="0.2">
      <c r="A24" s="97"/>
      <c r="B24" s="116"/>
      <c r="C24" s="117" t="s">
        <v>26</v>
      </c>
      <c r="D24" s="117" t="s">
        <v>69</v>
      </c>
      <c r="E24" s="118" t="s">
        <v>96</v>
      </c>
      <c r="F24" s="119" t="s">
        <v>97</v>
      </c>
      <c r="G24" s="120" t="s">
        <v>62</v>
      </c>
      <c r="H24" s="121">
        <v>137.54</v>
      </c>
      <c r="I24" s="122">
        <v>234.11</v>
      </c>
      <c r="J24" s="122">
        <v>32199.49</v>
      </c>
      <c r="K24" s="206">
        <v>0.75</v>
      </c>
      <c r="L24" s="210">
        <f t="shared" si="4"/>
        <v>234.11</v>
      </c>
      <c r="M24" s="207">
        <f t="shared" si="5"/>
        <v>175.58</v>
      </c>
      <c r="N24" s="211">
        <f t="shared" si="6"/>
        <v>138.29</v>
      </c>
      <c r="O24" s="208">
        <f t="shared" si="2"/>
        <v>234.11</v>
      </c>
      <c r="P24" s="209">
        <f t="shared" si="3"/>
        <v>32375.07</v>
      </c>
    </row>
    <row r="25" spans="1:16" s="109" customFormat="1" ht="48" x14ac:dyDescent="0.2">
      <c r="A25" s="97"/>
      <c r="B25" s="116"/>
      <c r="C25" s="117" t="s">
        <v>28</v>
      </c>
      <c r="D25" s="117" t="s">
        <v>69</v>
      </c>
      <c r="E25" s="118" t="s">
        <v>98</v>
      </c>
      <c r="F25" s="119" t="s">
        <v>99</v>
      </c>
      <c r="G25" s="120" t="s">
        <v>62</v>
      </c>
      <c r="H25" s="121">
        <v>191.03</v>
      </c>
      <c r="I25" s="122">
        <v>257.77999999999997</v>
      </c>
      <c r="J25" s="122">
        <v>49243.71</v>
      </c>
      <c r="K25" s="206">
        <v>1.04</v>
      </c>
      <c r="L25" s="210">
        <f t="shared" si="4"/>
        <v>257.77999999999997</v>
      </c>
      <c r="M25" s="207">
        <f t="shared" si="5"/>
        <v>268.08999999999997</v>
      </c>
      <c r="N25" s="211">
        <f t="shared" si="6"/>
        <v>192.07</v>
      </c>
      <c r="O25" s="208">
        <f t="shared" si="2"/>
        <v>257.77999999999997</v>
      </c>
      <c r="P25" s="209">
        <f t="shared" si="3"/>
        <v>49511.8</v>
      </c>
    </row>
    <row r="26" spans="1:16" s="109" customFormat="1" ht="48" x14ac:dyDescent="0.2">
      <c r="A26" s="97"/>
      <c r="B26" s="116"/>
      <c r="C26" s="117" t="s">
        <v>30</v>
      </c>
      <c r="D26" s="117" t="s">
        <v>69</v>
      </c>
      <c r="E26" s="118" t="s">
        <v>100</v>
      </c>
      <c r="F26" s="119" t="s">
        <v>101</v>
      </c>
      <c r="G26" s="120" t="s">
        <v>62</v>
      </c>
      <c r="H26" s="121">
        <v>53.49</v>
      </c>
      <c r="I26" s="122">
        <v>315.64999999999998</v>
      </c>
      <c r="J26" s="122">
        <v>16884.12</v>
      </c>
      <c r="K26" s="206">
        <v>0.28999999999999998</v>
      </c>
      <c r="L26" s="210">
        <f t="shared" si="4"/>
        <v>315.64999999999998</v>
      </c>
      <c r="M26" s="207">
        <f t="shared" si="5"/>
        <v>91.54</v>
      </c>
      <c r="N26" s="211">
        <f t="shared" si="6"/>
        <v>53.78</v>
      </c>
      <c r="O26" s="208">
        <f t="shared" si="2"/>
        <v>315.64999999999998</v>
      </c>
      <c r="P26" s="209">
        <f t="shared" si="3"/>
        <v>16975.66</v>
      </c>
    </row>
    <row r="27" spans="1:16" s="109" customFormat="1" ht="36" x14ac:dyDescent="0.2">
      <c r="A27" s="97"/>
      <c r="B27" s="116"/>
      <c r="C27" s="117" t="s">
        <v>32</v>
      </c>
      <c r="D27" s="117" t="s">
        <v>69</v>
      </c>
      <c r="E27" s="118" t="s">
        <v>102</v>
      </c>
      <c r="F27" s="119" t="s">
        <v>103</v>
      </c>
      <c r="G27" s="120" t="s">
        <v>72</v>
      </c>
      <c r="H27" s="121">
        <v>734.54</v>
      </c>
      <c r="I27" s="122">
        <v>69.709999999999994</v>
      </c>
      <c r="J27" s="122">
        <v>51204.78</v>
      </c>
      <c r="K27" s="206">
        <v>3.98</v>
      </c>
      <c r="L27" s="210">
        <f t="shared" si="4"/>
        <v>69.709999999999994</v>
      </c>
      <c r="M27" s="207">
        <f t="shared" si="5"/>
        <v>277.45</v>
      </c>
      <c r="N27" s="211">
        <f t="shared" si="6"/>
        <v>738.52</v>
      </c>
      <c r="O27" s="208">
        <f t="shared" si="2"/>
        <v>69.709999999999994</v>
      </c>
      <c r="P27" s="209">
        <f t="shared" si="3"/>
        <v>51482.23</v>
      </c>
    </row>
    <row r="28" spans="1:16" s="109" customFormat="1" ht="48" x14ac:dyDescent="0.2">
      <c r="A28" s="97"/>
      <c r="B28" s="116"/>
      <c r="C28" s="117" t="s">
        <v>34</v>
      </c>
      <c r="D28" s="117" t="s">
        <v>69</v>
      </c>
      <c r="E28" s="118" t="s">
        <v>104</v>
      </c>
      <c r="F28" s="119" t="s">
        <v>105</v>
      </c>
      <c r="G28" s="120" t="s">
        <v>72</v>
      </c>
      <c r="H28" s="121">
        <v>734.54</v>
      </c>
      <c r="I28" s="122">
        <v>80.23</v>
      </c>
      <c r="J28" s="122">
        <v>58932.14</v>
      </c>
      <c r="K28" s="206">
        <v>3.98</v>
      </c>
      <c r="L28" s="210">
        <f t="shared" si="4"/>
        <v>80.23</v>
      </c>
      <c r="M28" s="207">
        <f t="shared" si="5"/>
        <v>319.32</v>
      </c>
      <c r="N28" s="211">
        <f t="shared" si="6"/>
        <v>738.52</v>
      </c>
      <c r="O28" s="208">
        <f t="shared" si="2"/>
        <v>80.23</v>
      </c>
      <c r="P28" s="209">
        <f t="shared" si="3"/>
        <v>59251.46</v>
      </c>
    </row>
    <row r="29" spans="1:16" s="109" customFormat="1" ht="60" x14ac:dyDescent="0.2">
      <c r="A29" s="97"/>
      <c r="B29" s="116"/>
      <c r="C29" s="117" t="s">
        <v>1</v>
      </c>
      <c r="D29" s="117" t="s">
        <v>69</v>
      </c>
      <c r="E29" s="118" t="s">
        <v>106</v>
      </c>
      <c r="F29" s="119" t="s">
        <v>107</v>
      </c>
      <c r="G29" s="120" t="s">
        <v>62</v>
      </c>
      <c r="H29" s="121">
        <v>229.23599999999999</v>
      </c>
      <c r="I29" s="122">
        <v>13.15</v>
      </c>
      <c r="J29" s="122">
        <v>3014.45</v>
      </c>
      <c r="K29" s="206">
        <v>1.24</v>
      </c>
      <c r="L29" s="210">
        <f t="shared" si="4"/>
        <v>13.15</v>
      </c>
      <c r="M29" s="207">
        <f t="shared" si="5"/>
        <v>16.309999999999999</v>
      </c>
      <c r="N29" s="211">
        <f t="shared" si="6"/>
        <v>230.476</v>
      </c>
      <c r="O29" s="208">
        <f t="shared" si="2"/>
        <v>13.15</v>
      </c>
      <c r="P29" s="209">
        <f t="shared" si="3"/>
        <v>3030.76</v>
      </c>
    </row>
    <row r="30" spans="1:16" s="109" customFormat="1" ht="48" x14ac:dyDescent="0.2">
      <c r="A30" s="97"/>
      <c r="B30" s="116"/>
      <c r="C30" s="117" t="s">
        <v>37</v>
      </c>
      <c r="D30" s="117" t="s">
        <v>69</v>
      </c>
      <c r="E30" s="118" t="s">
        <v>108</v>
      </c>
      <c r="F30" s="119" t="s">
        <v>109</v>
      </c>
      <c r="G30" s="120" t="s">
        <v>62</v>
      </c>
      <c r="H30" s="121">
        <v>629.89</v>
      </c>
      <c r="I30" s="122">
        <v>186.33</v>
      </c>
      <c r="J30" s="122">
        <v>117367.4</v>
      </c>
      <c r="K30" s="206">
        <v>3.42</v>
      </c>
      <c r="L30" s="210">
        <f t="shared" si="4"/>
        <v>186.33</v>
      </c>
      <c r="M30" s="207">
        <f t="shared" si="5"/>
        <v>637.25</v>
      </c>
      <c r="N30" s="211">
        <f t="shared" si="6"/>
        <v>633.30999999999995</v>
      </c>
      <c r="O30" s="208">
        <f t="shared" si="2"/>
        <v>186.33</v>
      </c>
      <c r="P30" s="209">
        <f t="shared" si="3"/>
        <v>118004.65</v>
      </c>
    </row>
    <row r="31" spans="1:16" s="109" customFormat="1" ht="36" x14ac:dyDescent="0.2">
      <c r="A31" s="97"/>
      <c r="B31" s="116"/>
      <c r="C31" s="117" t="s">
        <v>39</v>
      </c>
      <c r="D31" s="117" t="s">
        <v>69</v>
      </c>
      <c r="E31" s="118" t="s">
        <v>110</v>
      </c>
      <c r="F31" s="119" t="s">
        <v>111</v>
      </c>
      <c r="G31" s="120" t="s">
        <v>62</v>
      </c>
      <c r="H31" s="121">
        <v>382.06</v>
      </c>
      <c r="I31" s="122">
        <v>44.72</v>
      </c>
      <c r="J31" s="122">
        <v>17085.72</v>
      </c>
      <c r="K31" s="206">
        <v>2.0699999999999998</v>
      </c>
      <c r="L31" s="210">
        <f t="shared" si="4"/>
        <v>44.72</v>
      </c>
      <c r="M31" s="207">
        <f t="shared" si="5"/>
        <v>92.57</v>
      </c>
      <c r="N31" s="211">
        <f t="shared" si="6"/>
        <v>384.13</v>
      </c>
      <c r="O31" s="208">
        <f t="shared" si="2"/>
        <v>44.72</v>
      </c>
      <c r="P31" s="209">
        <f t="shared" si="3"/>
        <v>17178.29</v>
      </c>
    </row>
    <row r="32" spans="1:16" s="109" customFormat="1" ht="48" x14ac:dyDescent="0.2">
      <c r="A32" s="97"/>
      <c r="B32" s="116"/>
      <c r="C32" s="117" t="s">
        <v>41</v>
      </c>
      <c r="D32" s="117" t="s">
        <v>69</v>
      </c>
      <c r="E32" s="118" t="s">
        <v>112</v>
      </c>
      <c r="F32" s="119" t="s">
        <v>113</v>
      </c>
      <c r="G32" s="120" t="s">
        <v>62</v>
      </c>
      <c r="H32" s="121">
        <v>132.69999999999999</v>
      </c>
      <c r="I32" s="122">
        <v>247.39</v>
      </c>
      <c r="J32" s="122">
        <v>32828.65</v>
      </c>
      <c r="K32" s="206">
        <v>0.72</v>
      </c>
      <c r="L32" s="210">
        <f t="shared" si="4"/>
        <v>247.39</v>
      </c>
      <c r="M32" s="207">
        <f t="shared" si="5"/>
        <v>178.12</v>
      </c>
      <c r="N32" s="211">
        <f t="shared" si="6"/>
        <v>133.41999999999999</v>
      </c>
      <c r="O32" s="208">
        <f t="shared" si="2"/>
        <v>247.39</v>
      </c>
      <c r="P32" s="209">
        <f t="shared" si="3"/>
        <v>33006.769999999997</v>
      </c>
    </row>
    <row r="33" spans="1:18" s="109" customFormat="1" ht="12" x14ac:dyDescent="0.2">
      <c r="A33" s="97"/>
      <c r="B33" s="116"/>
      <c r="C33" s="117" t="s">
        <v>114</v>
      </c>
      <c r="D33" s="117" t="s">
        <v>69</v>
      </c>
      <c r="E33" s="118" t="s">
        <v>115</v>
      </c>
      <c r="F33" s="119" t="s">
        <v>116</v>
      </c>
      <c r="G33" s="120" t="s">
        <v>62</v>
      </c>
      <c r="H33" s="121">
        <v>132.69999999999999</v>
      </c>
      <c r="I33" s="122">
        <v>11.84</v>
      </c>
      <c r="J33" s="122">
        <v>1571.17</v>
      </c>
      <c r="K33" s="206">
        <v>0.72</v>
      </c>
      <c r="L33" s="210">
        <f t="shared" si="4"/>
        <v>11.84</v>
      </c>
      <c r="M33" s="207">
        <f t="shared" si="5"/>
        <v>8.52</v>
      </c>
      <c r="N33" s="211">
        <f t="shared" si="6"/>
        <v>133.41999999999999</v>
      </c>
      <c r="O33" s="208">
        <f t="shared" si="2"/>
        <v>11.84</v>
      </c>
      <c r="P33" s="209">
        <f t="shared" si="3"/>
        <v>1579.69</v>
      </c>
    </row>
    <row r="34" spans="1:18" s="109" customFormat="1" ht="36" x14ac:dyDescent="0.2">
      <c r="A34" s="97"/>
      <c r="B34" s="116"/>
      <c r="C34" s="117" t="s">
        <v>117</v>
      </c>
      <c r="D34" s="117" t="s">
        <v>69</v>
      </c>
      <c r="E34" s="118" t="s">
        <v>118</v>
      </c>
      <c r="F34" s="119" t="s">
        <v>119</v>
      </c>
      <c r="G34" s="120" t="s">
        <v>120</v>
      </c>
      <c r="H34" s="121">
        <v>212.07499999999999</v>
      </c>
      <c r="I34" s="122">
        <v>116</v>
      </c>
      <c r="J34" s="122">
        <v>24600.7</v>
      </c>
      <c r="K34" s="206">
        <v>1.1499999999999999</v>
      </c>
      <c r="L34" s="210">
        <f t="shared" si="4"/>
        <v>116</v>
      </c>
      <c r="M34" s="207">
        <f t="shared" si="5"/>
        <v>133.4</v>
      </c>
      <c r="N34" s="211">
        <f t="shared" si="6"/>
        <v>213.22499999999999</v>
      </c>
      <c r="O34" s="208">
        <f t="shared" si="2"/>
        <v>116</v>
      </c>
      <c r="P34" s="209">
        <f t="shared" si="3"/>
        <v>24734.1</v>
      </c>
    </row>
    <row r="35" spans="1:18" s="109" customFormat="1" ht="36" x14ac:dyDescent="0.2">
      <c r="A35" s="97"/>
      <c r="B35" s="116"/>
      <c r="C35" s="117" t="s">
        <v>0</v>
      </c>
      <c r="D35" s="117" t="s">
        <v>69</v>
      </c>
      <c r="E35" s="118" t="s">
        <v>121</v>
      </c>
      <c r="F35" s="119" t="s">
        <v>122</v>
      </c>
      <c r="G35" s="120" t="s">
        <v>62</v>
      </c>
      <c r="H35" s="121">
        <v>247.83</v>
      </c>
      <c r="I35" s="122">
        <v>286.72000000000003</v>
      </c>
      <c r="J35" s="122">
        <v>71057.820000000007</v>
      </c>
      <c r="K35" s="206">
        <v>1.34</v>
      </c>
      <c r="L35" s="210">
        <f t="shared" si="4"/>
        <v>286.72000000000003</v>
      </c>
      <c r="M35" s="207">
        <f t="shared" si="5"/>
        <v>384.2</v>
      </c>
      <c r="N35" s="211">
        <f t="shared" si="6"/>
        <v>249.17000000000002</v>
      </c>
      <c r="O35" s="208">
        <f t="shared" si="2"/>
        <v>286.72000000000003</v>
      </c>
      <c r="P35" s="209">
        <f t="shared" si="3"/>
        <v>71442.02</v>
      </c>
    </row>
    <row r="36" spans="1:18" s="109" customFormat="1" ht="60" x14ac:dyDescent="0.2">
      <c r="A36" s="97"/>
      <c r="B36" s="116"/>
      <c r="C36" s="117" t="s">
        <v>123</v>
      </c>
      <c r="D36" s="117" t="s">
        <v>69</v>
      </c>
      <c r="E36" s="118" t="s">
        <v>124</v>
      </c>
      <c r="F36" s="119" t="s">
        <v>125</v>
      </c>
      <c r="G36" s="120" t="s">
        <v>62</v>
      </c>
      <c r="H36" s="121">
        <v>83.85</v>
      </c>
      <c r="I36" s="122">
        <v>318.27999999999997</v>
      </c>
      <c r="J36" s="122">
        <v>26687.78</v>
      </c>
      <c r="K36" s="206">
        <v>0.45</v>
      </c>
      <c r="L36" s="210">
        <f t="shared" si="4"/>
        <v>318.27999999999997</v>
      </c>
      <c r="M36" s="207">
        <f t="shared" si="5"/>
        <v>143.22999999999999</v>
      </c>
      <c r="N36" s="211">
        <f t="shared" si="6"/>
        <v>84.3</v>
      </c>
      <c r="O36" s="208">
        <f t="shared" si="2"/>
        <v>318.27999999999997</v>
      </c>
      <c r="P36" s="209">
        <f t="shared" si="3"/>
        <v>26831</v>
      </c>
    </row>
    <row r="37" spans="1:18" s="109" customFormat="1" ht="12" x14ac:dyDescent="0.2">
      <c r="A37" s="97"/>
      <c r="B37" s="116"/>
      <c r="C37" s="123" t="s">
        <v>126</v>
      </c>
      <c r="D37" s="123" t="s">
        <v>127</v>
      </c>
      <c r="E37" s="124" t="s">
        <v>128</v>
      </c>
      <c r="F37" s="125" t="s">
        <v>129</v>
      </c>
      <c r="G37" s="126" t="s">
        <v>120</v>
      </c>
      <c r="H37" s="127">
        <v>150.93</v>
      </c>
      <c r="I37" s="128">
        <v>190.76</v>
      </c>
      <c r="J37" s="128">
        <v>28791.41</v>
      </c>
      <c r="K37" s="206">
        <v>0.82</v>
      </c>
      <c r="L37" s="210">
        <f t="shared" si="4"/>
        <v>190.76</v>
      </c>
      <c r="M37" s="207">
        <f t="shared" si="5"/>
        <v>156.41999999999999</v>
      </c>
      <c r="N37" s="211">
        <f t="shared" si="6"/>
        <v>151.75</v>
      </c>
      <c r="O37" s="208">
        <f t="shared" ref="O37:O96" si="7">I37</f>
        <v>190.76</v>
      </c>
      <c r="P37" s="209">
        <f t="shared" ref="P37:P96" si="8">ROUND(N37*O37,2)</f>
        <v>28947.83</v>
      </c>
    </row>
    <row r="38" spans="1:18" s="110" customFormat="1" ht="12.75" x14ac:dyDescent="0.2">
      <c r="C38" s="245"/>
      <c r="D38" s="246" t="s">
        <v>3</v>
      </c>
      <c r="E38" s="247" t="s">
        <v>76</v>
      </c>
      <c r="F38" s="247" t="s">
        <v>130</v>
      </c>
      <c r="G38" s="245"/>
      <c r="H38" s="245"/>
      <c r="I38" s="245"/>
      <c r="J38" s="248">
        <v>4607.8</v>
      </c>
      <c r="K38" s="249"/>
      <c r="L38" s="250"/>
      <c r="M38" s="241">
        <f>M39</f>
        <v>24.99</v>
      </c>
      <c r="N38" s="242"/>
      <c r="O38" s="243"/>
      <c r="P38" s="244">
        <f>P39</f>
        <v>4632.79</v>
      </c>
    </row>
    <row r="39" spans="1:18" s="109" customFormat="1" ht="12" x14ac:dyDescent="0.2">
      <c r="A39" s="97"/>
      <c r="B39" s="116"/>
      <c r="C39" s="117" t="s">
        <v>131</v>
      </c>
      <c r="D39" s="117" t="s">
        <v>69</v>
      </c>
      <c r="E39" s="118" t="s">
        <v>132</v>
      </c>
      <c r="F39" s="119" t="s">
        <v>133</v>
      </c>
      <c r="G39" s="120" t="s">
        <v>61</v>
      </c>
      <c r="H39" s="121">
        <v>140.13999999999999</v>
      </c>
      <c r="I39" s="122">
        <v>32.880000000000003</v>
      </c>
      <c r="J39" s="122">
        <v>4607.8</v>
      </c>
      <c r="K39" s="206">
        <v>0.76</v>
      </c>
      <c r="L39" s="210">
        <f t="shared" si="4"/>
        <v>32.880000000000003</v>
      </c>
      <c r="M39" s="207">
        <f t="shared" si="5"/>
        <v>24.99</v>
      </c>
      <c r="N39" s="211">
        <f t="shared" si="6"/>
        <v>140.89999999999998</v>
      </c>
      <c r="O39" s="208">
        <f t="shared" si="7"/>
        <v>32.880000000000003</v>
      </c>
      <c r="P39" s="209">
        <f t="shared" si="8"/>
        <v>4632.79</v>
      </c>
    </row>
    <row r="40" spans="1:18" s="110" customFormat="1" ht="12.75" x14ac:dyDescent="0.2">
      <c r="C40" s="245"/>
      <c r="D40" s="246" t="s">
        <v>3</v>
      </c>
      <c r="E40" s="247" t="s">
        <v>73</v>
      </c>
      <c r="F40" s="247" t="s">
        <v>134</v>
      </c>
      <c r="G40" s="245"/>
      <c r="H40" s="245"/>
      <c r="I40" s="245"/>
      <c r="J40" s="248">
        <v>4271.87</v>
      </c>
      <c r="K40" s="249"/>
      <c r="L40" s="250"/>
      <c r="M40" s="241">
        <f>SUM(M41:M46)</f>
        <v>0</v>
      </c>
      <c r="N40" s="242"/>
      <c r="O40" s="243"/>
      <c r="P40" s="241">
        <f>SUM(P41:P46)</f>
        <v>4271.87</v>
      </c>
    </row>
    <row r="41" spans="1:18" s="109" customFormat="1" ht="24" x14ac:dyDescent="0.2">
      <c r="A41" s="97"/>
      <c r="B41" s="116"/>
      <c r="C41" s="117" t="s">
        <v>135</v>
      </c>
      <c r="D41" s="117" t="s">
        <v>69</v>
      </c>
      <c r="E41" s="118" t="s">
        <v>136</v>
      </c>
      <c r="F41" s="119" t="s">
        <v>137</v>
      </c>
      <c r="G41" s="120" t="s">
        <v>138</v>
      </c>
      <c r="H41" s="121">
        <v>6</v>
      </c>
      <c r="I41" s="122">
        <v>122.32</v>
      </c>
      <c r="J41" s="122">
        <v>733.92</v>
      </c>
      <c r="K41" s="206"/>
      <c r="L41" s="210">
        <f t="shared" si="4"/>
        <v>122.32</v>
      </c>
      <c r="M41" s="207">
        <f t="shared" si="5"/>
        <v>0</v>
      </c>
      <c r="N41" s="211">
        <f t="shared" si="6"/>
        <v>6</v>
      </c>
      <c r="O41" s="208">
        <f t="shared" si="7"/>
        <v>122.32</v>
      </c>
      <c r="P41" s="209">
        <f t="shared" si="8"/>
        <v>733.92</v>
      </c>
    </row>
    <row r="42" spans="1:18" s="109" customFormat="1" ht="24" x14ac:dyDescent="0.2">
      <c r="A42" s="97"/>
      <c r="B42" s="116"/>
      <c r="C42" s="123" t="s">
        <v>139</v>
      </c>
      <c r="D42" s="123" t="s">
        <v>127</v>
      </c>
      <c r="E42" s="124" t="s">
        <v>140</v>
      </c>
      <c r="F42" s="125" t="s">
        <v>141</v>
      </c>
      <c r="G42" s="126" t="s">
        <v>138</v>
      </c>
      <c r="H42" s="127">
        <v>2</v>
      </c>
      <c r="I42" s="128">
        <v>270.94</v>
      </c>
      <c r="J42" s="128">
        <v>541.88</v>
      </c>
      <c r="K42" s="206"/>
      <c r="L42" s="210">
        <f t="shared" si="4"/>
        <v>270.94</v>
      </c>
      <c r="M42" s="207">
        <f t="shared" si="5"/>
        <v>0</v>
      </c>
      <c r="N42" s="211">
        <f t="shared" si="6"/>
        <v>2</v>
      </c>
      <c r="O42" s="208">
        <f t="shared" si="7"/>
        <v>270.94</v>
      </c>
      <c r="P42" s="209">
        <f t="shared" si="8"/>
        <v>541.88</v>
      </c>
    </row>
    <row r="43" spans="1:18" s="109" customFormat="1" ht="24" x14ac:dyDescent="0.2">
      <c r="A43" s="97"/>
      <c r="B43" s="116"/>
      <c r="C43" s="123" t="s">
        <v>142</v>
      </c>
      <c r="D43" s="123" t="s">
        <v>127</v>
      </c>
      <c r="E43" s="124" t="s">
        <v>143</v>
      </c>
      <c r="F43" s="125" t="s">
        <v>144</v>
      </c>
      <c r="G43" s="126" t="s">
        <v>138</v>
      </c>
      <c r="H43" s="127">
        <v>1</v>
      </c>
      <c r="I43" s="128">
        <v>313.02</v>
      </c>
      <c r="J43" s="128">
        <v>313.02</v>
      </c>
      <c r="K43" s="206"/>
      <c r="L43" s="210">
        <f t="shared" si="4"/>
        <v>313.02</v>
      </c>
      <c r="M43" s="207">
        <f t="shared" si="5"/>
        <v>0</v>
      </c>
      <c r="N43" s="211">
        <f t="shared" si="6"/>
        <v>1</v>
      </c>
      <c r="O43" s="208">
        <f t="shared" si="7"/>
        <v>313.02</v>
      </c>
      <c r="P43" s="209">
        <f t="shared" si="8"/>
        <v>313.02</v>
      </c>
    </row>
    <row r="44" spans="1:18" s="109" customFormat="1" ht="24" x14ac:dyDescent="0.2">
      <c r="A44" s="97"/>
      <c r="B44" s="116"/>
      <c r="C44" s="123" t="s">
        <v>145</v>
      </c>
      <c r="D44" s="123" t="s">
        <v>127</v>
      </c>
      <c r="E44" s="124" t="s">
        <v>146</v>
      </c>
      <c r="F44" s="125" t="s">
        <v>147</v>
      </c>
      <c r="G44" s="126" t="s">
        <v>138</v>
      </c>
      <c r="H44" s="127">
        <v>3</v>
      </c>
      <c r="I44" s="128">
        <v>345.9</v>
      </c>
      <c r="J44" s="128">
        <v>1037.7</v>
      </c>
      <c r="K44" s="206"/>
      <c r="L44" s="210">
        <f t="shared" si="4"/>
        <v>345.9</v>
      </c>
      <c r="M44" s="207">
        <f t="shared" si="5"/>
        <v>0</v>
      </c>
      <c r="N44" s="211">
        <f t="shared" si="6"/>
        <v>3</v>
      </c>
      <c r="O44" s="208">
        <f t="shared" si="7"/>
        <v>345.9</v>
      </c>
      <c r="P44" s="209">
        <f t="shared" si="8"/>
        <v>1037.7</v>
      </c>
    </row>
    <row r="45" spans="1:18" s="109" customFormat="1" ht="24" x14ac:dyDescent="0.2">
      <c r="A45" s="97"/>
      <c r="B45" s="116"/>
      <c r="C45" s="117" t="s">
        <v>148</v>
      </c>
      <c r="D45" s="117" t="s">
        <v>69</v>
      </c>
      <c r="E45" s="118" t="s">
        <v>149</v>
      </c>
      <c r="F45" s="119" t="s">
        <v>150</v>
      </c>
      <c r="G45" s="120" t="s">
        <v>138</v>
      </c>
      <c r="H45" s="121">
        <v>3</v>
      </c>
      <c r="I45" s="122">
        <v>152.57</v>
      </c>
      <c r="J45" s="122">
        <v>457.71</v>
      </c>
      <c r="K45" s="206"/>
      <c r="L45" s="210">
        <f t="shared" si="4"/>
        <v>152.57</v>
      </c>
      <c r="M45" s="207">
        <f t="shared" si="5"/>
        <v>0</v>
      </c>
      <c r="N45" s="211">
        <f t="shared" si="6"/>
        <v>3</v>
      </c>
      <c r="O45" s="208">
        <f t="shared" si="7"/>
        <v>152.57</v>
      </c>
      <c r="P45" s="209">
        <f t="shared" si="8"/>
        <v>457.71</v>
      </c>
    </row>
    <row r="46" spans="1:18" s="109" customFormat="1" ht="24" x14ac:dyDescent="0.2">
      <c r="A46" s="97"/>
      <c r="B46" s="116"/>
      <c r="C46" s="123" t="s">
        <v>151</v>
      </c>
      <c r="D46" s="123" t="s">
        <v>127</v>
      </c>
      <c r="E46" s="124" t="s">
        <v>152</v>
      </c>
      <c r="F46" s="125" t="s">
        <v>153</v>
      </c>
      <c r="G46" s="126" t="s">
        <v>138</v>
      </c>
      <c r="H46" s="127">
        <v>3</v>
      </c>
      <c r="I46" s="128">
        <v>395.88</v>
      </c>
      <c r="J46" s="128">
        <v>1187.6400000000001</v>
      </c>
      <c r="K46" s="206"/>
      <c r="L46" s="210">
        <f t="shared" si="4"/>
        <v>395.88</v>
      </c>
      <c r="M46" s="207">
        <f t="shared" si="5"/>
        <v>0</v>
      </c>
      <c r="N46" s="211">
        <f t="shared" si="6"/>
        <v>3</v>
      </c>
      <c r="O46" s="208">
        <f t="shared" si="7"/>
        <v>395.88</v>
      </c>
      <c r="P46" s="209">
        <f t="shared" si="8"/>
        <v>1187.6400000000001</v>
      </c>
    </row>
    <row r="47" spans="1:18" s="110" customFormat="1" ht="12.75" x14ac:dyDescent="0.2">
      <c r="C47" s="224"/>
      <c r="D47" s="225" t="s">
        <v>3</v>
      </c>
      <c r="E47" s="226" t="s">
        <v>81</v>
      </c>
      <c r="F47" s="226" t="s">
        <v>154</v>
      </c>
      <c r="G47" s="224"/>
      <c r="H47" s="224"/>
      <c r="I47" s="224"/>
      <c r="J47" s="227">
        <v>148788.19</v>
      </c>
      <c r="K47" s="228"/>
      <c r="L47" s="229"/>
      <c r="M47" s="241">
        <f>SUM(M48:M56)</f>
        <v>0</v>
      </c>
      <c r="N47" s="230"/>
      <c r="O47" s="231"/>
      <c r="P47" s="241">
        <f>SUM(P48:P56)</f>
        <v>148788.19</v>
      </c>
    </row>
    <row r="48" spans="1:18" s="109" customFormat="1" ht="36" x14ac:dyDescent="0.2">
      <c r="A48" s="97"/>
      <c r="B48" s="116"/>
      <c r="C48" s="117" t="s">
        <v>155</v>
      </c>
      <c r="D48" s="117" t="s">
        <v>69</v>
      </c>
      <c r="E48" s="118" t="s">
        <v>156</v>
      </c>
      <c r="F48" s="119" t="s">
        <v>157</v>
      </c>
      <c r="G48" s="120" t="s">
        <v>72</v>
      </c>
      <c r="H48" s="121">
        <v>46.375999999999998</v>
      </c>
      <c r="I48" s="122">
        <v>319.88</v>
      </c>
      <c r="J48" s="122">
        <v>14834.75</v>
      </c>
      <c r="K48" s="206"/>
      <c r="L48" s="210">
        <f t="shared" si="4"/>
        <v>319.88</v>
      </c>
      <c r="M48" s="207">
        <f t="shared" si="5"/>
        <v>0</v>
      </c>
      <c r="N48" s="211">
        <f t="shared" si="6"/>
        <v>46.375999999999998</v>
      </c>
      <c r="O48" s="208">
        <f t="shared" si="7"/>
        <v>319.88</v>
      </c>
      <c r="P48" s="209">
        <f t="shared" si="8"/>
        <v>14834.75</v>
      </c>
      <c r="Q48" s="331" t="s">
        <v>1060</v>
      </c>
      <c r="R48" s="109" t="s">
        <v>1073</v>
      </c>
    </row>
    <row r="49" spans="1:23" s="109" customFormat="1" ht="24" x14ac:dyDescent="0.2">
      <c r="A49" s="97"/>
      <c r="B49" s="116"/>
      <c r="C49" s="117" t="s">
        <v>158</v>
      </c>
      <c r="D49" s="117" t="s">
        <v>69</v>
      </c>
      <c r="E49" s="118" t="s">
        <v>159</v>
      </c>
      <c r="F49" s="119" t="s">
        <v>160</v>
      </c>
      <c r="G49" s="120" t="s">
        <v>72</v>
      </c>
      <c r="H49" s="121">
        <v>28.687999999999999</v>
      </c>
      <c r="I49" s="122">
        <v>251.97</v>
      </c>
      <c r="J49" s="122">
        <v>7228.52</v>
      </c>
      <c r="K49" s="206"/>
      <c r="L49" s="210">
        <f t="shared" si="4"/>
        <v>251.97</v>
      </c>
      <c r="M49" s="207">
        <f t="shared" si="5"/>
        <v>0</v>
      </c>
      <c r="N49" s="211">
        <f t="shared" si="6"/>
        <v>28.687999999999999</v>
      </c>
      <c r="O49" s="208">
        <f t="shared" si="7"/>
        <v>251.97</v>
      </c>
      <c r="P49" s="209">
        <f t="shared" si="8"/>
        <v>7228.52</v>
      </c>
      <c r="Q49" s="331"/>
      <c r="R49" s="109" t="s">
        <v>1073</v>
      </c>
    </row>
    <row r="50" spans="1:23" s="109" customFormat="1" ht="24" x14ac:dyDescent="0.2">
      <c r="A50" s="97"/>
      <c r="B50" s="116"/>
      <c r="C50" s="117" t="s">
        <v>161</v>
      </c>
      <c r="D50" s="117" t="s">
        <v>69</v>
      </c>
      <c r="E50" s="118" t="s">
        <v>162</v>
      </c>
      <c r="F50" s="119" t="s">
        <v>163</v>
      </c>
      <c r="G50" s="120" t="s">
        <v>72</v>
      </c>
      <c r="H50" s="121">
        <v>46.375999999999998</v>
      </c>
      <c r="I50" s="122">
        <v>155.66999999999999</v>
      </c>
      <c r="J50" s="122">
        <v>7219.35</v>
      </c>
      <c r="K50" s="206"/>
      <c r="L50" s="210">
        <f t="shared" si="4"/>
        <v>155.66999999999999</v>
      </c>
      <c r="M50" s="207">
        <f t="shared" si="5"/>
        <v>0</v>
      </c>
      <c r="N50" s="211">
        <f t="shared" si="6"/>
        <v>46.375999999999998</v>
      </c>
      <c r="O50" s="208">
        <f t="shared" si="7"/>
        <v>155.66999999999999</v>
      </c>
      <c r="P50" s="209">
        <f t="shared" si="8"/>
        <v>7219.35</v>
      </c>
      <c r="Q50" s="331"/>
      <c r="R50" s="109" t="s">
        <v>1073</v>
      </c>
    </row>
    <row r="51" spans="1:23" s="109" customFormat="1" ht="24" x14ac:dyDescent="0.2">
      <c r="A51" s="97"/>
      <c r="B51" s="116"/>
      <c r="C51" s="117" t="s">
        <v>164</v>
      </c>
      <c r="D51" s="117" t="s">
        <v>69</v>
      </c>
      <c r="E51" s="118" t="s">
        <v>165</v>
      </c>
      <c r="F51" s="119" t="s">
        <v>166</v>
      </c>
      <c r="G51" s="120" t="s">
        <v>72</v>
      </c>
      <c r="H51" s="121">
        <v>79.09</v>
      </c>
      <c r="I51" s="122">
        <v>302.54000000000002</v>
      </c>
      <c r="J51" s="122">
        <v>23927.89</v>
      </c>
      <c r="K51" s="206"/>
      <c r="L51" s="210">
        <f t="shared" si="4"/>
        <v>302.54000000000002</v>
      </c>
      <c r="M51" s="207">
        <f t="shared" si="5"/>
        <v>0</v>
      </c>
      <c r="N51" s="211">
        <f t="shared" si="6"/>
        <v>79.09</v>
      </c>
      <c r="O51" s="208">
        <f t="shared" si="7"/>
        <v>302.54000000000002</v>
      </c>
      <c r="P51" s="209">
        <f t="shared" si="8"/>
        <v>23927.89</v>
      </c>
      <c r="Q51" s="331"/>
      <c r="R51" s="109" t="s">
        <v>1073</v>
      </c>
    </row>
    <row r="52" spans="1:23" s="109" customFormat="1" ht="24" x14ac:dyDescent="0.2">
      <c r="A52" s="97"/>
      <c r="B52" s="116"/>
      <c r="C52" s="117" t="s">
        <v>167</v>
      </c>
      <c r="D52" s="117" t="s">
        <v>69</v>
      </c>
      <c r="E52" s="118" t="s">
        <v>168</v>
      </c>
      <c r="F52" s="119" t="s">
        <v>169</v>
      </c>
      <c r="G52" s="120" t="s">
        <v>72</v>
      </c>
      <c r="H52" s="121">
        <v>71.671999999999997</v>
      </c>
      <c r="I52" s="122">
        <v>18.04</v>
      </c>
      <c r="J52" s="122">
        <v>1292.96</v>
      </c>
      <c r="K52" s="206"/>
      <c r="L52" s="210">
        <f t="shared" si="4"/>
        <v>18.04</v>
      </c>
      <c r="M52" s="207">
        <f t="shared" si="5"/>
        <v>0</v>
      </c>
      <c r="N52" s="211">
        <f t="shared" si="6"/>
        <v>71.671999999999997</v>
      </c>
      <c r="O52" s="208">
        <f t="shared" si="7"/>
        <v>18.04</v>
      </c>
      <c r="P52" s="209">
        <f t="shared" si="8"/>
        <v>1292.96</v>
      </c>
    </row>
    <row r="53" spans="1:23" s="109" customFormat="1" ht="48" x14ac:dyDescent="0.2">
      <c r="A53" s="97"/>
      <c r="B53" s="116"/>
      <c r="C53" s="117" t="s">
        <v>170</v>
      </c>
      <c r="D53" s="117" t="s">
        <v>69</v>
      </c>
      <c r="E53" s="118" t="s">
        <v>171</v>
      </c>
      <c r="F53" s="119" t="s">
        <v>172</v>
      </c>
      <c r="G53" s="120" t="s">
        <v>72</v>
      </c>
      <c r="H53" s="121">
        <v>71.671999999999997</v>
      </c>
      <c r="I53" s="122">
        <v>396.71</v>
      </c>
      <c r="J53" s="122">
        <v>28433</v>
      </c>
      <c r="K53" s="206"/>
      <c r="L53" s="210">
        <f t="shared" si="4"/>
        <v>396.71</v>
      </c>
      <c r="M53" s="207">
        <f t="shared" si="5"/>
        <v>0</v>
      </c>
      <c r="N53" s="211">
        <f t="shared" si="6"/>
        <v>71.671999999999997</v>
      </c>
      <c r="O53" s="208">
        <f t="shared" si="7"/>
        <v>396.71</v>
      </c>
      <c r="P53" s="209">
        <f t="shared" si="8"/>
        <v>28433</v>
      </c>
    </row>
    <row r="54" spans="1:23" s="109" customFormat="1" ht="36" x14ac:dyDescent="0.2">
      <c r="A54" s="97"/>
      <c r="B54" s="116"/>
      <c r="C54" s="117" t="s">
        <v>173</v>
      </c>
      <c r="D54" s="117" t="s">
        <v>69</v>
      </c>
      <c r="E54" s="118" t="s">
        <v>174</v>
      </c>
      <c r="F54" s="119" t="s">
        <v>175</v>
      </c>
      <c r="G54" s="120" t="s">
        <v>72</v>
      </c>
      <c r="H54" s="121">
        <v>46.375999999999998</v>
      </c>
      <c r="I54" s="122">
        <v>443.02</v>
      </c>
      <c r="J54" s="122">
        <v>20545.5</v>
      </c>
      <c r="K54" s="206"/>
      <c r="L54" s="210">
        <f t="shared" si="4"/>
        <v>443.02</v>
      </c>
      <c r="M54" s="207">
        <f t="shared" si="5"/>
        <v>0</v>
      </c>
      <c r="N54" s="211">
        <f t="shared" si="6"/>
        <v>46.375999999999998</v>
      </c>
      <c r="O54" s="208">
        <f t="shared" si="7"/>
        <v>443.02</v>
      </c>
      <c r="P54" s="209">
        <f t="shared" si="8"/>
        <v>20545.5</v>
      </c>
    </row>
    <row r="55" spans="1:23" s="109" customFormat="1" ht="72" x14ac:dyDescent="0.2">
      <c r="A55" s="97"/>
      <c r="B55" s="116"/>
      <c r="C55" s="117" t="s">
        <v>176</v>
      </c>
      <c r="D55" s="117" t="s">
        <v>69</v>
      </c>
      <c r="E55" s="118" t="s">
        <v>177</v>
      </c>
      <c r="F55" s="119" t="s">
        <v>178</v>
      </c>
      <c r="G55" s="120" t="s">
        <v>72</v>
      </c>
      <c r="H55" s="121">
        <v>79.09</v>
      </c>
      <c r="I55" s="122">
        <v>338.08</v>
      </c>
      <c r="J55" s="122">
        <v>26738.75</v>
      </c>
      <c r="K55" s="206"/>
      <c r="L55" s="210">
        <f t="shared" si="4"/>
        <v>338.08</v>
      </c>
      <c r="M55" s="207">
        <f t="shared" si="5"/>
        <v>0</v>
      </c>
      <c r="N55" s="211">
        <f t="shared" si="6"/>
        <v>79.09</v>
      </c>
      <c r="O55" s="208">
        <f t="shared" si="7"/>
        <v>338.08</v>
      </c>
      <c r="P55" s="209">
        <f t="shared" si="8"/>
        <v>26738.75</v>
      </c>
    </row>
    <row r="56" spans="1:23" s="109" customFormat="1" ht="12" x14ac:dyDescent="0.2">
      <c r="A56" s="97"/>
      <c r="B56" s="116"/>
      <c r="C56" s="123" t="s">
        <v>179</v>
      </c>
      <c r="D56" s="123" t="s">
        <v>127</v>
      </c>
      <c r="E56" s="124" t="s">
        <v>180</v>
      </c>
      <c r="F56" s="125" t="s">
        <v>181</v>
      </c>
      <c r="G56" s="126" t="s">
        <v>72</v>
      </c>
      <c r="H56" s="127">
        <v>80.671999999999997</v>
      </c>
      <c r="I56" s="128">
        <v>230.16</v>
      </c>
      <c r="J56" s="128">
        <v>18567.47</v>
      </c>
      <c r="K56" s="206"/>
      <c r="L56" s="210">
        <f t="shared" si="4"/>
        <v>230.16</v>
      </c>
      <c r="M56" s="207">
        <f t="shared" si="5"/>
        <v>0</v>
      </c>
      <c r="N56" s="211">
        <f t="shared" si="6"/>
        <v>80.671999999999997</v>
      </c>
      <c r="O56" s="208">
        <f t="shared" si="7"/>
        <v>230.16</v>
      </c>
      <c r="P56" s="209">
        <f t="shared" si="8"/>
        <v>18567.47</v>
      </c>
    </row>
    <row r="57" spans="1:23" s="110" customFormat="1" ht="12.75" x14ac:dyDescent="0.2">
      <c r="C57" s="224"/>
      <c r="D57" s="225" t="s">
        <v>3</v>
      </c>
      <c r="E57" s="226" t="s">
        <v>90</v>
      </c>
      <c r="F57" s="226" t="s">
        <v>182</v>
      </c>
      <c r="G57" s="224"/>
      <c r="H57" s="224"/>
      <c r="I57" s="224"/>
      <c r="J57" s="227">
        <v>533912.46</v>
      </c>
      <c r="K57" s="228"/>
      <c r="L57" s="229"/>
      <c r="M57" s="241">
        <f>SUM(M58:M85)</f>
        <v>1670.3199999999997</v>
      </c>
      <c r="N57" s="242"/>
      <c r="O57" s="243"/>
      <c r="P57" s="241">
        <f>SUM(P58:P85)</f>
        <v>535582.77999999991</v>
      </c>
    </row>
    <row r="58" spans="1:23" s="109" customFormat="1" ht="36" x14ac:dyDescent="0.2">
      <c r="A58" s="97"/>
      <c r="B58" s="116"/>
      <c r="C58" s="117" t="s">
        <v>183</v>
      </c>
      <c r="D58" s="117" t="s">
        <v>69</v>
      </c>
      <c r="E58" s="118" t="s">
        <v>184</v>
      </c>
      <c r="F58" s="119" t="s">
        <v>185</v>
      </c>
      <c r="G58" s="120" t="s">
        <v>61</v>
      </c>
      <c r="H58" s="121">
        <v>140.13999999999999</v>
      </c>
      <c r="I58" s="122">
        <v>552.39</v>
      </c>
      <c r="J58" s="122">
        <v>77411.929999999993</v>
      </c>
      <c r="K58" s="206">
        <v>0.76</v>
      </c>
      <c r="L58" s="210">
        <f t="shared" si="4"/>
        <v>552.39</v>
      </c>
      <c r="M58" s="207">
        <f t="shared" si="5"/>
        <v>419.82</v>
      </c>
      <c r="N58" s="211">
        <f t="shared" si="6"/>
        <v>140.89999999999998</v>
      </c>
      <c r="O58" s="208">
        <f t="shared" si="7"/>
        <v>552.39</v>
      </c>
      <c r="P58" s="209">
        <f t="shared" si="8"/>
        <v>77831.75</v>
      </c>
      <c r="S58" s="109">
        <v>140.88</v>
      </c>
      <c r="T58" s="109">
        <v>5</v>
      </c>
      <c r="U58" s="109">
        <f>140.88-4</f>
        <v>136.88</v>
      </c>
      <c r="V58" s="109">
        <f>U58-1.5</f>
        <v>135.38</v>
      </c>
    </row>
    <row r="59" spans="1:23" s="109" customFormat="1" ht="24" x14ac:dyDescent="0.2">
      <c r="A59" s="97"/>
      <c r="B59" s="116"/>
      <c r="C59" s="123" t="s">
        <v>186</v>
      </c>
      <c r="D59" s="123" t="s">
        <v>127</v>
      </c>
      <c r="E59" s="124" t="s">
        <v>187</v>
      </c>
      <c r="F59" s="125" t="s">
        <v>188</v>
      </c>
      <c r="G59" s="126" t="s">
        <v>61</v>
      </c>
      <c r="H59" s="127">
        <v>142.24199999999999</v>
      </c>
      <c r="I59" s="128">
        <v>1060.07</v>
      </c>
      <c r="J59" s="128">
        <v>150786.48000000001</v>
      </c>
      <c r="K59" s="206">
        <v>0.77</v>
      </c>
      <c r="L59" s="210">
        <f t="shared" si="4"/>
        <v>1060.07</v>
      </c>
      <c r="M59" s="207">
        <f t="shared" si="5"/>
        <v>816.25</v>
      </c>
      <c r="N59" s="211">
        <f t="shared" si="6"/>
        <v>143.012</v>
      </c>
      <c r="O59" s="208">
        <f t="shared" si="7"/>
        <v>1060.07</v>
      </c>
      <c r="P59" s="209">
        <f t="shared" si="8"/>
        <v>151602.73000000001</v>
      </c>
      <c r="S59" s="109">
        <f>H58/H59</f>
        <v>0.98522236751451753</v>
      </c>
      <c r="T59" s="109">
        <f>1-S59</f>
        <v>1.4777632485482473E-2</v>
      </c>
      <c r="U59" s="109">
        <f>1+T59</f>
        <v>1.0147776324854825</v>
      </c>
      <c r="V59" s="109">
        <f>O58*U59</f>
        <v>560.55301640865559</v>
      </c>
      <c r="W59" s="199">
        <f>O59-V59</f>
        <v>499.51698359134434</v>
      </c>
    </row>
    <row r="60" spans="1:23" s="109" customFormat="1" ht="36" x14ac:dyDescent="0.2">
      <c r="A60" s="97"/>
      <c r="B60" s="116"/>
      <c r="C60" s="117" t="s">
        <v>189</v>
      </c>
      <c r="D60" s="117" t="s">
        <v>69</v>
      </c>
      <c r="E60" s="118" t="s">
        <v>190</v>
      </c>
      <c r="F60" s="119" t="s">
        <v>191</v>
      </c>
      <c r="G60" s="120" t="s">
        <v>138</v>
      </c>
      <c r="H60" s="121">
        <v>3</v>
      </c>
      <c r="I60" s="122">
        <v>195.97</v>
      </c>
      <c r="J60" s="122">
        <v>587.91</v>
      </c>
      <c r="K60" s="206"/>
      <c r="L60" s="210">
        <f t="shared" si="4"/>
        <v>195.97</v>
      </c>
      <c r="M60" s="207">
        <f t="shared" si="5"/>
        <v>0</v>
      </c>
      <c r="N60" s="211">
        <f t="shared" si="6"/>
        <v>3</v>
      </c>
      <c r="O60" s="208">
        <f t="shared" si="7"/>
        <v>195.97</v>
      </c>
      <c r="P60" s="209">
        <f t="shared" si="8"/>
        <v>587.91</v>
      </c>
    </row>
    <row r="61" spans="1:23" s="109" customFormat="1" ht="24" x14ac:dyDescent="0.2">
      <c r="A61" s="97"/>
      <c r="B61" s="116"/>
      <c r="C61" s="123" t="s">
        <v>192</v>
      </c>
      <c r="D61" s="123" t="s">
        <v>127</v>
      </c>
      <c r="E61" s="124" t="s">
        <v>193</v>
      </c>
      <c r="F61" s="125" t="s">
        <v>194</v>
      </c>
      <c r="G61" s="126" t="s">
        <v>138</v>
      </c>
      <c r="H61" s="127">
        <v>1</v>
      </c>
      <c r="I61" s="128">
        <v>1379.67</v>
      </c>
      <c r="J61" s="128">
        <v>1379.67</v>
      </c>
      <c r="K61" s="206"/>
      <c r="L61" s="210">
        <f t="shared" si="4"/>
        <v>1379.67</v>
      </c>
      <c r="M61" s="207">
        <f t="shared" si="5"/>
        <v>0</v>
      </c>
      <c r="N61" s="211">
        <f t="shared" si="6"/>
        <v>1</v>
      </c>
      <c r="O61" s="208">
        <f t="shared" si="7"/>
        <v>1379.67</v>
      </c>
      <c r="P61" s="209">
        <f t="shared" si="8"/>
        <v>1379.67</v>
      </c>
    </row>
    <row r="62" spans="1:23" s="109" customFormat="1" ht="36" x14ac:dyDescent="0.2">
      <c r="A62" s="97"/>
      <c r="B62" s="116"/>
      <c r="C62" s="123" t="s">
        <v>195</v>
      </c>
      <c r="D62" s="123" t="s">
        <v>127</v>
      </c>
      <c r="E62" s="124" t="s">
        <v>196</v>
      </c>
      <c r="F62" s="125" t="s">
        <v>197</v>
      </c>
      <c r="G62" s="126" t="s">
        <v>138</v>
      </c>
      <c r="H62" s="127">
        <v>1</v>
      </c>
      <c r="I62" s="128">
        <v>499.78</v>
      </c>
      <c r="J62" s="128">
        <v>499.78</v>
      </c>
      <c r="K62" s="206"/>
      <c r="L62" s="210">
        <f t="shared" si="4"/>
        <v>499.78</v>
      </c>
      <c r="M62" s="207">
        <f t="shared" si="5"/>
        <v>0</v>
      </c>
      <c r="N62" s="211">
        <f t="shared" si="6"/>
        <v>1</v>
      </c>
      <c r="O62" s="208">
        <f t="shared" si="7"/>
        <v>499.78</v>
      </c>
      <c r="P62" s="209">
        <f t="shared" si="8"/>
        <v>499.78</v>
      </c>
    </row>
    <row r="63" spans="1:23" s="109" customFormat="1" ht="36" x14ac:dyDescent="0.2">
      <c r="A63" s="97"/>
      <c r="B63" s="116"/>
      <c r="C63" s="123" t="s">
        <v>198</v>
      </c>
      <c r="D63" s="123" t="s">
        <v>127</v>
      </c>
      <c r="E63" s="124" t="s">
        <v>199</v>
      </c>
      <c r="F63" s="125" t="s">
        <v>200</v>
      </c>
      <c r="G63" s="126" t="s">
        <v>138</v>
      </c>
      <c r="H63" s="127">
        <v>1</v>
      </c>
      <c r="I63" s="128">
        <v>847</v>
      </c>
      <c r="J63" s="128">
        <v>847</v>
      </c>
      <c r="K63" s="206"/>
      <c r="L63" s="210">
        <f t="shared" si="4"/>
        <v>847</v>
      </c>
      <c r="M63" s="207">
        <f t="shared" si="5"/>
        <v>0</v>
      </c>
      <c r="N63" s="211">
        <f t="shared" si="6"/>
        <v>1</v>
      </c>
      <c r="O63" s="208">
        <f t="shared" si="7"/>
        <v>847</v>
      </c>
      <c r="P63" s="209">
        <f t="shared" si="8"/>
        <v>847</v>
      </c>
    </row>
    <row r="64" spans="1:23" s="109" customFormat="1" ht="36" x14ac:dyDescent="0.2">
      <c r="A64" s="97"/>
      <c r="B64" s="116"/>
      <c r="C64" s="117" t="s">
        <v>201</v>
      </c>
      <c r="D64" s="117" t="s">
        <v>69</v>
      </c>
      <c r="E64" s="118" t="s">
        <v>202</v>
      </c>
      <c r="F64" s="119" t="s">
        <v>203</v>
      </c>
      <c r="G64" s="120" t="s">
        <v>138</v>
      </c>
      <c r="H64" s="121">
        <v>2</v>
      </c>
      <c r="I64" s="122">
        <v>260.41000000000003</v>
      </c>
      <c r="J64" s="122">
        <v>520.82000000000005</v>
      </c>
      <c r="K64" s="206"/>
      <c r="L64" s="210">
        <f t="shared" si="4"/>
        <v>260.41000000000003</v>
      </c>
      <c r="M64" s="207">
        <f t="shared" si="5"/>
        <v>0</v>
      </c>
      <c r="N64" s="211">
        <f t="shared" si="6"/>
        <v>2</v>
      </c>
      <c r="O64" s="208">
        <f t="shared" si="7"/>
        <v>260.41000000000003</v>
      </c>
      <c r="P64" s="209">
        <f t="shared" si="8"/>
        <v>520.82000000000005</v>
      </c>
    </row>
    <row r="65" spans="1:17" s="109" customFormat="1" ht="36" x14ac:dyDescent="0.2">
      <c r="A65" s="97"/>
      <c r="B65" s="116"/>
      <c r="C65" s="123" t="s">
        <v>204</v>
      </c>
      <c r="D65" s="123" t="s">
        <v>127</v>
      </c>
      <c r="E65" s="124" t="s">
        <v>205</v>
      </c>
      <c r="F65" s="125" t="s">
        <v>206</v>
      </c>
      <c r="G65" s="126" t="s">
        <v>138</v>
      </c>
      <c r="H65" s="127">
        <v>1</v>
      </c>
      <c r="I65" s="128">
        <v>1801.85</v>
      </c>
      <c r="J65" s="128">
        <v>1801.85</v>
      </c>
      <c r="K65" s="206"/>
      <c r="L65" s="210">
        <f t="shared" si="4"/>
        <v>1801.85</v>
      </c>
      <c r="M65" s="207">
        <f t="shared" si="5"/>
        <v>0</v>
      </c>
      <c r="N65" s="211">
        <f t="shared" si="6"/>
        <v>1</v>
      </c>
      <c r="O65" s="208">
        <f t="shared" si="7"/>
        <v>1801.85</v>
      </c>
      <c r="P65" s="209">
        <f t="shared" si="8"/>
        <v>1801.85</v>
      </c>
    </row>
    <row r="66" spans="1:17" s="109" customFormat="1" ht="36" x14ac:dyDescent="0.2">
      <c r="A66" s="97"/>
      <c r="B66" s="116"/>
      <c r="C66" s="123" t="s">
        <v>207</v>
      </c>
      <c r="D66" s="123" t="s">
        <v>127</v>
      </c>
      <c r="E66" s="124" t="s">
        <v>208</v>
      </c>
      <c r="F66" s="125" t="s">
        <v>209</v>
      </c>
      <c r="G66" s="126" t="s">
        <v>138</v>
      </c>
      <c r="H66" s="127">
        <v>1</v>
      </c>
      <c r="I66" s="128">
        <v>1839.99</v>
      </c>
      <c r="J66" s="128">
        <v>1839.99</v>
      </c>
      <c r="K66" s="206"/>
      <c r="L66" s="210">
        <f t="shared" si="4"/>
        <v>1839.99</v>
      </c>
      <c r="M66" s="207">
        <f t="shared" si="5"/>
        <v>0</v>
      </c>
      <c r="N66" s="211">
        <f t="shared" si="6"/>
        <v>1</v>
      </c>
      <c r="O66" s="208">
        <f t="shared" si="7"/>
        <v>1839.99</v>
      </c>
      <c r="P66" s="209">
        <f t="shared" si="8"/>
        <v>1839.99</v>
      </c>
    </row>
    <row r="67" spans="1:17" s="109" customFormat="1" ht="24" x14ac:dyDescent="0.2">
      <c r="A67" s="97"/>
      <c r="B67" s="116"/>
      <c r="C67" s="117" t="s">
        <v>210</v>
      </c>
      <c r="D67" s="117" t="s">
        <v>69</v>
      </c>
      <c r="E67" s="118" t="s">
        <v>211</v>
      </c>
      <c r="F67" s="119" t="s">
        <v>212</v>
      </c>
      <c r="G67" s="120" t="s">
        <v>213</v>
      </c>
      <c r="H67" s="121">
        <v>3</v>
      </c>
      <c r="I67" s="122">
        <v>2564.6799999999998</v>
      </c>
      <c r="J67" s="122">
        <v>7694.04</v>
      </c>
      <c r="K67" s="206">
        <v>0.02</v>
      </c>
      <c r="L67" s="210">
        <f t="shared" si="4"/>
        <v>2564.6799999999998</v>
      </c>
      <c r="M67" s="207">
        <f t="shared" si="5"/>
        <v>51.29</v>
      </c>
      <c r="N67" s="211">
        <f t="shared" si="6"/>
        <v>3.02</v>
      </c>
      <c r="O67" s="208">
        <f t="shared" si="7"/>
        <v>2564.6799999999998</v>
      </c>
      <c r="P67" s="209">
        <f t="shared" si="8"/>
        <v>7745.33</v>
      </c>
    </row>
    <row r="68" spans="1:17" s="109" customFormat="1" ht="24" x14ac:dyDescent="0.2">
      <c r="A68" s="97"/>
      <c r="B68" s="116"/>
      <c r="C68" s="117" t="s">
        <v>214</v>
      </c>
      <c r="D68" s="117" t="s">
        <v>69</v>
      </c>
      <c r="E68" s="118" t="s">
        <v>215</v>
      </c>
      <c r="F68" s="119" t="s">
        <v>216</v>
      </c>
      <c r="G68" s="120" t="s">
        <v>138</v>
      </c>
      <c r="H68" s="121">
        <v>10</v>
      </c>
      <c r="I68" s="122">
        <v>2016.23</v>
      </c>
      <c r="J68" s="122">
        <v>20162.3</v>
      </c>
      <c r="K68" s="206"/>
      <c r="L68" s="210">
        <f t="shared" si="4"/>
        <v>2016.23</v>
      </c>
      <c r="M68" s="207">
        <f t="shared" si="5"/>
        <v>0</v>
      </c>
      <c r="N68" s="211">
        <f t="shared" si="6"/>
        <v>10</v>
      </c>
      <c r="O68" s="208">
        <f t="shared" si="7"/>
        <v>2016.23</v>
      </c>
      <c r="P68" s="209">
        <f t="shared" si="8"/>
        <v>20162.3</v>
      </c>
      <c r="Q68" s="109" t="s">
        <v>1102</v>
      </c>
    </row>
    <row r="69" spans="1:17" s="109" customFormat="1" ht="24" x14ac:dyDescent="0.2">
      <c r="A69" s="97"/>
      <c r="B69" s="116"/>
      <c r="C69" s="123" t="s">
        <v>217</v>
      </c>
      <c r="D69" s="123" t="s">
        <v>127</v>
      </c>
      <c r="E69" s="124" t="s">
        <v>218</v>
      </c>
      <c r="F69" s="125" t="s">
        <v>219</v>
      </c>
      <c r="G69" s="126" t="s">
        <v>138</v>
      </c>
      <c r="H69" s="127">
        <v>4</v>
      </c>
      <c r="I69" s="128">
        <v>14898.16</v>
      </c>
      <c r="J69" s="128">
        <v>59592.639999999999</v>
      </c>
      <c r="K69" s="206"/>
      <c r="L69" s="210">
        <f t="shared" si="4"/>
        <v>14898.16</v>
      </c>
      <c r="M69" s="207">
        <f t="shared" si="5"/>
        <v>0</v>
      </c>
      <c r="N69" s="211">
        <f t="shared" si="6"/>
        <v>4</v>
      </c>
      <c r="O69" s="208">
        <f t="shared" si="7"/>
        <v>14898.16</v>
      </c>
      <c r="P69" s="209">
        <f t="shared" si="8"/>
        <v>59592.639999999999</v>
      </c>
      <c r="Q69" s="109" t="s">
        <v>1102</v>
      </c>
    </row>
    <row r="70" spans="1:17" s="109" customFormat="1" ht="24" x14ac:dyDescent="0.2">
      <c r="A70" s="97"/>
      <c r="B70" s="116"/>
      <c r="C70" s="123" t="s">
        <v>220</v>
      </c>
      <c r="D70" s="123" t="s">
        <v>127</v>
      </c>
      <c r="E70" s="124" t="s">
        <v>221</v>
      </c>
      <c r="F70" s="125" t="s">
        <v>222</v>
      </c>
      <c r="G70" s="126" t="s">
        <v>138</v>
      </c>
      <c r="H70" s="127">
        <v>1</v>
      </c>
      <c r="I70" s="128">
        <v>14898.16</v>
      </c>
      <c r="J70" s="128">
        <v>14898.16</v>
      </c>
      <c r="K70" s="206"/>
      <c r="L70" s="210">
        <f t="shared" si="4"/>
        <v>14898.16</v>
      </c>
      <c r="M70" s="207">
        <f t="shared" si="5"/>
        <v>0</v>
      </c>
      <c r="N70" s="211">
        <f t="shared" si="6"/>
        <v>1</v>
      </c>
      <c r="O70" s="208">
        <f t="shared" si="7"/>
        <v>14898.16</v>
      </c>
      <c r="P70" s="209">
        <f t="shared" si="8"/>
        <v>14898.16</v>
      </c>
    </row>
    <row r="71" spans="1:17" s="109" customFormat="1" ht="24" x14ac:dyDescent="0.2">
      <c r="A71" s="97"/>
      <c r="B71" s="116"/>
      <c r="C71" s="123" t="s">
        <v>223</v>
      </c>
      <c r="D71" s="123" t="s">
        <v>127</v>
      </c>
      <c r="E71" s="124" t="s">
        <v>224</v>
      </c>
      <c r="F71" s="125" t="s">
        <v>225</v>
      </c>
      <c r="G71" s="126" t="s">
        <v>138</v>
      </c>
      <c r="H71" s="127">
        <v>5</v>
      </c>
      <c r="I71" s="128">
        <v>1530.92</v>
      </c>
      <c r="J71" s="128">
        <v>7654.6</v>
      </c>
      <c r="K71" s="206"/>
      <c r="L71" s="210">
        <f t="shared" si="4"/>
        <v>1530.92</v>
      </c>
      <c r="M71" s="207">
        <f t="shared" si="5"/>
        <v>0</v>
      </c>
      <c r="N71" s="211">
        <f t="shared" si="6"/>
        <v>5</v>
      </c>
      <c r="O71" s="208">
        <f t="shared" si="7"/>
        <v>1530.92</v>
      </c>
      <c r="P71" s="209">
        <f t="shared" si="8"/>
        <v>7654.6</v>
      </c>
      <c r="Q71" s="109" t="s">
        <v>1102</v>
      </c>
    </row>
    <row r="72" spans="1:17" s="109" customFormat="1" ht="24" x14ac:dyDescent="0.2">
      <c r="A72" s="97"/>
      <c r="B72" s="116"/>
      <c r="C72" s="123" t="s">
        <v>226</v>
      </c>
      <c r="D72" s="123" t="s">
        <v>127</v>
      </c>
      <c r="E72" s="124" t="s">
        <v>227</v>
      </c>
      <c r="F72" s="125" t="s">
        <v>228</v>
      </c>
      <c r="G72" s="126" t="s">
        <v>138</v>
      </c>
      <c r="H72" s="127">
        <v>3</v>
      </c>
      <c r="I72" s="128">
        <v>775.98</v>
      </c>
      <c r="J72" s="128">
        <v>2327.94</v>
      </c>
      <c r="K72" s="206"/>
      <c r="L72" s="210">
        <f t="shared" si="4"/>
        <v>775.98</v>
      </c>
      <c r="M72" s="207">
        <f t="shared" si="5"/>
        <v>0</v>
      </c>
      <c r="N72" s="211">
        <f t="shared" si="6"/>
        <v>3</v>
      </c>
      <c r="O72" s="208">
        <f t="shared" si="7"/>
        <v>775.98</v>
      </c>
      <c r="P72" s="209">
        <f t="shared" si="8"/>
        <v>2327.94</v>
      </c>
      <c r="Q72" s="109" t="s">
        <v>1102</v>
      </c>
    </row>
    <row r="73" spans="1:17" s="109" customFormat="1" ht="24" x14ac:dyDescent="0.2">
      <c r="A73" s="97"/>
      <c r="B73" s="116"/>
      <c r="C73" s="123" t="s">
        <v>229</v>
      </c>
      <c r="D73" s="123" t="s">
        <v>127</v>
      </c>
      <c r="E73" s="124" t="s">
        <v>230</v>
      </c>
      <c r="F73" s="125" t="s">
        <v>231</v>
      </c>
      <c r="G73" s="126" t="s">
        <v>138</v>
      </c>
      <c r="H73" s="127">
        <v>5</v>
      </c>
      <c r="I73" s="128">
        <v>1202.1099999999999</v>
      </c>
      <c r="J73" s="128">
        <v>6010.55</v>
      </c>
      <c r="K73" s="206"/>
      <c r="L73" s="210">
        <f t="shared" si="4"/>
        <v>1202.1099999999999</v>
      </c>
      <c r="M73" s="207">
        <f t="shared" si="5"/>
        <v>0</v>
      </c>
      <c r="N73" s="211">
        <f t="shared" si="6"/>
        <v>5</v>
      </c>
      <c r="O73" s="208">
        <f t="shared" si="7"/>
        <v>1202.1099999999999</v>
      </c>
      <c r="P73" s="209">
        <f t="shared" si="8"/>
        <v>6010.55</v>
      </c>
      <c r="Q73" s="109" t="s">
        <v>1102</v>
      </c>
    </row>
    <row r="74" spans="1:17" s="109" customFormat="1" ht="24" x14ac:dyDescent="0.2">
      <c r="A74" s="97"/>
      <c r="B74" s="116"/>
      <c r="C74" s="123" t="s">
        <v>232</v>
      </c>
      <c r="D74" s="123" t="s">
        <v>127</v>
      </c>
      <c r="E74" s="124" t="s">
        <v>233</v>
      </c>
      <c r="F74" s="125" t="s">
        <v>234</v>
      </c>
      <c r="G74" s="126" t="s">
        <v>138</v>
      </c>
      <c r="H74" s="127">
        <v>1</v>
      </c>
      <c r="I74" s="128">
        <v>2648.85</v>
      </c>
      <c r="J74" s="128">
        <v>2648.85</v>
      </c>
      <c r="K74" s="206"/>
      <c r="L74" s="210">
        <f t="shared" si="4"/>
        <v>2648.85</v>
      </c>
      <c r="M74" s="207">
        <f t="shared" si="5"/>
        <v>0</v>
      </c>
      <c r="N74" s="211">
        <f t="shared" si="6"/>
        <v>1</v>
      </c>
      <c r="O74" s="208">
        <f t="shared" si="7"/>
        <v>2648.85</v>
      </c>
      <c r="P74" s="209">
        <f t="shared" si="8"/>
        <v>2648.85</v>
      </c>
    </row>
    <row r="75" spans="1:17" s="109" customFormat="1" ht="24" x14ac:dyDescent="0.2">
      <c r="A75" s="97"/>
      <c r="B75" s="116"/>
      <c r="C75" s="123" t="s">
        <v>235</v>
      </c>
      <c r="D75" s="123" t="s">
        <v>127</v>
      </c>
      <c r="E75" s="124" t="s">
        <v>236</v>
      </c>
      <c r="F75" s="125" t="s">
        <v>237</v>
      </c>
      <c r="G75" s="126" t="s">
        <v>138</v>
      </c>
      <c r="H75" s="127">
        <v>14</v>
      </c>
      <c r="I75" s="128">
        <v>211.75</v>
      </c>
      <c r="J75" s="128">
        <v>2964.5</v>
      </c>
      <c r="K75" s="206"/>
      <c r="L75" s="210">
        <f t="shared" si="4"/>
        <v>211.75</v>
      </c>
      <c r="M75" s="207">
        <f t="shared" si="5"/>
        <v>0</v>
      </c>
      <c r="N75" s="211">
        <f t="shared" si="6"/>
        <v>14</v>
      </c>
      <c r="O75" s="208">
        <f t="shared" si="7"/>
        <v>211.75</v>
      </c>
      <c r="P75" s="209">
        <f t="shared" si="8"/>
        <v>2964.5</v>
      </c>
      <c r="Q75" s="109" t="s">
        <v>1102</v>
      </c>
    </row>
    <row r="76" spans="1:17" s="109" customFormat="1" ht="36" x14ac:dyDescent="0.2">
      <c r="A76" s="97"/>
      <c r="B76" s="116"/>
      <c r="C76" s="117" t="s">
        <v>238</v>
      </c>
      <c r="D76" s="117" t="s">
        <v>69</v>
      </c>
      <c r="E76" s="118" t="s">
        <v>239</v>
      </c>
      <c r="F76" s="119" t="s">
        <v>240</v>
      </c>
      <c r="G76" s="120" t="s">
        <v>138</v>
      </c>
      <c r="H76" s="121">
        <v>5</v>
      </c>
      <c r="I76" s="122">
        <v>5935.59</v>
      </c>
      <c r="J76" s="122">
        <v>29677.95</v>
      </c>
      <c r="K76" s="206"/>
      <c r="L76" s="210">
        <f t="shared" si="4"/>
        <v>5935.59</v>
      </c>
      <c r="M76" s="207">
        <f t="shared" si="5"/>
        <v>0</v>
      </c>
      <c r="N76" s="211">
        <f t="shared" si="6"/>
        <v>5</v>
      </c>
      <c r="O76" s="208">
        <f t="shared" si="7"/>
        <v>5935.59</v>
      </c>
      <c r="P76" s="209">
        <f t="shared" si="8"/>
        <v>29677.95</v>
      </c>
      <c r="Q76" s="109" t="s">
        <v>1102</v>
      </c>
    </row>
    <row r="77" spans="1:17" s="109" customFormat="1" ht="24" x14ac:dyDescent="0.2">
      <c r="A77" s="97"/>
      <c r="B77" s="116"/>
      <c r="C77" s="117" t="s">
        <v>241</v>
      </c>
      <c r="D77" s="117" t="s">
        <v>69</v>
      </c>
      <c r="E77" s="118" t="s">
        <v>242</v>
      </c>
      <c r="F77" s="119" t="s">
        <v>243</v>
      </c>
      <c r="G77" s="120" t="s">
        <v>138</v>
      </c>
      <c r="H77" s="121">
        <v>5</v>
      </c>
      <c r="I77" s="122">
        <v>485.32</v>
      </c>
      <c r="J77" s="122">
        <v>2426.6</v>
      </c>
      <c r="K77" s="206"/>
      <c r="L77" s="210">
        <f t="shared" si="4"/>
        <v>485.32</v>
      </c>
      <c r="M77" s="207">
        <f t="shared" si="5"/>
        <v>0</v>
      </c>
      <c r="N77" s="211">
        <f t="shared" si="6"/>
        <v>5</v>
      </c>
      <c r="O77" s="208">
        <f t="shared" si="7"/>
        <v>485.32</v>
      </c>
      <c r="P77" s="209">
        <f t="shared" si="8"/>
        <v>2426.6</v>
      </c>
    </row>
    <row r="78" spans="1:17" s="109" customFormat="1" ht="24" x14ac:dyDescent="0.2">
      <c r="A78" s="97"/>
      <c r="B78" s="116"/>
      <c r="C78" s="123" t="s">
        <v>244</v>
      </c>
      <c r="D78" s="123" t="s">
        <v>127</v>
      </c>
      <c r="E78" s="124" t="s">
        <v>245</v>
      </c>
      <c r="F78" s="125" t="s">
        <v>246</v>
      </c>
      <c r="G78" s="126" t="s">
        <v>138</v>
      </c>
      <c r="H78" s="127">
        <v>2</v>
      </c>
      <c r="I78" s="128">
        <v>6510.34</v>
      </c>
      <c r="J78" s="128">
        <v>13020.68</v>
      </c>
      <c r="K78" s="206"/>
      <c r="L78" s="210">
        <f t="shared" si="4"/>
        <v>6510.34</v>
      </c>
      <c r="M78" s="207">
        <f t="shared" si="5"/>
        <v>0</v>
      </c>
      <c r="N78" s="211">
        <f t="shared" si="6"/>
        <v>2</v>
      </c>
      <c r="O78" s="208">
        <f t="shared" si="7"/>
        <v>6510.34</v>
      </c>
      <c r="P78" s="209">
        <f t="shared" si="8"/>
        <v>13020.68</v>
      </c>
    </row>
    <row r="79" spans="1:17" s="109" customFormat="1" ht="24" x14ac:dyDescent="0.2">
      <c r="A79" s="97"/>
      <c r="B79" s="116"/>
      <c r="C79" s="123" t="s">
        <v>247</v>
      </c>
      <c r="D79" s="123" t="s">
        <v>127</v>
      </c>
      <c r="E79" s="124" t="s">
        <v>248</v>
      </c>
      <c r="F79" s="125" t="s">
        <v>249</v>
      </c>
      <c r="G79" s="126" t="s">
        <v>138</v>
      </c>
      <c r="H79" s="127">
        <v>2</v>
      </c>
      <c r="I79" s="128">
        <v>6510.34</v>
      </c>
      <c r="J79" s="128">
        <v>13020.68</v>
      </c>
      <c r="K79" s="206"/>
      <c r="L79" s="210">
        <f t="shared" si="4"/>
        <v>6510.34</v>
      </c>
      <c r="M79" s="207">
        <f t="shared" si="5"/>
        <v>0</v>
      </c>
      <c r="N79" s="211">
        <f t="shared" si="6"/>
        <v>2</v>
      </c>
      <c r="O79" s="208">
        <f t="shared" si="7"/>
        <v>6510.34</v>
      </c>
      <c r="P79" s="209">
        <f t="shared" si="8"/>
        <v>13020.68</v>
      </c>
    </row>
    <row r="80" spans="1:17" s="109" customFormat="1" ht="24" x14ac:dyDescent="0.2">
      <c r="A80" s="97"/>
      <c r="B80" s="116"/>
      <c r="C80" s="123" t="s">
        <v>250</v>
      </c>
      <c r="D80" s="123" t="s">
        <v>127</v>
      </c>
      <c r="E80" s="124" t="s">
        <v>251</v>
      </c>
      <c r="F80" s="125" t="s">
        <v>252</v>
      </c>
      <c r="G80" s="126" t="s">
        <v>138</v>
      </c>
      <c r="H80" s="127">
        <v>1</v>
      </c>
      <c r="I80" s="128">
        <v>6510.34</v>
      </c>
      <c r="J80" s="128">
        <v>6510.34</v>
      </c>
      <c r="K80" s="206"/>
      <c r="L80" s="210">
        <f t="shared" ref="L80:L96" si="9">I80</f>
        <v>6510.34</v>
      </c>
      <c r="M80" s="207">
        <f t="shared" ref="M80:M96" si="10">ROUND(K80*L80,2)</f>
        <v>0</v>
      </c>
      <c r="N80" s="211">
        <f t="shared" si="6"/>
        <v>1</v>
      </c>
      <c r="O80" s="208">
        <f t="shared" si="7"/>
        <v>6510.34</v>
      </c>
      <c r="P80" s="209">
        <f t="shared" si="8"/>
        <v>6510.34</v>
      </c>
    </row>
    <row r="81" spans="1:16" s="109" customFormat="1" ht="24" x14ac:dyDescent="0.2">
      <c r="A81" s="97"/>
      <c r="B81" s="116"/>
      <c r="C81" s="117" t="s">
        <v>253</v>
      </c>
      <c r="D81" s="117" t="s">
        <v>69</v>
      </c>
      <c r="E81" s="118" t="s">
        <v>254</v>
      </c>
      <c r="F81" s="119" t="s">
        <v>255</v>
      </c>
      <c r="G81" s="120" t="s">
        <v>62</v>
      </c>
      <c r="H81" s="121">
        <v>22.18</v>
      </c>
      <c r="I81" s="122">
        <v>3059.28</v>
      </c>
      <c r="J81" s="122">
        <v>67854.83</v>
      </c>
      <c r="K81" s="206">
        <v>0.12</v>
      </c>
      <c r="L81" s="210">
        <f t="shared" si="9"/>
        <v>3059.28</v>
      </c>
      <c r="M81" s="207">
        <f t="shared" si="10"/>
        <v>367.11</v>
      </c>
      <c r="N81" s="211">
        <f t="shared" si="6"/>
        <v>22.3</v>
      </c>
      <c r="O81" s="208">
        <f t="shared" si="7"/>
        <v>3059.28</v>
      </c>
      <c r="P81" s="209">
        <f t="shared" si="8"/>
        <v>68221.94</v>
      </c>
    </row>
    <row r="82" spans="1:16" s="109" customFormat="1" ht="48" x14ac:dyDescent="0.2">
      <c r="A82" s="97"/>
      <c r="B82" s="116"/>
      <c r="C82" s="117" t="s">
        <v>256</v>
      </c>
      <c r="D82" s="117" t="s">
        <v>69</v>
      </c>
      <c r="E82" s="118" t="s">
        <v>257</v>
      </c>
      <c r="F82" s="119" t="s">
        <v>258</v>
      </c>
      <c r="G82" s="120" t="s">
        <v>138</v>
      </c>
      <c r="H82" s="121">
        <v>1</v>
      </c>
      <c r="I82" s="122">
        <v>35621.4</v>
      </c>
      <c r="J82" s="122">
        <v>35621.4</v>
      </c>
      <c r="K82" s="206"/>
      <c r="L82" s="210">
        <f t="shared" si="9"/>
        <v>35621.4</v>
      </c>
      <c r="M82" s="207">
        <f t="shared" si="10"/>
        <v>0</v>
      </c>
      <c r="N82" s="211">
        <f t="shared" si="6"/>
        <v>1</v>
      </c>
      <c r="O82" s="208">
        <f t="shared" si="7"/>
        <v>35621.4</v>
      </c>
      <c r="P82" s="209">
        <f t="shared" si="8"/>
        <v>35621.4</v>
      </c>
    </row>
    <row r="83" spans="1:16" s="109" customFormat="1" ht="24" x14ac:dyDescent="0.2">
      <c r="A83" s="97"/>
      <c r="B83" s="116"/>
      <c r="C83" s="117" t="s">
        <v>259</v>
      </c>
      <c r="D83" s="117" t="s">
        <v>69</v>
      </c>
      <c r="E83" s="118" t="s">
        <v>260</v>
      </c>
      <c r="F83" s="119" t="s">
        <v>261</v>
      </c>
      <c r="G83" s="120" t="s">
        <v>72</v>
      </c>
      <c r="H83" s="121">
        <v>4.5</v>
      </c>
      <c r="I83" s="122">
        <v>442.69</v>
      </c>
      <c r="J83" s="122">
        <v>1992.11</v>
      </c>
      <c r="K83" s="206">
        <v>0.02</v>
      </c>
      <c r="L83" s="210">
        <f t="shared" si="9"/>
        <v>442.69</v>
      </c>
      <c r="M83" s="207">
        <f t="shared" si="10"/>
        <v>8.85</v>
      </c>
      <c r="N83" s="211">
        <f t="shared" si="6"/>
        <v>4.5199999999999996</v>
      </c>
      <c r="O83" s="208">
        <f t="shared" si="7"/>
        <v>442.69</v>
      </c>
      <c r="P83" s="209">
        <f t="shared" si="8"/>
        <v>2000.96</v>
      </c>
    </row>
    <row r="84" spans="1:16" s="109" customFormat="1" ht="24" x14ac:dyDescent="0.2">
      <c r="A84" s="97"/>
      <c r="B84" s="116"/>
      <c r="C84" s="117" t="s">
        <v>262</v>
      </c>
      <c r="D84" s="117" t="s">
        <v>69</v>
      </c>
      <c r="E84" s="118" t="s">
        <v>263</v>
      </c>
      <c r="F84" s="119" t="s">
        <v>264</v>
      </c>
      <c r="G84" s="120" t="s">
        <v>62</v>
      </c>
      <c r="H84" s="121">
        <v>0.9</v>
      </c>
      <c r="I84" s="122">
        <v>3186.85</v>
      </c>
      <c r="J84" s="122">
        <v>2868.17</v>
      </c>
      <c r="K84" s="206"/>
      <c r="L84" s="210">
        <f t="shared" si="9"/>
        <v>3186.85</v>
      </c>
      <c r="M84" s="207">
        <f t="shared" si="10"/>
        <v>0</v>
      </c>
      <c r="N84" s="211">
        <f t="shared" ref="N84:N96" si="11">H84+K84</f>
        <v>0.9</v>
      </c>
      <c r="O84" s="208">
        <f t="shared" si="7"/>
        <v>3186.85</v>
      </c>
      <c r="P84" s="209">
        <f t="shared" si="8"/>
        <v>2868.17</v>
      </c>
    </row>
    <row r="85" spans="1:16" s="109" customFormat="1" ht="24" x14ac:dyDescent="0.2">
      <c r="A85" s="97"/>
      <c r="B85" s="116"/>
      <c r="C85" s="117" t="s">
        <v>265</v>
      </c>
      <c r="D85" s="117" t="s">
        <v>69</v>
      </c>
      <c r="E85" s="118" t="s">
        <v>266</v>
      </c>
      <c r="F85" s="119" t="s">
        <v>267</v>
      </c>
      <c r="G85" s="120" t="s">
        <v>61</v>
      </c>
      <c r="H85" s="121">
        <v>140.13999999999999</v>
      </c>
      <c r="I85" s="122">
        <v>9.2100000000000009</v>
      </c>
      <c r="J85" s="122">
        <v>1290.69</v>
      </c>
      <c r="K85" s="206">
        <v>0.76</v>
      </c>
      <c r="L85" s="210">
        <f t="shared" si="9"/>
        <v>9.2100000000000009</v>
      </c>
      <c r="M85" s="207">
        <f t="shared" si="10"/>
        <v>7</v>
      </c>
      <c r="N85" s="211">
        <f t="shared" si="11"/>
        <v>140.89999999999998</v>
      </c>
      <c r="O85" s="208">
        <f t="shared" si="7"/>
        <v>9.2100000000000009</v>
      </c>
      <c r="P85" s="209">
        <f t="shared" si="8"/>
        <v>1297.69</v>
      </c>
    </row>
    <row r="86" spans="1:16" s="110" customFormat="1" ht="12.75" x14ac:dyDescent="0.2">
      <c r="C86" s="224"/>
      <c r="D86" s="225" t="s">
        <v>3</v>
      </c>
      <c r="E86" s="226" t="s">
        <v>93</v>
      </c>
      <c r="F86" s="226" t="s">
        <v>268</v>
      </c>
      <c r="G86" s="224"/>
      <c r="H86" s="224"/>
      <c r="I86" s="224"/>
      <c r="J86" s="227">
        <v>28338.09</v>
      </c>
      <c r="K86" s="228"/>
      <c r="L86" s="229"/>
      <c r="M86" s="241">
        <f>SUM(M87:M90)</f>
        <v>0</v>
      </c>
      <c r="N86" s="242"/>
      <c r="O86" s="243"/>
      <c r="P86" s="241">
        <f>SUM(P87:P90)</f>
        <v>28338.09</v>
      </c>
    </row>
    <row r="87" spans="1:16" s="109" customFormat="1" ht="48" x14ac:dyDescent="0.2">
      <c r="A87" s="97"/>
      <c r="B87" s="116"/>
      <c r="C87" s="117" t="s">
        <v>269</v>
      </c>
      <c r="D87" s="117" t="s">
        <v>69</v>
      </c>
      <c r="E87" s="118" t="s">
        <v>270</v>
      </c>
      <c r="F87" s="119" t="s">
        <v>271</v>
      </c>
      <c r="G87" s="120" t="s">
        <v>61</v>
      </c>
      <c r="H87" s="121">
        <v>84.32</v>
      </c>
      <c r="I87" s="122">
        <v>87.65</v>
      </c>
      <c r="J87" s="122">
        <v>7390.65</v>
      </c>
      <c r="K87" s="206"/>
      <c r="L87" s="210">
        <f t="shared" si="9"/>
        <v>87.65</v>
      </c>
      <c r="M87" s="207">
        <f t="shared" si="10"/>
        <v>0</v>
      </c>
      <c r="N87" s="211">
        <f t="shared" si="11"/>
        <v>84.32</v>
      </c>
      <c r="O87" s="208">
        <f t="shared" si="7"/>
        <v>87.65</v>
      </c>
      <c r="P87" s="209">
        <f t="shared" si="8"/>
        <v>7390.65</v>
      </c>
    </row>
    <row r="88" spans="1:16" s="109" customFormat="1" ht="36" x14ac:dyDescent="0.2">
      <c r="A88" s="97"/>
      <c r="B88" s="116"/>
      <c r="C88" s="117" t="s">
        <v>272</v>
      </c>
      <c r="D88" s="117" t="s">
        <v>69</v>
      </c>
      <c r="E88" s="118" t="s">
        <v>273</v>
      </c>
      <c r="F88" s="119" t="s">
        <v>274</v>
      </c>
      <c r="G88" s="120" t="s">
        <v>61</v>
      </c>
      <c r="H88" s="121">
        <v>168.64</v>
      </c>
      <c r="I88" s="122">
        <v>32.22</v>
      </c>
      <c r="J88" s="122">
        <v>5433.58</v>
      </c>
      <c r="K88" s="206"/>
      <c r="L88" s="210">
        <f t="shared" si="9"/>
        <v>32.22</v>
      </c>
      <c r="M88" s="207">
        <f t="shared" si="10"/>
        <v>0</v>
      </c>
      <c r="N88" s="211">
        <f t="shared" si="11"/>
        <v>168.64</v>
      </c>
      <c r="O88" s="208">
        <f t="shared" si="7"/>
        <v>32.22</v>
      </c>
      <c r="P88" s="209">
        <f t="shared" si="8"/>
        <v>5433.58</v>
      </c>
    </row>
    <row r="89" spans="1:16" s="109" customFormat="1" ht="24" x14ac:dyDescent="0.2">
      <c r="A89" s="97"/>
      <c r="B89" s="116"/>
      <c r="C89" s="117" t="s">
        <v>275</v>
      </c>
      <c r="D89" s="117" t="s">
        <v>69</v>
      </c>
      <c r="E89" s="118" t="s">
        <v>276</v>
      </c>
      <c r="F89" s="119" t="s">
        <v>277</v>
      </c>
      <c r="G89" s="120" t="s">
        <v>61</v>
      </c>
      <c r="H89" s="121">
        <v>168.64</v>
      </c>
      <c r="I89" s="122">
        <v>72.34</v>
      </c>
      <c r="J89" s="122">
        <v>12199.42</v>
      </c>
      <c r="K89" s="206"/>
      <c r="L89" s="210">
        <f t="shared" si="9"/>
        <v>72.34</v>
      </c>
      <c r="M89" s="207">
        <f t="shared" si="10"/>
        <v>0</v>
      </c>
      <c r="N89" s="211">
        <f t="shared" si="11"/>
        <v>168.64</v>
      </c>
      <c r="O89" s="208">
        <f t="shared" si="7"/>
        <v>72.34</v>
      </c>
      <c r="P89" s="209">
        <f t="shared" si="8"/>
        <v>12199.42</v>
      </c>
    </row>
    <row r="90" spans="1:16" s="109" customFormat="1" ht="48" x14ac:dyDescent="0.2">
      <c r="A90" s="97"/>
      <c r="B90" s="116"/>
      <c r="C90" s="117" t="s">
        <v>278</v>
      </c>
      <c r="D90" s="117" t="s">
        <v>69</v>
      </c>
      <c r="E90" s="118" t="s">
        <v>279</v>
      </c>
      <c r="F90" s="119" t="s">
        <v>280</v>
      </c>
      <c r="G90" s="120" t="s">
        <v>138</v>
      </c>
      <c r="H90" s="121">
        <v>2</v>
      </c>
      <c r="I90" s="122">
        <v>1657.22</v>
      </c>
      <c r="J90" s="122">
        <v>3314.44</v>
      </c>
      <c r="K90" s="206"/>
      <c r="L90" s="210">
        <f t="shared" si="9"/>
        <v>1657.22</v>
      </c>
      <c r="M90" s="207">
        <f t="shared" si="10"/>
        <v>0</v>
      </c>
      <c r="N90" s="211">
        <f t="shared" si="11"/>
        <v>2</v>
      </c>
      <c r="O90" s="208">
        <f t="shared" si="7"/>
        <v>1657.22</v>
      </c>
      <c r="P90" s="209">
        <f t="shared" si="8"/>
        <v>3314.44</v>
      </c>
    </row>
    <row r="91" spans="1:16" s="110" customFormat="1" ht="12.75" x14ac:dyDescent="0.2">
      <c r="C91" s="224"/>
      <c r="D91" s="225" t="s">
        <v>3</v>
      </c>
      <c r="E91" s="226" t="s">
        <v>281</v>
      </c>
      <c r="F91" s="226" t="s">
        <v>282</v>
      </c>
      <c r="G91" s="224"/>
      <c r="H91" s="224"/>
      <c r="I91" s="224"/>
      <c r="J91" s="227">
        <v>29629.239999999998</v>
      </c>
      <c r="K91" s="228"/>
      <c r="L91" s="229"/>
      <c r="M91" s="241">
        <f>SUM(M92:M94)</f>
        <v>142.25</v>
      </c>
      <c r="N91" s="242"/>
      <c r="O91" s="243"/>
      <c r="P91" s="241">
        <f>SUM(P92:P94)</f>
        <v>29771.48</v>
      </c>
    </row>
    <row r="92" spans="1:16" s="109" customFormat="1" ht="36" x14ac:dyDescent="0.2">
      <c r="A92" s="97"/>
      <c r="B92" s="116"/>
      <c r="C92" s="117" t="s">
        <v>283</v>
      </c>
      <c r="D92" s="117" t="s">
        <v>69</v>
      </c>
      <c r="E92" s="118" t="s">
        <v>284</v>
      </c>
      <c r="F92" s="119" t="s">
        <v>285</v>
      </c>
      <c r="G92" s="120" t="s">
        <v>120</v>
      </c>
      <c r="H92" s="121">
        <v>108.748</v>
      </c>
      <c r="I92" s="122">
        <v>104.78</v>
      </c>
      <c r="J92" s="122">
        <v>11394.62</v>
      </c>
      <c r="K92" s="206">
        <v>0.59</v>
      </c>
      <c r="L92" s="210">
        <f t="shared" si="9"/>
        <v>104.78</v>
      </c>
      <c r="M92" s="207">
        <f t="shared" si="10"/>
        <v>61.82</v>
      </c>
      <c r="N92" s="211">
        <f t="shared" si="11"/>
        <v>109.33800000000001</v>
      </c>
      <c r="O92" s="208">
        <f t="shared" si="7"/>
        <v>104.78</v>
      </c>
      <c r="P92" s="209">
        <f t="shared" si="8"/>
        <v>11456.44</v>
      </c>
    </row>
    <row r="93" spans="1:16" s="109" customFormat="1" ht="48" x14ac:dyDescent="0.2">
      <c r="A93" s="97"/>
      <c r="B93" s="116"/>
      <c r="C93" s="117" t="s">
        <v>286</v>
      </c>
      <c r="D93" s="117" t="s">
        <v>69</v>
      </c>
      <c r="E93" s="118" t="s">
        <v>287</v>
      </c>
      <c r="F93" s="119" t="s">
        <v>288</v>
      </c>
      <c r="G93" s="120" t="s">
        <v>120</v>
      </c>
      <c r="H93" s="121">
        <v>13.718999999999999</v>
      </c>
      <c r="I93" s="122">
        <v>257.77999999999997</v>
      </c>
      <c r="J93" s="122">
        <v>3536.48</v>
      </c>
      <c r="K93" s="206"/>
      <c r="L93" s="210">
        <f t="shared" si="9"/>
        <v>257.77999999999997</v>
      </c>
      <c r="M93" s="207">
        <f t="shared" si="10"/>
        <v>0</v>
      </c>
      <c r="N93" s="211">
        <f t="shared" si="11"/>
        <v>13.718999999999999</v>
      </c>
      <c r="O93" s="208">
        <f t="shared" si="7"/>
        <v>257.77999999999997</v>
      </c>
      <c r="P93" s="209">
        <f t="shared" si="8"/>
        <v>3536.48</v>
      </c>
    </row>
    <row r="94" spans="1:16" s="109" customFormat="1" ht="36" x14ac:dyDescent="0.2">
      <c r="A94" s="97"/>
      <c r="B94" s="116"/>
      <c r="C94" s="117" t="s">
        <v>289</v>
      </c>
      <c r="D94" s="117" t="s">
        <v>69</v>
      </c>
      <c r="E94" s="118" t="s">
        <v>290</v>
      </c>
      <c r="F94" s="119" t="s">
        <v>119</v>
      </c>
      <c r="G94" s="120" t="s">
        <v>120</v>
      </c>
      <c r="H94" s="121">
        <v>95.028999999999996</v>
      </c>
      <c r="I94" s="122">
        <v>154.66999999999999</v>
      </c>
      <c r="J94" s="122">
        <v>14698.14</v>
      </c>
      <c r="K94" s="206">
        <v>0.52</v>
      </c>
      <c r="L94" s="210">
        <f t="shared" si="9"/>
        <v>154.66999999999999</v>
      </c>
      <c r="M94" s="207">
        <f t="shared" si="10"/>
        <v>80.430000000000007</v>
      </c>
      <c r="N94" s="211">
        <f t="shared" si="11"/>
        <v>95.548999999999992</v>
      </c>
      <c r="O94" s="208">
        <f t="shared" si="7"/>
        <v>154.66999999999999</v>
      </c>
      <c r="P94" s="209">
        <f t="shared" si="8"/>
        <v>14778.56</v>
      </c>
    </row>
    <row r="95" spans="1:16" s="110" customFormat="1" ht="12.75" x14ac:dyDescent="0.2">
      <c r="C95" s="224"/>
      <c r="D95" s="225" t="s">
        <v>3</v>
      </c>
      <c r="E95" s="226" t="s">
        <v>291</v>
      </c>
      <c r="F95" s="226" t="s">
        <v>292</v>
      </c>
      <c r="G95" s="224"/>
      <c r="H95" s="224"/>
      <c r="I95" s="224"/>
      <c r="J95" s="227">
        <v>7790.29</v>
      </c>
      <c r="K95" s="228"/>
      <c r="L95" s="229"/>
      <c r="M95" s="241">
        <f>M96</f>
        <v>42.34</v>
      </c>
      <c r="N95" s="242"/>
      <c r="O95" s="243"/>
      <c r="P95" s="244">
        <f>P96</f>
        <v>7832.62</v>
      </c>
    </row>
    <row r="96" spans="1:16" s="109" customFormat="1" ht="36" x14ac:dyDescent="0.2">
      <c r="A96" s="97"/>
      <c r="B96" s="116"/>
      <c r="C96" s="117" t="s">
        <v>293</v>
      </c>
      <c r="D96" s="117" t="s">
        <v>69</v>
      </c>
      <c r="E96" s="118" t="s">
        <v>294</v>
      </c>
      <c r="F96" s="119" t="s">
        <v>295</v>
      </c>
      <c r="G96" s="120" t="s">
        <v>120</v>
      </c>
      <c r="H96" s="121">
        <v>68.084999999999994</v>
      </c>
      <c r="I96" s="122">
        <v>114.42</v>
      </c>
      <c r="J96" s="122">
        <v>7790.29</v>
      </c>
      <c r="K96" s="206">
        <v>0.37</v>
      </c>
      <c r="L96" s="210">
        <f t="shared" si="9"/>
        <v>114.42</v>
      </c>
      <c r="M96" s="207">
        <f t="shared" si="10"/>
        <v>42.34</v>
      </c>
      <c r="N96" s="211">
        <f t="shared" si="11"/>
        <v>68.454999999999998</v>
      </c>
      <c r="O96" s="208">
        <f t="shared" si="7"/>
        <v>114.42</v>
      </c>
      <c r="P96" s="209">
        <f t="shared" si="8"/>
        <v>7832.62</v>
      </c>
    </row>
    <row r="97" spans="1:16" s="109" customFormat="1" x14ac:dyDescent="0.2">
      <c r="A97" s="97"/>
      <c r="B97" s="97"/>
      <c r="C97" s="97"/>
      <c r="D97" s="97"/>
      <c r="E97" s="97"/>
      <c r="F97" s="97"/>
      <c r="G97" s="97"/>
      <c r="H97" s="97"/>
      <c r="I97" s="97"/>
      <c r="J97" s="97"/>
      <c r="M97" s="187" t="s">
        <v>1000</v>
      </c>
    </row>
    <row r="98" spans="1:16" ht="12.75" x14ac:dyDescent="0.2">
      <c r="D98" s="89"/>
      <c r="E98" s="141" t="str">
        <f>CONCATENATE("CELKEM ",C12)</f>
        <v xml:space="preserve">CELKEM 01 - SO 01.A - Stoka A.0 </v>
      </c>
      <c r="F98" s="90"/>
      <c r="G98" s="90"/>
      <c r="H98" s="91"/>
      <c r="I98" s="90"/>
      <c r="J98" s="92">
        <v>1307362.58</v>
      </c>
      <c r="K98" s="93"/>
      <c r="L98" s="147"/>
      <c r="M98" s="147">
        <f t="shared" ref="M98" si="12">M95+M91+M86+M57+M47+M40+M38+M14</f>
        <v>4777.9699999999993</v>
      </c>
      <c r="N98" s="147"/>
      <c r="O98" s="147"/>
      <c r="P98" s="147">
        <f>P95+P91+P86+P57+P47+P40+P38+P14</f>
        <v>1312140.52</v>
      </c>
    </row>
    <row r="99" spans="1:16" x14ac:dyDescent="0.2">
      <c r="I99" s="95"/>
      <c r="M99" s="186" t="s">
        <v>1000</v>
      </c>
    </row>
    <row r="100" spans="1:16" ht="14.25" x14ac:dyDescent="0.2">
      <c r="E100" s="58"/>
      <c r="F100" s="58"/>
      <c r="H100" s="96"/>
      <c r="J100" s="161"/>
      <c r="K100" s="62"/>
      <c r="L100" s="62"/>
      <c r="M100" s="186"/>
      <c r="O100" s="58"/>
    </row>
  </sheetData>
  <protectedRanges>
    <protectedRange password="CCAA" sqref="O8 K8" name="Oblast1_1_1_1"/>
    <protectedRange password="CCAA" sqref="D9:H10" name="Oblast1_2_1"/>
  </protectedRanges>
  <autoFilter ref="C10:P96" xr:uid="{081E6593-4A60-49FC-90E0-71243104A5B0}"/>
  <mergeCells count="7">
    <mergeCell ref="I8:J8"/>
    <mergeCell ref="S12:S14"/>
    <mergeCell ref="Q12:Q14"/>
    <mergeCell ref="M8:N8"/>
    <mergeCell ref="Q48:Q51"/>
    <mergeCell ref="K9:M9"/>
    <mergeCell ref="N9:P9"/>
  </mergeCells>
  <conditionalFormatting sqref="D3:E7 H3:L7 Q9:GF10 D1:L2 O8:GF8 Q98:GP98 P100:HS100 N9 M1:GE7 K12:P96">
    <cfRule type="cellIs" dxfId="328" priority="87" operator="lessThan">
      <formula>0</formula>
    </cfRule>
  </conditionalFormatting>
  <conditionalFormatting sqref="G4">
    <cfRule type="cellIs" dxfId="327" priority="86" operator="lessThan">
      <formula>0</formula>
    </cfRule>
  </conditionalFormatting>
  <conditionalFormatting sqref="G3">
    <cfRule type="cellIs" dxfId="326" priority="85" operator="lessThan">
      <formula>0</formula>
    </cfRule>
  </conditionalFormatting>
  <conditionalFormatting sqref="D10:L10 D8:E8 H8:I8 K8:L8 D9:K9">
    <cfRule type="cellIs" dxfId="325" priority="84" operator="lessThan">
      <formula>0</formula>
    </cfRule>
  </conditionalFormatting>
  <conditionalFormatting sqref="M10:N10">
    <cfRule type="cellIs" dxfId="324" priority="56" operator="lessThan">
      <formula>0</formula>
    </cfRule>
  </conditionalFormatting>
  <conditionalFormatting sqref="M8">
    <cfRule type="cellIs" dxfId="323" priority="47" operator="lessThan">
      <formula>0</formula>
    </cfRule>
  </conditionalFormatting>
  <conditionalFormatting sqref="O10:P10">
    <cfRule type="cellIs" dxfId="322" priority="40" operator="lessThan">
      <formula>0</formula>
    </cfRule>
  </conditionalFormatting>
  <conditionalFormatting sqref="K98">
    <cfRule type="cellIs" dxfId="321" priority="32" operator="lessThan">
      <formula>0</formula>
    </cfRule>
  </conditionalFormatting>
  <conditionalFormatting sqref="D98 F98:J98">
    <cfRule type="cellIs" dxfId="320" priority="31" operator="lessThan">
      <formula>0</formula>
    </cfRule>
  </conditionalFormatting>
  <conditionalFormatting sqref="K100:L100">
    <cfRule type="cellIs" dxfId="319" priority="21" operator="lessThan">
      <formula>0</formula>
    </cfRule>
  </conditionalFormatting>
  <conditionalFormatting sqref="D100 G100:I100">
    <cfRule type="cellIs" dxfId="318" priority="20" operator="lessThan">
      <formula>0</formula>
    </cfRule>
  </conditionalFormatting>
  <conditionalFormatting sqref="G100:I100 P100 K100:L100">
    <cfRule type="cellIs" dxfId="317" priority="19" operator="lessThan">
      <formula>0</formula>
    </cfRule>
  </conditionalFormatting>
  <conditionalFormatting sqref="G100:I100 K100:L100">
    <cfRule type="cellIs" dxfId="316" priority="18" operator="lessThan">
      <formula>0</formula>
    </cfRule>
  </conditionalFormatting>
  <conditionalFormatting sqref="G100:I100 K100:L100">
    <cfRule type="cellIs" dxfId="315" priority="17" operator="lessThan">
      <formula>0</formula>
    </cfRule>
  </conditionalFormatting>
  <conditionalFormatting sqref="M100:N100">
    <cfRule type="cellIs" dxfId="314" priority="11" operator="lessThan">
      <formula>0</formula>
    </cfRule>
  </conditionalFormatting>
  <conditionalFormatting sqref="L98:P98">
    <cfRule type="cellIs" dxfId="313" priority="4" operator="lessThan">
      <formula>0</formula>
    </cfRule>
  </conditionalFormatting>
  <conditionalFormatting sqref="E98">
    <cfRule type="cellIs" dxfId="312" priority="3" operator="lessThan">
      <formula>0</formula>
    </cfRule>
  </conditionalFormatting>
  <pageMargins left="0.39370078740157483" right="0.39370078740157483" top="0.39370078740157483" bottom="0.39370078740157483" header="0" footer="0"/>
  <pageSetup paperSize="9" scale="51" fitToHeight="0" orientation="portrait" r:id="rId1"/>
  <headerFooter>
    <oddFooter>&amp;CStrana &amp;P z &amp;N</oddFooter>
  </headerFooter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>
    <tabColor rgb="FF00B0F0"/>
    <pageSetUpPr fitToPage="1"/>
  </sheetPr>
  <dimension ref="A1:AD98"/>
  <sheetViews>
    <sheetView showGridLines="0" view="pageBreakPreview" topLeftCell="A78" zoomScale="60" zoomScaleNormal="85" workbookViewId="0">
      <selection activeCell="J98" sqref="J98"/>
    </sheetView>
  </sheetViews>
  <sheetFormatPr defaultColWidth="9.33203125" defaultRowHeight="11.25" x14ac:dyDescent="0.2"/>
  <cols>
    <col min="1" max="1" width="8.33203125" style="60" customWidth="1"/>
    <col min="2" max="2" width="1.6640625" style="60" customWidth="1"/>
    <col min="3" max="3" width="4.1640625" style="60" customWidth="1"/>
    <col min="4" max="4" width="4.33203125" style="60" customWidth="1"/>
    <col min="5" max="5" width="17.1640625" style="60" customWidth="1"/>
    <col min="6" max="6" width="50.83203125" style="60" customWidth="1"/>
    <col min="7" max="7" width="7" style="60" customWidth="1"/>
    <col min="8" max="8" width="11.5" style="60" customWidth="1"/>
    <col min="9" max="10" width="20.1640625" style="60" customWidth="1"/>
    <col min="11" max="11" width="18.83203125" style="60" customWidth="1"/>
    <col min="12" max="12" width="21.6640625" style="60" customWidth="1"/>
    <col min="13" max="13" width="20.33203125" style="60" bestFit="1" customWidth="1"/>
    <col min="14" max="14" width="17.6640625" style="60" bestFit="1" customWidth="1"/>
    <col min="15" max="15" width="21.6640625" style="60" bestFit="1" customWidth="1"/>
    <col min="16" max="16" width="20.33203125" style="60" bestFit="1" customWidth="1"/>
    <col min="17" max="17" width="20.5" style="60" bestFit="1" customWidth="1"/>
    <col min="18" max="19" width="0" style="60" hidden="1" customWidth="1"/>
    <col min="20" max="20" width="11" style="60" bestFit="1" customWidth="1"/>
    <col min="21" max="21" width="21.1640625" style="60" bestFit="1" customWidth="1"/>
    <col min="22" max="25" width="0" style="60" hidden="1" customWidth="1"/>
    <col min="26" max="26" width="14.5" style="60" bestFit="1" customWidth="1"/>
    <col min="27" max="30" width="9.33203125" style="60" hidden="1" customWidth="1"/>
    <col min="31" max="16384" width="9.33203125" style="60"/>
  </cols>
  <sheetData>
    <row r="1" spans="1:26" ht="15" x14ac:dyDescent="0.2">
      <c r="F1" s="3"/>
      <c r="G1" s="4"/>
      <c r="H1" s="1"/>
      <c r="J1" s="61"/>
    </row>
    <row r="2" spans="1:26" s="1" customFormat="1" ht="15" x14ac:dyDescent="0.2">
      <c r="E2" s="2"/>
      <c r="F2" s="3" t="s">
        <v>979</v>
      </c>
      <c r="G2" s="4" t="str">
        <f>'[1]VRN 01'!G3</f>
        <v>Odkanalizování povodí Jizery - část B</v>
      </c>
      <c r="I2" s="5"/>
      <c r="J2" s="63"/>
      <c r="K2" s="10"/>
      <c r="L2" s="11"/>
      <c r="M2" s="11"/>
      <c r="N2" s="64"/>
    </row>
    <row r="3" spans="1:26" s="1" customFormat="1" ht="15" x14ac:dyDescent="0.2">
      <c r="E3" s="2"/>
      <c r="F3" s="3" t="s">
        <v>980</v>
      </c>
      <c r="G3" s="4" t="str">
        <f>+'Rekapitulace stavby'!D2</f>
        <v>ÚHERCE, výstavba kanalizace - UZNATELNÉ NÁKLADY - doměrky</v>
      </c>
      <c r="H3" s="2"/>
      <c r="I3" s="5"/>
      <c r="J3" s="63"/>
      <c r="K3" s="10"/>
      <c r="L3" s="11"/>
      <c r="M3" s="11"/>
      <c r="N3" s="64"/>
    </row>
    <row r="4" spans="1:26" s="2" customFormat="1" ht="15" x14ac:dyDescent="0.2">
      <c r="F4" s="12" t="s">
        <v>981</v>
      </c>
      <c r="G4" s="13" t="str">
        <f>'[1]VRN 01'!G5</f>
        <v>VRI/SOD/2020/Ži</v>
      </c>
      <c r="I4" s="5"/>
      <c r="J4" s="65"/>
      <c r="K4" s="18"/>
      <c r="L4" s="19"/>
      <c r="M4" s="19"/>
      <c r="N4" s="66"/>
    </row>
    <row r="5" spans="1:26" s="2" customFormat="1" ht="15" x14ac:dyDescent="0.2">
      <c r="F5" s="12" t="s">
        <v>983</v>
      </c>
      <c r="G5" s="13" t="s">
        <v>1001</v>
      </c>
      <c r="I5" s="5"/>
      <c r="J5" s="65"/>
      <c r="K5" s="18"/>
      <c r="L5" s="19"/>
      <c r="M5" s="19"/>
      <c r="N5" s="66"/>
    </row>
    <row r="6" spans="1:26" s="2" customFormat="1" ht="15" x14ac:dyDescent="0.2">
      <c r="F6" s="3" t="s">
        <v>984</v>
      </c>
      <c r="G6" s="13" t="str">
        <f>'[1]VRN 01'!G7</f>
        <v>Vododvody a kanalizace Mladá Boleslav, a.s.</v>
      </c>
      <c r="I6" s="5"/>
      <c r="J6" s="65"/>
      <c r="K6" s="18"/>
      <c r="L6" s="19"/>
      <c r="M6" s="19"/>
      <c r="N6" s="66"/>
    </row>
    <row r="7" spans="1:26" s="2" customFormat="1" ht="15" x14ac:dyDescent="0.2">
      <c r="F7" s="3" t="s">
        <v>986</v>
      </c>
      <c r="G7" s="20" t="str">
        <f>'[1]VRN 01'!G8</f>
        <v>VCES a.s.</v>
      </c>
      <c r="H7" s="67"/>
      <c r="I7" s="5"/>
      <c r="J7" s="65"/>
      <c r="K7" s="18"/>
      <c r="L7" s="19"/>
      <c r="M7" s="19"/>
      <c r="N7" s="66"/>
    </row>
    <row r="8" spans="1:26" s="68" customFormat="1" ht="12.75" x14ac:dyDescent="0.2">
      <c r="D8" s="69"/>
      <c r="F8" s="3"/>
      <c r="G8" s="20"/>
      <c r="H8" s="67"/>
      <c r="K8" s="72" t="s">
        <v>996</v>
      </c>
      <c r="L8" s="73" t="str">
        <f>+C12</f>
        <v>01 - SAO 01.1.A - Tlaková větev b.1-t,  d63</v>
      </c>
      <c r="M8" s="73"/>
      <c r="O8" s="74"/>
    </row>
    <row r="9" spans="1:26" s="75" customFormat="1" ht="12.75" x14ac:dyDescent="0.2">
      <c r="C9" s="76"/>
      <c r="D9" s="77"/>
      <c r="E9" s="77"/>
      <c r="F9" s="77"/>
      <c r="G9" s="77"/>
      <c r="H9" s="77"/>
      <c r="I9" s="78"/>
      <c r="J9" s="79"/>
      <c r="K9" s="332" t="s">
        <v>1266</v>
      </c>
      <c r="L9" s="332"/>
      <c r="M9" s="332"/>
      <c r="N9" s="339" t="s">
        <v>1267</v>
      </c>
      <c r="O9" s="339"/>
      <c r="P9" s="340"/>
    </row>
    <row r="10" spans="1:26" s="75" customFormat="1" ht="12.75" x14ac:dyDescent="0.2">
      <c r="C10" s="80"/>
      <c r="D10" s="81" t="s">
        <v>997</v>
      </c>
      <c r="E10" s="81" t="s">
        <v>976</v>
      </c>
      <c r="F10" s="81" t="s">
        <v>977</v>
      </c>
      <c r="G10" s="81" t="s">
        <v>64</v>
      </c>
      <c r="H10" s="82" t="s">
        <v>65</v>
      </c>
      <c r="I10" s="83" t="s">
        <v>998</v>
      </c>
      <c r="J10" s="84" t="s">
        <v>978</v>
      </c>
      <c r="K10" s="218" t="s">
        <v>999</v>
      </c>
      <c r="L10" s="219" t="s">
        <v>1260</v>
      </c>
      <c r="M10" s="220" t="s">
        <v>978</v>
      </c>
      <c r="N10" s="263" t="s">
        <v>1264</v>
      </c>
      <c r="O10" s="264" t="s">
        <v>1260</v>
      </c>
      <c r="P10" s="265" t="s">
        <v>978</v>
      </c>
      <c r="Q10" s="157" t="s">
        <v>1132</v>
      </c>
      <c r="T10" s="75" t="s">
        <v>1150</v>
      </c>
      <c r="U10" s="157" t="s">
        <v>1203</v>
      </c>
      <c r="Z10" s="75" t="s">
        <v>1211</v>
      </c>
    </row>
    <row r="12" spans="1:26" s="109" customFormat="1" ht="15.75" x14ac:dyDescent="0.25">
      <c r="A12" s="97"/>
      <c r="B12" s="97"/>
      <c r="C12" s="98" t="s">
        <v>397</v>
      </c>
      <c r="D12" s="97"/>
      <c r="E12" s="97"/>
      <c r="F12" s="97"/>
      <c r="G12" s="97"/>
      <c r="H12" s="97"/>
      <c r="I12" s="97"/>
      <c r="J12" s="99">
        <v>866404.99999999965</v>
      </c>
      <c r="T12" s="178" t="s">
        <v>1003</v>
      </c>
      <c r="U12" s="148" t="s">
        <v>1204</v>
      </c>
      <c r="Z12" s="148" t="s">
        <v>1222</v>
      </c>
    </row>
    <row r="13" spans="1:26" s="110" customFormat="1" ht="15" x14ac:dyDescent="0.2">
      <c r="D13" s="111" t="s">
        <v>3</v>
      </c>
      <c r="E13" s="112" t="s">
        <v>66</v>
      </c>
      <c r="F13" s="112" t="s">
        <v>67</v>
      </c>
      <c r="J13" s="113">
        <v>866404.99999999965</v>
      </c>
    </row>
    <row r="14" spans="1:26" s="110" customFormat="1" ht="12.75" x14ac:dyDescent="0.2">
      <c r="C14" s="252"/>
      <c r="D14" s="253" t="s">
        <v>3</v>
      </c>
      <c r="E14" s="254" t="s">
        <v>7</v>
      </c>
      <c r="F14" s="254" t="s">
        <v>68</v>
      </c>
      <c r="G14" s="252"/>
      <c r="H14" s="252"/>
      <c r="I14" s="252"/>
      <c r="J14" s="255">
        <v>342863.9</v>
      </c>
      <c r="K14" s="252"/>
      <c r="L14" s="252"/>
      <c r="M14" s="258">
        <f>SUM(M15:M36)</f>
        <v>-242.40700000000004</v>
      </c>
      <c r="N14" s="252"/>
      <c r="O14" s="252"/>
      <c r="P14" s="258">
        <f>SUM(P15:P36)</f>
        <v>342621.49575999996</v>
      </c>
    </row>
    <row r="15" spans="1:26" s="109" customFormat="1" ht="60" x14ac:dyDescent="0.2">
      <c r="A15" s="97"/>
      <c r="B15" s="116"/>
      <c r="C15" s="117" t="s">
        <v>7</v>
      </c>
      <c r="D15" s="117" t="s">
        <v>69</v>
      </c>
      <c r="E15" s="118" t="s">
        <v>79</v>
      </c>
      <c r="F15" s="119" t="s">
        <v>80</v>
      </c>
      <c r="G15" s="120" t="s">
        <v>72</v>
      </c>
      <c r="H15" s="121">
        <v>141.24</v>
      </c>
      <c r="I15" s="122">
        <v>26.3</v>
      </c>
      <c r="J15" s="122">
        <v>3714.61</v>
      </c>
      <c r="K15" s="85">
        <v>0</v>
      </c>
      <c r="L15" s="86">
        <f>I15</f>
        <v>26.3</v>
      </c>
      <c r="M15" s="277">
        <f>K15*L15</f>
        <v>0</v>
      </c>
      <c r="N15" s="87">
        <f>H15+K15</f>
        <v>141.24</v>
      </c>
      <c r="O15" s="88">
        <f>I15</f>
        <v>26.3</v>
      </c>
      <c r="P15" s="278">
        <f>N15*O15</f>
        <v>3714.6120000000005</v>
      </c>
      <c r="W15" s="177"/>
    </row>
    <row r="16" spans="1:26" s="109" customFormat="1" ht="60" x14ac:dyDescent="0.2">
      <c r="A16" s="97"/>
      <c r="B16" s="116"/>
      <c r="C16" s="117" t="s">
        <v>8</v>
      </c>
      <c r="D16" s="117" t="s">
        <v>69</v>
      </c>
      <c r="E16" s="118" t="s">
        <v>74</v>
      </c>
      <c r="F16" s="119" t="s">
        <v>75</v>
      </c>
      <c r="G16" s="120" t="s">
        <v>72</v>
      </c>
      <c r="H16" s="121">
        <v>141.24</v>
      </c>
      <c r="I16" s="122">
        <v>40.770000000000003</v>
      </c>
      <c r="J16" s="122">
        <v>5758.35</v>
      </c>
      <c r="K16" s="85">
        <v>0</v>
      </c>
      <c r="L16" s="86">
        <f t="shared" ref="L16:L79" si="0">I16</f>
        <v>40.770000000000003</v>
      </c>
      <c r="M16" s="277">
        <f t="shared" ref="M16:M79" si="1">K16*L16</f>
        <v>0</v>
      </c>
      <c r="N16" s="87">
        <f t="shared" ref="N16:N79" si="2">H16+K16</f>
        <v>141.24</v>
      </c>
      <c r="O16" s="88">
        <f t="shared" ref="O16:O79" si="3">I16</f>
        <v>40.770000000000003</v>
      </c>
      <c r="P16" s="278">
        <f t="shared" ref="P16:P79" si="4">N16*O16</f>
        <v>5758.354800000001</v>
      </c>
      <c r="W16" s="177"/>
    </row>
    <row r="17" spans="1:23" s="109" customFormat="1" ht="60" x14ac:dyDescent="0.2">
      <c r="A17" s="97"/>
      <c r="B17" s="116"/>
      <c r="C17" s="117" t="s">
        <v>76</v>
      </c>
      <c r="D17" s="117" t="s">
        <v>69</v>
      </c>
      <c r="E17" s="118" t="s">
        <v>82</v>
      </c>
      <c r="F17" s="119" t="s">
        <v>83</v>
      </c>
      <c r="G17" s="120" t="s">
        <v>72</v>
      </c>
      <c r="H17" s="121">
        <v>141.24</v>
      </c>
      <c r="I17" s="122">
        <v>39.46</v>
      </c>
      <c r="J17" s="122">
        <v>5573.33</v>
      </c>
      <c r="K17" s="85">
        <v>0</v>
      </c>
      <c r="L17" s="86">
        <f t="shared" si="0"/>
        <v>39.46</v>
      </c>
      <c r="M17" s="277">
        <f t="shared" si="1"/>
        <v>0</v>
      </c>
      <c r="N17" s="87">
        <f t="shared" si="2"/>
        <v>141.24</v>
      </c>
      <c r="O17" s="88">
        <f t="shared" si="3"/>
        <v>39.46</v>
      </c>
      <c r="P17" s="278">
        <f t="shared" si="4"/>
        <v>5573.3304000000007</v>
      </c>
      <c r="W17" s="177"/>
    </row>
    <row r="18" spans="1:23" s="109" customFormat="1" ht="48" x14ac:dyDescent="0.2">
      <c r="A18" s="97"/>
      <c r="B18" s="116"/>
      <c r="C18" s="117" t="s">
        <v>73</v>
      </c>
      <c r="D18" s="117" t="s">
        <v>69</v>
      </c>
      <c r="E18" s="118" t="s">
        <v>85</v>
      </c>
      <c r="F18" s="119" t="s">
        <v>86</v>
      </c>
      <c r="G18" s="120" t="s">
        <v>72</v>
      </c>
      <c r="H18" s="121">
        <v>218.28</v>
      </c>
      <c r="I18" s="122">
        <v>55.24</v>
      </c>
      <c r="J18" s="122">
        <v>12057.79</v>
      </c>
      <c r="K18" s="85">
        <v>0</v>
      </c>
      <c r="L18" s="86">
        <f t="shared" si="0"/>
        <v>55.24</v>
      </c>
      <c r="M18" s="277">
        <f t="shared" si="1"/>
        <v>0</v>
      </c>
      <c r="N18" s="87">
        <f t="shared" si="2"/>
        <v>218.28</v>
      </c>
      <c r="O18" s="88">
        <f t="shared" si="3"/>
        <v>55.24</v>
      </c>
      <c r="P18" s="278">
        <f t="shared" si="4"/>
        <v>12057.787200000001</v>
      </c>
      <c r="W18" s="177"/>
    </row>
    <row r="19" spans="1:23" s="109" customFormat="1" ht="84" x14ac:dyDescent="0.2">
      <c r="A19" s="97"/>
      <c r="B19" s="116"/>
      <c r="C19" s="117" t="s">
        <v>81</v>
      </c>
      <c r="D19" s="117" t="s">
        <v>69</v>
      </c>
      <c r="E19" s="118" t="s">
        <v>88</v>
      </c>
      <c r="F19" s="119" t="s">
        <v>89</v>
      </c>
      <c r="G19" s="120" t="s">
        <v>61</v>
      </c>
      <c r="H19" s="121">
        <v>2.2000000000000002</v>
      </c>
      <c r="I19" s="122">
        <v>170.98</v>
      </c>
      <c r="J19" s="122">
        <v>376.16</v>
      </c>
      <c r="K19" s="85">
        <f>ROUND(128.3/128.4*H19-H19,2)</f>
        <v>0</v>
      </c>
      <c r="L19" s="86">
        <f t="shared" si="0"/>
        <v>170.98</v>
      </c>
      <c r="M19" s="277">
        <f t="shared" si="1"/>
        <v>0</v>
      </c>
      <c r="N19" s="87">
        <f t="shared" si="2"/>
        <v>2.2000000000000002</v>
      </c>
      <c r="O19" s="88">
        <f t="shared" si="3"/>
        <v>170.98</v>
      </c>
      <c r="P19" s="278">
        <f t="shared" si="4"/>
        <v>376.15600000000001</v>
      </c>
    </row>
    <row r="20" spans="1:23" s="109" customFormat="1" ht="36" x14ac:dyDescent="0.2">
      <c r="A20" s="97"/>
      <c r="B20" s="116"/>
      <c r="C20" s="117" t="s">
        <v>84</v>
      </c>
      <c r="D20" s="117" t="s">
        <v>69</v>
      </c>
      <c r="E20" s="118" t="s">
        <v>318</v>
      </c>
      <c r="F20" s="119" t="s">
        <v>319</v>
      </c>
      <c r="G20" s="120" t="s">
        <v>61</v>
      </c>
      <c r="H20" s="121">
        <v>2.2000000000000002</v>
      </c>
      <c r="I20" s="122">
        <v>257.77999999999997</v>
      </c>
      <c r="J20" s="122">
        <v>567.12</v>
      </c>
      <c r="K20" s="85">
        <f t="shared" ref="K20:K40" si="5">ROUND(128.3/128.4*H20-H20,2)</f>
        <v>0</v>
      </c>
      <c r="L20" s="86">
        <f t="shared" si="0"/>
        <v>257.77999999999997</v>
      </c>
      <c r="M20" s="277">
        <f t="shared" si="1"/>
        <v>0</v>
      </c>
      <c r="N20" s="87">
        <f t="shared" si="2"/>
        <v>2.2000000000000002</v>
      </c>
      <c r="O20" s="88">
        <f t="shared" si="3"/>
        <v>257.77999999999997</v>
      </c>
      <c r="P20" s="278">
        <f t="shared" si="4"/>
        <v>567.11599999999999</v>
      </c>
    </row>
    <row r="21" spans="1:23" s="109" customFormat="1" ht="96" x14ac:dyDescent="0.2">
      <c r="A21" s="97"/>
      <c r="B21" s="116"/>
      <c r="C21" s="117" t="s">
        <v>87</v>
      </c>
      <c r="D21" s="117" t="s">
        <v>69</v>
      </c>
      <c r="E21" s="118" t="s">
        <v>91</v>
      </c>
      <c r="F21" s="119" t="s">
        <v>92</v>
      </c>
      <c r="G21" s="120" t="s">
        <v>61</v>
      </c>
      <c r="H21" s="121">
        <v>1.1000000000000001</v>
      </c>
      <c r="I21" s="122">
        <v>147.30000000000001</v>
      </c>
      <c r="J21" s="122">
        <v>162.03</v>
      </c>
      <c r="K21" s="85">
        <f t="shared" si="5"/>
        <v>0</v>
      </c>
      <c r="L21" s="86">
        <f t="shared" si="0"/>
        <v>147.30000000000001</v>
      </c>
      <c r="M21" s="277">
        <f t="shared" si="1"/>
        <v>0</v>
      </c>
      <c r="N21" s="87">
        <f t="shared" si="2"/>
        <v>1.1000000000000001</v>
      </c>
      <c r="O21" s="88">
        <f t="shared" si="3"/>
        <v>147.30000000000001</v>
      </c>
      <c r="P21" s="278">
        <f t="shared" si="4"/>
        <v>162.03000000000003</v>
      </c>
    </row>
    <row r="22" spans="1:23" s="109" customFormat="1" ht="36" x14ac:dyDescent="0.2">
      <c r="A22" s="97"/>
      <c r="B22" s="116"/>
      <c r="C22" s="117" t="s">
        <v>90</v>
      </c>
      <c r="D22" s="117" t="s">
        <v>69</v>
      </c>
      <c r="E22" s="118" t="s">
        <v>94</v>
      </c>
      <c r="F22" s="119" t="s">
        <v>95</v>
      </c>
      <c r="G22" s="120" t="s">
        <v>62</v>
      </c>
      <c r="H22" s="121">
        <v>16.559999999999999</v>
      </c>
      <c r="I22" s="122">
        <v>257.77999999999997</v>
      </c>
      <c r="J22" s="122">
        <v>4268.84</v>
      </c>
      <c r="K22" s="85">
        <f t="shared" si="5"/>
        <v>-0.01</v>
      </c>
      <c r="L22" s="86">
        <f t="shared" si="0"/>
        <v>257.77999999999997</v>
      </c>
      <c r="M22" s="277">
        <f t="shared" si="1"/>
        <v>-2.5777999999999999</v>
      </c>
      <c r="N22" s="87">
        <f t="shared" si="2"/>
        <v>16.549999999999997</v>
      </c>
      <c r="O22" s="88">
        <f t="shared" si="3"/>
        <v>257.77999999999997</v>
      </c>
      <c r="P22" s="278">
        <f t="shared" si="4"/>
        <v>4266.2589999999991</v>
      </c>
      <c r="W22" s="177"/>
    </row>
    <row r="23" spans="1:23" s="109" customFormat="1" ht="48" x14ac:dyDescent="0.2">
      <c r="A23" s="97"/>
      <c r="B23" s="116"/>
      <c r="C23" s="117" t="s">
        <v>93</v>
      </c>
      <c r="D23" s="117" t="s">
        <v>69</v>
      </c>
      <c r="E23" s="118" t="s">
        <v>96</v>
      </c>
      <c r="F23" s="119" t="s">
        <v>97</v>
      </c>
      <c r="G23" s="120" t="s">
        <v>62</v>
      </c>
      <c r="H23" s="121">
        <v>74.510000000000005</v>
      </c>
      <c r="I23" s="122">
        <v>234.11</v>
      </c>
      <c r="J23" s="122">
        <v>17443.54</v>
      </c>
      <c r="K23" s="85">
        <f t="shared" si="5"/>
        <v>-0.06</v>
      </c>
      <c r="L23" s="86">
        <f t="shared" si="0"/>
        <v>234.11</v>
      </c>
      <c r="M23" s="277">
        <f t="shared" si="1"/>
        <v>-14.0466</v>
      </c>
      <c r="N23" s="87">
        <f t="shared" si="2"/>
        <v>74.45</v>
      </c>
      <c r="O23" s="88">
        <f t="shared" si="3"/>
        <v>234.11</v>
      </c>
      <c r="P23" s="278">
        <f t="shared" si="4"/>
        <v>17429.489500000003</v>
      </c>
      <c r="W23" s="177"/>
    </row>
    <row r="24" spans="1:23" s="109" customFormat="1" ht="48" x14ac:dyDescent="0.2">
      <c r="A24" s="97"/>
      <c r="B24" s="116"/>
      <c r="C24" s="117" t="s">
        <v>26</v>
      </c>
      <c r="D24" s="117" t="s">
        <v>69</v>
      </c>
      <c r="E24" s="118" t="s">
        <v>98</v>
      </c>
      <c r="F24" s="119" t="s">
        <v>99</v>
      </c>
      <c r="G24" s="120" t="s">
        <v>62</v>
      </c>
      <c r="H24" s="121">
        <v>103.49</v>
      </c>
      <c r="I24" s="122">
        <v>257.77999999999997</v>
      </c>
      <c r="J24" s="122">
        <v>26677.65</v>
      </c>
      <c r="K24" s="85">
        <f t="shared" si="5"/>
        <v>-0.08</v>
      </c>
      <c r="L24" s="86">
        <f t="shared" si="0"/>
        <v>257.77999999999997</v>
      </c>
      <c r="M24" s="277">
        <f t="shared" si="1"/>
        <v>-20.622399999999999</v>
      </c>
      <c r="N24" s="87">
        <f t="shared" si="2"/>
        <v>103.41</v>
      </c>
      <c r="O24" s="88">
        <f t="shared" si="3"/>
        <v>257.77999999999997</v>
      </c>
      <c r="P24" s="278">
        <f t="shared" si="4"/>
        <v>26657.029799999997</v>
      </c>
      <c r="W24" s="177"/>
    </row>
    <row r="25" spans="1:23" s="109" customFormat="1" ht="48" x14ac:dyDescent="0.2">
      <c r="A25" s="97"/>
      <c r="B25" s="116"/>
      <c r="C25" s="117" t="s">
        <v>28</v>
      </c>
      <c r="D25" s="117" t="s">
        <v>69</v>
      </c>
      <c r="E25" s="118" t="s">
        <v>100</v>
      </c>
      <c r="F25" s="119" t="s">
        <v>101</v>
      </c>
      <c r="G25" s="120" t="s">
        <v>62</v>
      </c>
      <c r="H25" s="121">
        <v>28.98</v>
      </c>
      <c r="I25" s="122">
        <v>315.64999999999998</v>
      </c>
      <c r="J25" s="122">
        <v>9147.5400000000009</v>
      </c>
      <c r="K25" s="85">
        <f t="shared" si="5"/>
        <v>-0.02</v>
      </c>
      <c r="L25" s="86">
        <f t="shared" si="0"/>
        <v>315.64999999999998</v>
      </c>
      <c r="M25" s="277">
        <f t="shared" si="1"/>
        <v>-6.3129999999999997</v>
      </c>
      <c r="N25" s="87">
        <f t="shared" si="2"/>
        <v>28.96</v>
      </c>
      <c r="O25" s="88">
        <f t="shared" si="3"/>
        <v>315.64999999999998</v>
      </c>
      <c r="P25" s="278">
        <f t="shared" si="4"/>
        <v>9141.2240000000002</v>
      </c>
      <c r="W25" s="177"/>
    </row>
    <row r="26" spans="1:23" s="109" customFormat="1" ht="36" x14ac:dyDescent="0.2">
      <c r="A26" s="97"/>
      <c r="B26" s="116"/>
      <c r="C26" s="117" t="s">
        <v>30</v>
      </c>
      <c r="D26" s="117" t="s">
        <v>69</v>
      </c>
      <c r="E26" s="118" t="s">
        <v>102</v>
      </c>
      <c r="F26" s="119" t="s">
        <v>103</v>
      </c>
      <c r="G26" s="120" t="s">
        <v>72</v>
      </c>
      <c r="H26" s="121">
        <v>517.88</v>
      </c>
      <c r="I26" s="122">
        <v>69.709999999999994</v>
      </c>
      <c r="J26" s="122">
        <v>36101.410000000003</v>
      </c>
      <c r="K26" s="85">
        <f t="shared" si="5"/>
        <v>-0.4</v>
      </c>
      <c r="L26" s="86">
        <f t="shared" si="0"/>
        <v>69.709999999999994</v>
      </c>
      <c r="M26" s="277">
        <f t="shared" si="1"/>
        <v>-27.884</v>
      </c>
      <c r="N26" s="87">
        <f t="shared" si="2"/>
        <v>517.48</v>
      </c>
      <c r="O26" s="88">
        <f t="shared" si="3"/>
        <v>69.709999999999994</v>
      </c>
      <c r="P26" s="278">
        <f t="shared" si="4"/>
        <v>36073.5308</v>
      </c>
      <c r="W26" s="177"/>
    </row>
    <row r="27" spans="1:23" s="109" customFormat="1" ht="48" x14ac:dyDescent="0.2">
      <c r="A27" s="97"/>
      <c r="B27" s="116"/>
      <c r="C27" s="117" t="s">
        <v>32</v>
      </c>
      <c r="D27" s="117" t="s">
        <v>69</v>
      </c>
      <c r="E27" s="118" t="s">
        <v>104</v>
      </c>
      <c r="F27" s="119" t="s">
        <v>105</v>
      </c>
      <c r="G27" s="120" t="s">
        <v>72</v>
      </c>
      <c r="H27" s="121">
        <v>517.88</v>
      </c>
      <c r="I27" s="122">
        <v>80.23</v>
      </c>
      <c r="J27" s="122">
        <v>41549.51</v>
      </c>
      <c r="K27" s="85">
        <f t="shared" si="5"/>
        <v>-0.4</v>
      </c>
      <c r="L27" s="86">
        <f t="shared" si="0"/>
        <v>80.23</v>
      </c>
      <c r="M27" s="277">
        <f t="shared" si="1"/>
        <v>-32.092000000000006</v>
      </c>
      <c r="N27" s="87">
        <f t="shared" si="2"/>
        <v>517.48</v>
      </c>
      <c r="O27" s="88">
        <f t="shared" si="3"/>
        <v>80.23</v>
      </c>
      <c r="P27" s="278">
        <f t="shared" si="4"/>
        <v>41517.420400000003</v>
      </c>
      <c r="W27" s="177"/>
    </row>
    <row r="28" spans="1:23" s="109" customFormat="1" ht="60" x14ac:dyDescent="0.2">
      <c r="A28" s="97"/>
      <c r="B28" s="116"/>
      <c r="C28" s="117" t="s">
        <v>34</v>
      </c>
      <c r="D28" s="117" t="s">
        <v>69</v>
      </c>
      <c r="E28" s="118" t="s">
        <v>106</v>
      </c>
      <c r="F28" s="119" t="s">
        <v>107</v>
      </c>
      <c r="G28" s="120" t="s">
        <v>62</v>
      </c>
      <c r="H28" s="121">
        <v>124.194</v>
      </c>
      <c r="I28" s="122">
        <v>13.15</v>
      </c>
      <c r="J28" s="122">
        <v>1633.15</v>
      </c>
      <c r="K28" s="85">
        <f t="shared" si="5"/>
        <v>-0.1</v>
      </c>
      <c r="L28" s="86">
        <f t="shared" si="0"/>
        <v>13.15</v>
      </c>
      <c r="M28" s="277">
        <f t="shared" si="1"/>
        <v>-1.3150000000000002</v>
      </c>
      <c r="N28" s="87">
        <f t="shared" si="2"/>
        <v>124.09400000000001</v>
      </c>
      <c r="O28" s="88">
        <f t="shared" si="3"/>
        <v>13.15</v>
      </c>
      <c r="P28" s="278">
        <f t="shared" si="4"/>
        <v>1631.8361000000002</v>
      </c>
      <c r="W28" s="177"/>
    </row>
    <row r="29" spans="1:23" s="109" customFormat="1" ht="48" x14ac:dyDescent="0.2">
      <c r="A29" s="97"/>
      <c r="B29" s="116"/>
      <c r="C29" s="117" t="s">
        <v>1</v>
      </c>
      <c r="D29" s="117" t="s">
        <v>69</v>
      </c>
      <c r="E29" s="118" t="s">
        <v>108</v>
      </c>
      <c r="F29" s="119" t="s">
        <v>109</v>
      </c>
      <c r="G29" s="120" t="s">
        <v>62</v>
      </c>
      <c r="H29" s="121">
        <v>348.58</v>
      </c>
      <c r="I29" s="122">
        <v>187.17</v>
      </c>
      <c r="J29" s="122">
        <v>65243.72</v>
      </c>
      <c r="K29" s="85">
        <f t="shared" si="5"/>
        <v>-0.27</v>
      </c>
      <c r="L29" s="86">
        <f t="shared" si="0"/>
        <v>187.17</v>
      </c>
      <c r="M29" s="277">
        <f t="shared" si="1"/>
        <v>-50.535899999999998</v>
      </c>
      <c r="N29" s="87">
        <f t="shared" si="2"/>
        <v>348.31</v>
      </c>
      <c r="O29" s="88">
        <f t="shared" si="3"/>
        <v>187.17</v>
      </c>
      <c r="P29" s="278">
        <f t="shared" si="4"/>
        <v>65193.182699999998</v>
      </c>
      <c r="W29" s="177"/>
    </row>
    <row r="30" spans="1:23" s="109" customFormat="1" ht="36" x14ac:dyDescent="0.2">
      <c r="A30" s="97"/>
      <c r="B30" s="116"/>
      <c r="C30" s="117" t="s">
        <v>37</v>
      </c>
      <c r="D30" s="117" t="s">
        <v>69</v>
      </c>
      <c r="E30" s="118" t="s">
        <v>110</v>
      </c>
      <c r="F30" s="119" t="s">
        <v>111</v>
      </c>
      <c r="G30" s="120" t="s">
        <v>62</v>
      </c>
      <c r="H30" s="121">
        <v>206.99</v>
      </c>
      <c r="I30" s="122">
        <v>44.72</v>
      </c>
      <c r="J30" s="122">
        <v>9256.59</v>
      </c>
      <c r="K30" s="85">
        <f t="shared" si="5"/>
        <v>-0.16</v>
      </c>
      <c r="L30" s="86">
        <f t="shared" si="0"/>
        <v>44.72</v>
      </c>
      <c r="M30" s="277">
        <f t="shared" si="1"/>
        <v>-7.1551999999999998</v>
      </c>
      <c r="N30" s="87">
        <f t="shared" si="2"/>
        <v>206.83</v>
      </c>
      <c r="O30" s="88">
        <f t="shared" si="3"/>
        <v>44.72</v>
      </c>
      <c r="P30" s="278">
        <f t="shared" si="4"/>
        <v>9249.4376000000011</v>
      </c>
      <c r="W30" s="177"/>
    </row>
    <row r="31" spans="1:23" s="109" customFormat="1" ht="48" x14ac:dyDescent="0.2">
      <c r="A31" s="97"/>
      <c r="B31" s="116"/>
      <c r="C31" s="117" t="s">
        <v>39</v>
      </c>
      <c r="D31" s="117" t="s">
        <v>69</v>
      </c>
      <c r="E31" s="118" t="s">
        <v>112</v>
      </c>
      <c r="F31" s="119" t="s">
        <v>113</v>
      </c>
      <c r="G31" s="120" t="s">
        <v>62</v>
      </c>
      <c r="H31" s="121">
        <v>65.400000000000006</v>
      </c>
      <c r="I31" s="122">
        <v>247.39</v>
      </c>
      <c r="J31" s="122">
        <v>16179.31</v>
      </c>
      <c r="K31" s="85">
        <f t="shared" si="5"/>
        <v>-0.05</v>
      </c>
      <c r="L31" s="86">
        <f t="shared" si="0"/>
        <v>247.39</v>
      </c>
      <c r="M31" s="277">
        <f t="shared" si="1"/>
        <v>-12.3695</v>
      </c>
      <c r="N31" s="87">
        <f t="shared" si="2"/>
        <v>65.350000000000009</v>
      </c>
      <c r="O31" s="88">
        <f t="shared" si="3"/>
        <v>247.39</v>
      </c>
      <c r="P31" s="278">
        <f t="shared" si="4"/>
        <v>16166.936500000002</v>
      </c>
    </row>
    <row r="32" spans="1:23" s="109" customFormat="1" ht="12" x14ac:dyDescent="0.2">
      <c r="A32" s="97"/>
      <c r="B32" s="116"/>
      <c r="C32" s="117" t="s">
        <v>41</v>
      </c>
      <c r="D32" s="117" t="s">
        <v>69</v>
      </c>
      <c r="E32" s="118" t="s">
        <v>115</v>
      </c>
      <c r="F32" s="119" t="s">
        <v>116</v>
      </c>
      <c r="G32" s="120" t="s">
        <v>62</v>
      </c>
      <c r="H32" s="121">
        <v>65.400000000000006</v>
      </c>
      <c r="I32" s="122">
        <v>11.84</v>
      </c>
      <c r="J32" s="122">
        <v>774.34</v>
      </c>
      <c r="K32" s="85">
        <f t="shared" si="5"/>
        <v>-0.05</v>
      </c>
      <c r="L32" s="86">
        <f t="shared" si="0"/>
        <v>11.84</v>
      </c>
      <c r="M32" s="277">
        <f t="shared" si="1"/>
        <v>-0.59199999999999997</v>
      </c>
      <c r="N32" s="87">
        <f t="shared" si="2"/>
        <v>65.350000000000009</v>
      </c>
      <c r="O32" s="88">
        <f t="shared" si="3"/>
        <v>11.84</v>
      </c>
      <c r="P32" s="278">
        <f t="shared" si="4"/>
        <v>773.74400000000014</v>
      </c>
    </row>
    <row r="33" spans="1:23" s="109" customFormat="1" ht="36" x14ac:dyDescent="0.2">
      <c r="A33" s="97"/>
      <c r="B33" s="116"/>
      <c r="C33" s="117" t="s">
        <v>114</v>
      </c>
      <c r="D33" s="117" t="s">
        <v>69</v>
      </c>
      <c r="E33" s="118" t="s">
        <v>118</v>
      </c>
      <c r="F33" s="119" t="s">
        <v>119</v>
      </c>
      <c r="G33" s="120" t="s">
        <v>120</v>
      </c>
      <c r="H33" s="121">
        <v>104.51900000000001</v>
      </c>
      <c r="I33" s="122">
        <v>116</v>
      </c>
      <c r="J33" s="122">
        <v>12124.2</v>
      </c>
      <c r="K33" s="85">
        <f t="shared" si="5"/>
        <v>-0.08</v>
      </c>
      <c r="L33" s="86">
        <f t="shared" si="0"/>
        <v>116</v>
      </c>
      <c r="M33" s="277">
        <f t="shared" si="1"/>
        <v>-9.2799999999999994</v>
      </c>
      <c r="N33" s="87">
        <f t="shared" si="2"/>
        <v>104.43900000000001</v>
      </c>
      <c r="O33" s="88">
        <f t="shared" si="3"/>
        <v>116</v>
      </c>
      <c r="P33" s="278">
        <f t="shared" si="4"/>
        <v>12114.924000000001</v>
      </c>
      <c r="Q33" s="148" t="s">
        <v>1137</v>
      </c>
    </row>
    <row r="34" spans="1:23" s="109" customFormat="1" ht="36" x14ac:dyDescent="0.2">
      <c r="A34" s="97"/>
      <c r="B34" s="116"/>
      <c r="C34" s="117" t="s">
        <v>117</v>
      </c>
      <c r="D34" s="117" t="s">
        <v>69</v>
      </c>
      <c r="E34" s="118" t="s">
        <v>121</v>
      </c>
      <c r="F34" s="119" t="s">
        <v>122</v>
      </c>
      <c r="G34" s="120" t="s">
        <v>62</v>
      </c>
      <c r="H34" s="121">
        <v>141.59</v>
      </c>
      <c r="I34" s="122">
        <v>286.72000000000003</v>
      </c>
      <c r="J34" s="122">
        <v>40596.68</v>
      </c>
      <c r="K34" s="85">
        <f t="shared" si="5"/>
        <v>-0.11</v>
      </c>
      <c r="L34" s="86">
        <f t="shared" si="0"/>
        <v>286.72000000000003</v>
      </c>
      <c r="M34" s="277">
        <f t="shared" si="1"/>
        <v>-31.539200000000005</v>
      </c>
      <c r="N34" s="87">
        <f t="shared" si="2"/>
        <v>141.47999999999999</v>
      </c>
      <c r="O34" s="88">
        <f t="shared" si="3"/>
        <v>286.72000000000003</v>
      </c>
      <c r="P34" s="278">
        <f t="shared" si="4"/>
        <v>40565.145600000003</v>
      </c>
      <c r="W34" s="177"/>
    </row>
    <row r="35" spans="1:23" s="109" customFormat="1" ht="60" x14ac:dyDescent="0.2">
      <c r="A35" s="97"/>
      <c r="B35" s="116"/>
      <c r="C35" s="117" t="s">
        <v>0</v>
      </c>
      <c r="D35" s="117" t="s">
        <v>69</v>
      </c>
      <c r="E35" s="118" t="s">
        <v>124</v>
      </c>
      <c r="F35" s="119" t="s">
        <v>125</v>
      </c>
      <c r="G35" s="120" t="s">
        <v>62</v>
      </c>
      <c r="H35" s="121">
        <v>50.87</v>
      </c>
      <c r="I35" s="122">
        <v>318.27999999999997</v>
      </c>
      <c r="J35" s="122">
        <v>16190.9</v>
      </c>
      <c r="K35" s="85">
        <f t="shared" si="5"/>
        <v>-0.04</v>
      </c>
      <c r="L35" s="86">
        <f t="shared" si="0"/>
        <v>318.27999999999997</v>
      </c>
      <c r="M35" s="277">
        <f t="shared" si="1"/>
        <v>-12.731199999999999</v>
      </c>
      <c r="N35" s="87">
        <f t="shared" si="2"/>
        <v>50.83</v>
      </c>
      <c r="O35" s="88">
        <f t="shared" si="3"/>
        <v>318.27999999999997</v>
      </c>
      <c r="P35" s="278">
        <f t="shared" si="4"/>
        <v>16178.172399999998</v>
      </c>
      <c r="W35" s="177"/>
    </row>
    <row r="36" spans="1:23" s="109" customFormat="1" ht="12" x14ac:dyDescent="0.2">
      <c r="A36" s="97"/>
      <c r="B36" s="116"/>
      <c r="C36" s="123" t="s">
        <v>123</v>
      </c>
      <c r="D36" s="123" t="s">
        <v>127</v>
      </c>
      <c r="E36" s="124" t="s">
        <v>128</v>
      </c>
      <c r="F36" s="125" t="s">
        <v>129</v>
      </c>
      <c r="G36" s="126" t="s">
        <v>120</v>
      </c>
      <c r="H36" s="127">
        <v>91.566000000000003</v>
      </c>
      <c r="I36" s="128">
        <v>190.76</v>
      </c>
      <c r="J36" s="128">
        <v>17467.13</v>
      </c>
      <c r="K36" s="85">
        <f t="shared" si="5"/>
        <v>-7.0000000000000007E-2</v>
      </c>
      <c r="L36" s="86">
        <f t="shared" si="0"/>
        <v>190.76</v>
      </c>
      <c r="M36" s="277">
        <f t="shared" si="1"/>
        <v>-13.353200000000001</v>
      </c>
      <c r="N36" s="87">
        <f t="shared" si="2"/>
        <v>91.496000000000009</v>
      </c>
      <c r="O36" s="88">
        <f t="shared" si="3"/>
        <v>190.76</v>
      </c>
      <c r="P36" s="278">
        <f t="shared" si="4"/>
        <v>17453.776959999999</v>
      </c>
      <c r="W36" s="177"/>
    </row>
    <row r="37" spans="1:23" s="110" customFormat="1" ht="12.75" x14ac:dyDescent="0.2">
      <c r="C37" s="245"/>
      <c r="D37" s="246" t="s">
        <v>3</v>
      </c>
      <c r="E37" s="247" t="s">
        <v>76</v>
      </c>
      <c r="F37" s="247" t="s">
        <v>130</v>
      </c>
      <c r="G37" s="245"/>
      <c r="H37" s="245"/>
      <c r="I37" s="245"/>
      <c r="J37" s="248">
        <v>4221.79</v>
      </c>
      <c r="K37" s="243"/>
      <c r="L37" s="244"/>
      <c r="M37" s="279">
        <f>M38</f>
        <v>-3.2880000000000003</v>
      </c>
      <c r="N37" s="280"/>
      <c r="O37" s="244"/>
      <c r="P37" s="279">
        <f>P38</f>
        <v>4218.5040000000008</v>
      </c>
      <c r="V37" s="109"/>
      <c r="W37" s="177"/>
    </row>
    <row r="38" spans="1:23" s="109" customFormat="1" ht="12" x14ac:dyDescent="0.2">
      <c r="A38" s="97"/>
      <c r="B38" s="116"/>
      <c r="C38" s="117" t="s">
        <v>126</v>
      </c>
      <c r="D38" s="117" t="s">
        <v>69</v>
      </c>
      <c r="E38" s="118" t="s">
        <v>132</v>
      </c>
      <c r="F38" s="119" t="s">
        <v>133</v>
      </c>
      <c r="G38" s="120" t="s">
        <v>61</v>
      </c>
      <c r="H38" s="121">
        <v>128.4</v>
      </c>
      <c r="I38" s="122">
        <v>32.880000000000003</v>
      </c>
      <c r="J38" s="122">
        <v>4221.79</v>
      </c>
      <c r="K38" s="85">
        <f t="shared" si="5"/>
        <v>-0.1</v>
      </c>
      <c r="L38" s="86">
        <f t="shared" si="0"/>
        <v>32.880000000000003</v>
      </c>
      <c r="M38" s="277">
        <f t="shared" si="1"/>
        <v>-3.2880000000000003</v>
      </c>
      <c r="N38" s="87">
        <f t="shared" si="2"/>
        <v>128.30000000000001</v>
      </c>
      <c r="O38" s="88">
        <f t="shared" si="3"/>
        <v>32.880000000000003</v>
      </c>
      <c r="P38" s="278">
        <f t="shared" si="4"/>
        <v>4218.5040000000008</v>
      </c>
      <c r="U38" s="148" t="s">
        <v>1194</v>
      </c>
      <c r="W38" s="177"/>
    </row>
    <row r="39" spans="1:23" s="110" customFormat="1" ht="12.75" x14ac:dyDescent="0.2">
      <c r="C39" s="245"/>
      <c r="D39" s="246" t="s">
        <v>3</v>
      </c>
      <c r="E39" s="247" t="s">
        <v>73</v>
      </c>
      <c r="F39" s="247" t="s">
        <v>134</v>
      </c>
      <c r="G39" s="245"/>
      <c r="H39" s="245"/>
      <c r="I39" s="245"/>
      <c r="J39" s="248">
        <v>9584.94</v>
      </c>
      <c r="K39" s="243"/>
      <c r="L39" s="244"/>
      <c r="M39" s="279">
        <f>M40</f>
        <v>-6.7882000000000007</v>
      </c>
      <c r="N39" s="280"/>
      <c r="O39" s="244"/>
      <c r="P39" s="279">
        <f>P40</f>
        <v>9578.1502</v>
      </c>
      <c r="V39" s="109"/>
      <c r="W39" s="177"/>
    </row>
    <row r="40" spans="1:23" s="109" customFormat="1" ht="36" x14ac:dyDescent="0.2">
      <c r="A40" s="97"/>
      <c r="B40" s="116"/>
      <c r="C40" s="117" t="s">
        <v>131</v>
      </c>
      <c r="D40" s="117" t="s">
        <v>69</v>
      </c>
      <c r="E40" s="118" t="s">
        <v>398</v>
      </c>
      <c r="F40" s="119" t="s">
        <v>399</v>
      </c>
      <c r="G40" s="120" t="s">
        <v>62</v>
      </c>
      <c r="H40" s="121">
        <v>14.12</v>
      </c>
      <c r="I40" s="122">
        <v>678.82</v>
      </c>
      <c r="J40" s="122">
        <v>9584.94</v>
      </c>
      <c r="K40" s="85">
        <f t="shared" si="5"/>
        <v>-0.01</v>
      </c>
      <c r="L40" s="86">
        <f t="shared" si="0"/>
        <v>678.82</v>
      </c>
      <c r="M40" s="277">
        <f t="shared" si="1"/>
        <v>-6.7882000000000007</v>
      </c>
      <c r="N40" s="87">
        <f t="shared" si="2"/>
        <v>14.11</v>
      </c>
      <c r="O40" s="88">
        <f t="shared" si="3"/>
        <v>678.82</v>
      </c>
      <c r="P40" s="278">
        <f t="shared" si="4"/>
        <v>9578.1502</v>
      </c>
      <c r="W40" s="177"/>
    </row>
    <row r="41" spans="1:23" s="110" customFormat="1" ht="12.75" x14ac:dyDescent="0.2">
      <c r="C41" s="245"/>
      <c r="D41" s="246" t="s">
        <v>3</v>
      </c>
      <c r="E41" s="247" t="s">
        <v>81</v>
      </c>
      <c r="F41" s="247" t="s">
        <v>154</v>
      </c>
      <c r="G41" s="245"/>
      <c r="H41" s="245"/>
      <c r="I41" s="245"/>
      <c r="J41" s="248">
        <v>220270.45</v>
      </c>
      <c r="K41" s="243"/>
      <c r="L41" s="244"/>
      <c r="M41" s="279">
        <f>SUM(M42:M46)</f>
        <v>0</v>
      </c>
      <c r="N41" s="280"/>
      <c r="O41" s="244"/>
      <c r="P41" s="279">
        <f>SUM(P42:P46)</f>
        <v>220270.45680000001</v>
      </c>
      <c r="V41" s="109"/>
      <c r="W41" s="177"/>
    </row>
    <row r="42" spans="1:23" s="109" customFormat="1" ht="36" x14ac:dyDescent="0.2">
      <c r="A42" s="97"/>
      <c r="B42" s="116"/>
      <c r="C42" s="117" t="s">
        <v>286</v>
      </c>
      <c r="D42" s="117" t="s">
        <v>69</v>
      </c>
      <c r="E42" s="118" t="s">
        <v>156</v>
      </c>
      <c r="F42" s="119" t="s">
        <v>157</v>
      </c>
      <c r="G42" s="120" t="s">
        <v>72</v>
      </c>
      <c r="H42" s="121">
        <v>141.24</v>
      </c>
      <c r="I42" s="122">
        <v>319.88</v>
      </c>
      <c r="J42" s="122">
        <v>45179.85</v>
      </c>
      <c r="K42" s="85">
        <v>0</v>
      </c>
      <c r="L42" s="86">
        <f t="shared" si="0"/>
        <v>319.88</v>
      </c>
      <c r="M42" s="277">
        <f t="shared" si="1"/>
        <v>0</v>
      </c>
      <c r="N42" s="87">
        <f t="shared" si="2"/>
        <v>141.24</v>
      </c>
      <c r="O42" s="88">
        <f t="shared" si="3"/>
        <v>319.88</v>
      </c>
      <c r="P42" s="278">
        <f t="shared" si="4"/>
        <v>45179.851200000005</v>
      </c>
      <c r="W42" s="177"/>
    </row>
    <row r="43" spans="1:23" s="109" customFormat="1" ht="24" x14ac:dyDescent="0.2">
      <c r="A43" s="97"/>
      <c r="B43" s="116"/>
      <c r="C43" s="117" t="s">
        <v>135</v>
      </c>
      <c r="D43" s="117" t="s">
        <v>69</v>
      </c>
      <c r="E43" s="118" t="s">
        <v>162</v>
      </c>
      <c r="F43" s="119" t="s">
        <v>163</v>
      </c>
      <c r="G43" s="120" t="s">
        <v>72</v>
      </c>
      <c r="H43" s="121">
        <v>141.24</v>
      </c>
      <c r="I43" s="122">
        <v>155.66999999999999</v>
      </c>
      <c r="J43" s="122">
        <v>21986.83</v>
      </c>
      <c r="K43" s="85">
        <v>0</v>
      </c>
      <c r="L43" s="86">
        <f t="shared" si="0"/>
        <v>155.66999999999999</v>
      </c>
      <c r="M43" s="277">
        <f t="shared" si="1"/>
        <v>0</v>
      </c>
      <c r="N43" s="87">
        <f t="shared" si="2"/>
        <v>141.24</v>
      </c>
      <c r="O43" s="88">
        <f t="shared" si="3"/>
        <v>155.66999999999999</v>
      </c>
      <c r="P43" s="278">
        <f t="shared" si="4"/>
        <v>21986.8308</v>
      </c>
      <c r="W43" s="177"/>
    </row>
    <row r="44" spans="1:23" s="109" customFormat="1" ht="24" x14ac:dyDescent="0.2">
      <c r="A44" s="97"/>
      <c r="B44" s="116"/>
      <c r="C44" s="117" t="s">
        <v>139</v>
      </c>
      <c r="D44" s="117" t="s">
        <v>69</v>
      </c>
      <c r="E44" s="118" t="s">
        <v>168</v>
      </c>
      <c r="F44" s="119" t="s">
        <v>169</v>
      </c>
      <c r="G44" s="120" t="s">
        <v>72</v>
      </c>
      <c r="H44" s="121">
        <v>218.28</v>
      </c>
      <c r="I44" s="122">
        <v>18.04</v>
      </c>
      <c r="J44" s="122">
        <v>3937.77</v>
      </c>
      <c r="K44" s="85">
        <v>0</v>
      </c>
      <c r="L44" s="86">
        <f t="shared" si="0"/>
        <v>18.04</v>
      </c>
      <c r="M44" s="277">
        <f t="shared" si="1"/>
        <v>0</v>
      </c>
      <c r="N44" s="87">
        <f t="shared" si="2"/>
        <v>218.28</v>
      </c>
      <c r="O44" s="88">
        <f t="shared" si="3"/>
        <v>18.04</v>
      </c>
      <c r="P44" s="278">
        <f t="shared" si="4"/>
        <v>3937.7711999999997</v>
      </c>
    </row>
    <row r="45" spans="1:23" s="109" customFormat="1" ht="48" x14ac:dyDescent="0.2">
      <c r="A45" s="97"/>
      <c r="B45" s="116"/>
      <c r="C45" s="117" t="s">
        <v>142</v>
      </c>
      <c r="D45" s="117" t="s">
        <v>69</v>
      </c>
      <c r="E45" s="118" t="s">
        <v>171</v>
      </c>
      <c r="F45" s="119" t="s">
        <v>172</v>
      </c>
      <c r="G45" s="120" t="s">
        <v>72</v>
      </c>
      <c r="H45" s="121">
        <v>218.28</v>
      </c>
      <c r="I45" s="122">
        <v>396.71</v>
      </c>
      <c r="J45" s="122">
        <v>86593.86</v>
      </c>
      <c r="K45" s="85">
        <v>0</v>
      </c>
      <c r="L45" s="86">
        <f t="shared" si="0"/>
        <v>396.71</v>
      </c>
      <c r="M45" s="277">
        <f t="shared" si="1"/>
        <v>0</v>
      </c>
      <c r="N45" s="87">
        <f t="shared" si="2"/>
        <v>218.28</v>
      </c>
      <c r="O45" s="88">
        <f t="shared" si="3"/>
        <v>396.71</v>
      </c>
      <c r="P45" s="278">
        <f t="shared" si="4"/>
        <v>86593.858800000002</v>
      </c>
    </row>
    <row r="46" spans="1:23" s="109" customFormat="1" ht="36" x14ac:dyDescent="0.2">
      <c r="A46" s="97"/>
      <c r="B46" s="116"/>
      <c r="C46" s="117" t="s">
        <v>145</v>
      </c>
      <c r="D46" s="117" t="s">
        <v>69</v>
      </c>
      <c r="E46" s="118" t="s">
        <v>174</v>
      </c>
      <c r="F46" s="119" t="s">
        <v>175</v>
      </c>
      <c r="G46" s="120" t="s">
        <v>72</v>
      </c>
      <c r="H46" s="121">
        <v>141.24</v>
      </c>
      <c r="I46" s="122">
        <v>443.02</v>
      </c>
      <c r="J46" s="122">
        <v>62572.14</v>
      </c>
      <c r="K46" s="85">
        <v>0</v>
      </c>
      <c r="L46" s="86">
        <f t="shared" si="0"/>
        <v>443.02</v>
      </c>
      <c r="M46" s="277">
        <f t="shared" si="1"/>
        <v>0</v>
      </c>
      <c r="N46" s="87">
        <f t="shared" si="2"/>
        <v>141.24</v>
      </c>
      <c r="O46" s="88">
        <f t="shared" si="3"/>
        <v>443.02</v>
      </c>
      <c r="P46" s="278">
        <f t="shared" si="4"/>
        <v>62572.144800000002</v>
      </c>
    </row>
    <row r="47" spans="1:23" s="110" customFormat="1" ht="12.75" x14ac:dyDescent="0.2">
      <c r="C47" s="245"/>
      <c r="D47" s="246" t="s">
        <v>3</v>
      </c>
      <c r="E47" s="247" t="s">
        <v>90</v>
      </c>
      <c r="F47" s="247" t="s">
        <v>182</v>
      </c>
      <c r="G47" s="245"/>
      <c r="H47" s="245"/>
      <c r="I47" s="245"/>
      <c r="J47" s="248">
        <v>155314.41</v>
      </c>
      <c r="K47" s="243"/>
      <c r="L47" s="244"/>
      <c r="M47" s="279">
        <f>SUM(M48:M83)</f>
        <v>-48.315399999999997</v>
      </c>
      <c r="N47" s="280"/>
      <c r="O47" s="244"/>
      <c r="P47" s="279">
        <f>SUM(P48:P83)</f>
        <v>155266.09888000003</v>
      </c>
    </row>
    <row r="48" spans="1:23" s="109" customFormat="1" ht="36" x14ac:dyDescent="0.2">
      <c r="A48" s="97"/>
      <c r="B48" s="116"/>
      <c r="C48" s="117" t="s">
        <v>148</v>
      </c>
      <c r="D48" s="117" t="s">
        <v>69</v>
      </c>
      <c r="E48" s="118" t="s">
        <v>400</v>
      </c>
      <c r="F48" s="119" t="s">
        <v>401</v>
      </c>
      <c r="G48" s="120" t="s">
        <v>138</v>
      </c>
      <c r="H48" s="121">
        <v>1</v>
      </c>
      <c r="I48" s="122">
        <v>255.15</v>
      </c>
      <c r="J48" s="122">
        <v>255.15</v>
      </c>
      <c r="K48" s="85">
        <v>0</v>
      </c>
      <c r="L48" s="86">
        <f t="shared" si="0"/>
        <v>255.15</v>
      </c>
      <c r="M48" s="277">
        <f t="shared" si="1"/>
        <v>0</v>
      </c>
      <c r="N48" s="87">
        <f t="shared" si="2"/>
        <v>1</v>
      </c>
      <c r="O48" s="88">
        <f t="shared" si="3"/>
        <v>255.15</v>
      </c>
      <c r="P48" s="278">
        <f t="shared" si="4"/>
        <v>255.15</v>
      </c>
    </row>
    <row r="49" spans="1:26" s="109" customFormat="1" ht="12" x14ac:dyDescent="0.2">
      <c r="A49" s="97"/>
      <c r="B49" s="116"/>
      <c r="C49" s="123" t="s">
        <v>151</v>
      </c>
      <c r="D49" s="123" t="s">
        <v>127</v>
      </c>
      <c r="E49" s="124" t="s">
        <v>402</v>
      </c>
      <c r="F49" s="125" t="s">
        <v>403</v>
      </c>
      <c r="G49" s="126" t="s">
        <v>138</v>
      </c>
      <c r="H49" s="127">
        <v>1</v>
      </c>
      <c r="I49" s="128">
        <v>3026.32</v>
      </c>
      <c r="J49" s="128">
        <v>3026.32</v>
      </c>
      <c r="K49" s="85">
        <v>0</v>
      </c>
      <c r="L49" s="86">
        <f t="shared" si="0"/>
        <v>3026.32</v>
      </c>
      <c r="M49" s="277">
        <f t="shared" si="1"/>
        <v>0</v>
      </c>
      <c r="N49" s="87">
        <f t="shared" si="2"/>
        <v>1</v>
      </c>
      <c r="O49" s="88">
        <f t="shared" si="3"/>
        <v>3026.32</v>
      </c>
      <c r="P49" s="278">
        <f t="shared" si="4"/>
        <v>3026.32</v>
      </c>
    </row>
    <row r="50" spans="1:26" s="109" customFormat="1" ht="48" x14ac:dyDescent="0.2">
      <c r="A50" s="97"/>
      <c r="B50" s="116"/>
      <c r="C50" s="117" t="s">
        <v>155</v>
      </c>
      <c r="D50" s="117" t="s">
        <v>69</v>
      </c>
      <c r="E50" s="118" t="s">
        <v>404</v>
      </c>
      <c r="F50" s="119" t="s">
        <v>405</v>
      </c>
      <c r="G50" s="120" t="s">
        <v>61</v>
      </c>
      <c r="H50" s="121">
        <v>128.4</v>
      </c>
      <c r="I50" s="122">
        <v>76.28</v>
      </c>
      <c r="J50" s="122">
        <v>9794.35</v>
      </c>
      <c r="K50" s="85">
        <f t="shared" ref="K50:K51" si="6">ROUND(128.3/128.4*H50-H50,2)</f>
        <v>-0.1</v>
      </c>
      <c r="L50" s="86">
        <f t="shared" si="0"/>
        <v>76.28</v>
      </c>
      <c r="M50" s="277">
        <f t="shared" si="1"/>
        <v>-7.6280000000000001</v>
      </c>
      <c r="N50" s="87">
        <f t="shared" si="2"/>
        <v>128.30000000000001</v>
      </c>
      <c r="O50" s="88">
        <f t="shared" si="3"/>
        <v>76.28</v>
      </c>
      <c r="P50" s="278">
        <f t="shared" si="4"/>
        <v>9786.7240000000002</v>
      </c>
    </row>
    <row r="51" spans="1:26" s="109" customFormat="1" ht="24" x14ac:dyDescent="0.2">
      <c r="A51" s="97"/>
      <c r="B51" s="116"/>
      <c r="C51" s="123" t="s">
        <v>158</v>
      </c>
      <c r="D51" s="123" t="s">
        <v>127</v>
      </c>
      <c r="E51" s="124" t="s">
        <v>406</v>
      </c>
      <c r="F51" s="125" t="s">
        <v>407</v>
      </c>
      <c r="G51" s="126" t="s">
        <v>61</v>
      </c>
      <c r="H51" s="127">
        <v>130.32599999999999</v>
      </c>
      <c r="I51" s="128">
        <v>238.78</v>
      </c>
      <c r="J51" s="128">
        <v>31119.24</v>
      </c>
      <c r="K51" s="85">
        <f t="shared" si="6"/>
        <v>-0.1</v>
      </c>
      <c r="L51" s="86">
        <f t="shared" si="0"/>
        <v>238.78</v>
      </c>
      <c r="M51" s="277">
        <f t="shared" si="1"/>
        <v>-23.878</v>
      </c>
      <c r="N51" s="87">
        <f t="shared" si="2"/>
        <v>130.226</v>
      </c>
      <c r="O51" s="88">
        <f t="shared" si="3"/>
        <v>238.78</v>
      </c>
      <c r="P51" s="278">
        <f t="shared" si="4"/>
        <v>31095.364280000002</v>
      </c>
    </row>
    <row r="52" spans="1:26" s="109" customFormat="1" ht="36" x14ac:dyDescent="0.2">
      <c r="A52" s="97"/>
      <c r="B52" s="116"/>
      <c r="C52" s="117" t="s">
        <v>161</v>
      </c>
      <c r="D52" s="117" t="s">
        <v>69</v>
      </c>
      <c r="E52" s="118" t="s">
        <v>408</v>
      </c>
      <c r="F52" s="119" t="s">
        <v>409</v>
      </c>
      <c r="G52" s="120" t="s">
        <v>138</v>
      </c>
      <c r="H52" s="121">
        <v>4</v>
      </c>
      <c r="I52" s="122">
        <v>407.72</v>
      </c>
      <c r="J52" s="122">
        <v>1630.88</v>
      </c>
      <c r="K52" s="85">
        <v>0</v>
      </c>
      <c r="L52" s="86">
        <f t="shared" si="0"/>
        <v>407.72</v>
      </c>
      <c r="M52" s="277">
        <f t="shared" si="1"/>
        <v>0</v>
      </c>
      <c r="N52" s="87">
        <f t="shared" si="2"/>
        <v>4</v>
      </c>
      <c r="O52" s="88">
        <f t="shared" si="3"/>
        <v>407.72</v>
      </c>
      <c r="P52" s="278">
        <f t="shared" si="4"/>
        <v>1630.88</v>
      </c>
    </row>
    <row r="53" spans="1:26" s="109" customFormat="1" ht="12" x14ac:dyDescent="0.2">
      <c r="A53" s="97"/>
      <c r="B53" s="116"/>
      <c r="C53" s="123" t="s">
        <v>164</v>
      </c>
      <c r="D53" s="123" t="s">
        <v>127</v>
      </c>
      <c r="E53" s="124" t="s">
        <v>410</v>
      </c>
      <c r="F53" s="125" t="s">
        <v>411</v>
      </c>
      <c r="G53" s="126" t="s">
        <v>138</v>
      </c>
      <c r="H53" s="127">
        <v>4</v>
      </c>
      <c r="I53" s="128">
        <v>90.75</v>
      </c>
      <c r="J53" s="128">
        <v>363</v>
      </c>
      <c r="K53" s="85">
        <v>0</v>
      </c>
      <c r="L53" s="86">
        <f t="shared" si="0"/>
        <v>90.75</v>
      </c>
      <c r="M53" s="277">
        <f t="shared" si="1"/>
        <v>0</v>
      </c>
      <c r="N53" s="87">
        <f t="shared" si="2"/>
        <v>4</v>
      </c>
      <c r="O53" s="88">
        <f t="shared" si="3"/>
        <v>90.75</v>
      </c>
      <c r="P53" s="278">
        <f t="shared" si="4"/>
        <v>363</v>
      </c>
    </row>
    <row r="54" spans="1:26" s="109" customFormat="1" ht="36" x14ac:dyDescent="0.2">
      <c r="A54" s="97"/>
      <c r="B54" s="116"/>
      <c r="C54" s="117" t="s">
        <v>167</v>
      </c>
      <c r="D54" s="117" t="s">
        <v>69</v>
      </c>
      <c r="E54" s="118" t="s">
        <v>412</v>
      </c>
      <c r="F54" s="119" t="s">
        <v>413</v>
      </c>
      <c r="G54" s="120" t="s">
        <v>138</v>
      </c>
      <c r="H54" s="121">
        <v>6</v>
      </c>
      <c r="I54" s="122">
        <v>432.71</v>
      </c>
      <c r="J54" s="122">
        <v>2596.2600000000002</v>
      </c>
      <c r="K54" s="85">
        <v>0</v>
      </c>
      <c r="L54" s="86">
        <f t="shared" si="0"/>
        <v>432.71</v>
      </c>
      <c r="M54" s="277">
        <f t="shared" si="1"/>
        <v>0</v>
      </c>
      <c r="N54" s="87">
        <f t="shared" si="2"/>
        <v>6</v>
      </c>
      <c r="O54" s="88">
        <f t="shared" si="3"/>
        <v>432.71</v>
      </c>
      <c r="P54" s="278">
        <f t="shared" si="4"/>
        <v>2596.2599999999998</v>
      </c>
    </row>
    <row r="55" spans="1:26" s="109" customFormat="1" ht="12" x14ac:dyDescent="0.2">
      <c r="A55" s="97"/>
      <c r="B55" s="116"/>
      <c r="C55" s="123" t="s">
        <v>170</v>
      </c>
      <c r="D55" s="123" t="s">
        <v>127</v>
      </c>
      <c r="E55" s="124" t="s">
        <v>414</v>
      </c>
      <c r="F55" s="125" t="s">
        <v>415</v>
      </c>
      <c r="G55" s="126" t="s">
        <v>138</v>
      </c>
      <c r="H55" s="127">
        <v>1</v>
      </c>
      <c r="I55" s="128">
        <v>90.75</v>
      </c>
      <c r="J55" s="128">
        <v>90.75</v>
      </c>
      <c r="K55" s="85">
        <v>0</v>
      </c>
      <c r="L55" s="86">
        <f t="shared" si="0"/>
        <v>90.75</v>
      </c>
      <c r="M55" s="277">
        <f t="shared" si="1"/>
        <v>0</v>
      </c>
      <c r="N55" s="87">
        <f t="shared" si="2"/>
        <v>1</v>
      </c>
      <c r="O55" s="88">
        <f t="shared" si="3"/>
        <v>90.75</v>
      </c>
      <c r="P55" s="278">
        <f t="shared" si="4"/>
        <v>90.75</v>
      </c>
    </row>
    <row r="56" spans="1:26" s="109" customFormat="1" ht="12" x14ac:dyDescent="0.2">
      <c r="A56" s="97"/>
      <c r="B56" s="116"/>
      <c r="C56" s="123" t="s">
        <v>173</v>
      </c>
      <c r="D56" s="123" t="s">
        <v>127</v>
      </c>
      <c r="E56" s="124" t="s">
        <v>416</v>
      </c>
      <c r="F56" s="125" t="s">
        <v>417</v>
      </c>
      <c r="G56" s="126" t="s">
        <v>138</v>
      </c>
      <c r="H56" s="127">
        <v>1</v>
      </c>
      <c r="I56" s="128">
        <v>313.02</v>
      </c>
      <c r="J56" s="128">
        <v>313.02</v>
      </c>
      <c r="K56" s="85">
        <v>0</v>
      </c>
      <c r="L56" s="86">
        <f t="shared" si="0"/>
        <v>313.02</v>
      </c>
      <c r="M56" s="277">
        <f t="shared" si="1"/>
        <v>0</v>
      </c>
      <c r="N56" s="87">
        <f t="shared" si="2"/>
        <v>1</v>
      </c>
      <c r="O56" s="88">
        <f t="shared" si="3"/>
        <v>313.02</v>
      </c>
      <c r="P56" s="278">
        <f t="shared" si="4"/>
        <v>313.02</v>
      </c>
    </row>
    <row r="57" spans="1:26" s="109" customFormat="1" ht="12" x14ac:dyDescent="0.2">
      <c r="A57" s="97"/>
      <c r="B57" s="116"/>
      <c r="C57" s="123" t="s">
        <v>176</v>
      </c>
      <c r="D57" s="123" t="s">
        <v>127</v>
      </c>
      <c r="E57" s="124" t="s">
        <v>418</v>
      </c>
      <c r="F57" s="125" t="s">
        <v>419</v>
      </c>
      <c r="G57" s="126" t="s">
        <v>138</v>
      </c>
      <c r="H57" s="127">
        <v>4</v>
      </c>
      <c r="I57" s="128">
        <v>197.28</v>
      </c>
      <c r="J57" s="128">
        <v>789.12</v>
      </c>
      <c r="K57" s="85">
        <v>0</v>
      </c>
      <c r="L57" s="86">
        <f t="shared" si="0"/>
        <v>197.28</v>
      </c>
      <c r="M57" s="277">
        <f t="shared" si="1"/>
        <v>0</v>
      </c>
      <c r="N57" s="87">
        <f t="shared" si="2"/>
        <v>4</v>
      </c>
      <c r="O57" s="88">
        <f t="shared" si="3"/>
        <v>197.28</v>
      </c>
      <c r="P57" s="278">
        <f t="shared" si="4"/>
        <v>789.12</v>
      </c>
    </row>
    <row r="58" spans="1:26" s="109" customFormat="1" ht="36" x14ac:dyDescent="0.2">
      <c r="A58" s="97"/>
      <c r="B58" s="116"/>
      <c r="C58" s="117" t="s">
        <v>179</v>
      </c>
      <c r="D58" s="117" t="s">
        <v>69</v>
      </c>
      <c r="E58" s="118" t="s">
        <v>420</v>
      </c>
      <c r="F58" s="119" t="s">
        <v>421</v>
      </c>
      <c r="G58" s="120" t="s">
        <v>138</v>
      </c>
      <c r="H58" s="121">
        <v>8</v>
      </c>
      <c r="I58" s="122">
        <v>457.7</v>
      </c>
      <c r="J58" s="122">
        <v>3661.6</v>
      </c>
      <c r="K58" s="85">
        <v>0</v>
      </c>
      <c r="L58" s="86">
        <f t="shared" si="0"/>
        <v>457.7</v>
      </c>
      <c r="M58" s="277">
        <f t="shared" si="1"/>
        <v>0</v>
      </c>
      <c r="N58" s="87">
        <f t="shared" si="2"/>
        <v>8</v>
      </c>
      <c r="O58" s="88">
        <f t="shared" si="3"/>
        <v>457.7</v>
      </c>
      <c r="P58" s="278">
        <f t="shared" si="4"/>
        <v>3661.6</v>
      </c>
    </row>
    <row r="59" spans="1:26" s="109" customFormat="1" ht="12" x14ac:dyDescent="0.2">
      <c r="A59" s="97"/>
      <c r="B59" s="116"/>
      <c r="C59" s="123" t="s">
        <v>183</v>
      </c>
      <c r="D59" s="123" t="s">
        <v>127</v>
      </c>
      <c r="E59" s="124" t="s">
        <v>422</v>
      </c>
      <c r="F59" s="125" t="s">
        <v>423</v>
      </c>
      <c r="G59" s="126" t="s">
        <v>138</v>
      </c>
      <c r="H59" s="127">
        <v>2</v>
      </c>
      <c r="I59" s="128">
        <v>143.36000000000001</v>
      </c>
      <c r="J59" s="128">
        <v>286.72000000000003</v>
      </c>
      <c r="K59" s="85">
        <v>0</v>
      </c>
      <c r="L59" s="86">
        <f t="shared" si="0"/>
        <v>143.36000000000001</v>
      </c>
      <c r="M59" s="277">
        <f t="shared" si="1"/>
        <v>0</v>
      </c>
      <c r="N59" s="87">
        <f t="shared" si="2"/>
        <v>2</v>
      </c>
      <c r="O59" s="88">
        <f t="shared" si="3"/>
        <v>143.36000000000001</v>
      </c>
      <c r="P59" s="278">
        <f t="shared" si="4"/>
        <v>286.72000000000003</v>
      </c>
    </row>
    <row r="60" spans="1:26" s="109" customFormat="1" ht="36" x14ac:dyDescent="0.2">
      <c r="A60" s="97"/>
      <c r="B60" s="116"/>
      <c r="C60" s="117" t="s">
        <v>186</v>
      </c>
      <c r="D60" s="117" t="s">
        <v>69</v>
      </c>
      <c r="E60" s="118" t="s">
        <v>424</v>
      </c>
      <c r="F60" s="119" t="s">
        <v>425</v>
      </c>
      <c r="G60" s="120" t="s">
        <v>138</v>
      </c>
      <c r="H60" s="121">
        <v>3</v>
      </c>
      <c r="I60" s="122">
        <v>457.7</v>
      </c>
      <c r="J60" s="122">
        <v>1373.1</v>
      </c>
      <c r="K60" s="85">
        <v>0</v>
      </c>
      <c r="L60" s="86">
        <f t="shared" si="0"/>
        <v>457.7</v>
      </c>
      <c r="M60" s="277">
        <f t="shared" si="1"/>
        <v>0</v>
      </c>
      <c r="N60" s="87">
        <f t="shared" si="2"/>
        <v>3</v>
      </c>
      <c r="O60" s="88">
        <f t="shared" si="3"/>
        <v>457.7</v>
      </c>
      <c r="P60" s="278">
        <f t="shared" si="4"/>
        <v>1373.1</v>
      </c>
      <c r="Z60" s="148" t="s">
        <v>1223</v>
      </c>
    </row>
    <row r="61" spans="1:26" s="109" customFormat="1" ht="12" x14ac:dyDescent="0.2">
      <c r="A61" s="97"/>
      <c r="B61" s="116"/>
      <c r="C61" s="123" t="s">
        <v>189</v>
      </c>
      <c r="D61" s="123" t="s">
        <v>127</v>
      </c>
      <c r="E61" s="124" t="s">
        <v>426</v>
      </c>
      <c r="F61" s="125" t="s">
        <v>427</v>
      </c>
      <c r="G61" s="126" t="s">
        <v>138</v>
      </c>
      <c r="H61" s="127">
        <v>3</v>
      </c>
      <c r="I61" s="128">
        <v>353.79</v>
      </c>
      <c r="J61" s="128">
        <v>1061.3699999999999</v>
      </c>
      <c r="K61" s="85">
        <v>0</v>
      </c>
      <c r="L61" s="86">
        <f t="shared" si="0"/>
        <v>353.79</v>
      </c>
      <c r="M61" s="277">
        <f t="shared" si="1"/>
        <v>0</v>
      </c>
      <c r="N61" s="87">
        <f t="shared" si="2"/>
        <v>3</v>
      </c>
      <c r="O61" s="88">
        <f t="shared" si="3"/>
        <v>353.79</v>
      </c>
      <c r="P61" s="278">
        <f t="shared" si="4"/>
        <v>1061.3700000000001</v>
      </c>
    </row>
    <row r="62" spans="1:26" s="109" customFormat="1" ht="48" x14ac:dyDescent="0.2">
      <c r="A62" s="97"/>
      <c r="B62" s="116"/>
      <c r="C62" s="117" t="s">
        <v>192</v>
      </c>
      <c r="D62" s="117" t="s">
        <v>69</v>
      </c>
      <c r="E62" s="118" t="s">
        <v>428</v>
      </c>
      <c r="F62" s="119" t="s">
        <v>429</v>
      </c>
      <c r="G62" s="120" t="s">
        <v>138</v>
      </c>
      <c r="H62" s="121">
        <v>4</v>
      </c>
      <c r="I62" s="122">
        <v>457.7</v>
      </c>
      <c r="J62" s="122">
        <v>1830.8</v>
      </c>
      <c r="K62" s="85">
        <v>0</v>
      </c>
      <c r="L62" s="86">
        <f t="shared" si="0"/>
        <v>457.7</v>
      </c>
      <c r="M62" s="277">
        <f t="shared" si="1"/>
        <v>0</v>
      </c>
      <c r="N62" s="87">
        <f t="shared" si="2"/>
        <v>4</v>
      </c>
      <c r="O62" s="88">
        <f t="shared" si="3"/>
        <v>457.7</v>
      </c>
      <c r="P62" s="278">
        <f t="shared" si="4"/>
        <v>1830.8</v>
      </c>
    </row>
    <row r="63" spans="1:26" s="109" customFormat="1" ht="12" x14ac:dyDescent="0.2">
      <c r="A63" s="97"/>
      <c r="B63" s="116"/>
      <c r="C63" s="123" t="s">
        <v>195</v>
      </c>
      <c r="D63" s="123" t="s">
        <v>127</v>
      </c>
      <c r="E63" s="124" t="s">
        <v>430</v>
      </c>
      <c r="F63" s="125" t="s">
        <v>431</v>
      </c>
      <c r="G63" s="126" t="s">
        <v>138</v>
      </c>
      <c r="H63" s="127">
        <v>4</v>
      </c>
      <c r="I63" s="128">
        <v>491.89</v>
      </c>
      <c r="J63" s="128">
        <v>1967.56</v>
      </c>
      <c r="K63" s="85">
        <v>0</v>
      </c>
      <c r="L63" s="86">
        <f t="shared" si="0"/>
        <v>491.89</v>
      </c>
      <c r="M63" s="277">
        <f t="shared" si="1"/>
        <v>0</v>
      </c>
      <c r="N63" s="87">
        <f t="shared" si="2"/>
        <v>4</v>
      </c>
      <c r="O63" s="88">
        <f t="shared" si="3"/>
        <v>491.89</v>
      </c>
      <c r="P63" s="278">
        <f t="shared" si="4"/>
        <v>1967.56</v>
      </c>
    </row>
    <row r="64" spans="1:26" s="109" customFormat="1" ht="24" x14ac:dyDescent="0.2">
      <c r="A64" s="97"/>
      <c r="B64" s="116"/>
      <c r="C64" s="117" t="s">
        <v>198</v>
      </c>
      <c r="D64" s="117" t="s">
        <v>69</v>
      </c>
      <c r="E64" s="118" t="s">
        <v>432</v>
      </c>
      <c r="F64" s="119" t="s">
        <v>433</v>
      </c>
      <c r="G64" s="120" t="s">
        <v>138</v>
      </c>
      <c r="H64" s="121">
        <v>4</v>
      </c>
      <c r="I64" s="122">
        <v>115.74</v>
      </c>
      <c r="J64" s="122">
        <v>462.96</v>
      </c>
      <c r="K64" s="85">
        <v>0</v>
      </c>
      <c r="L64" s="86">
        <f t="shared" si="0"/>
        <v>115.74</v>
      </c>
      <c r="M64" s="277">
        <f t="shared" si="1"/>
        <v>0</v>
      </c>
      <c r="N64" s="87">
        <f t="shared" si="2"/>
        <v>4</v>
      </c>
      <c r="O64" s="88">
        <f t="shared" si="3"/>
        <v>115.74</v>
      </c>
      <c r="P64" s="278">
        <f t="shared" si="4"/>
        <v>462.96</v>
      </c>
    </row>
    <row r="65" spans="1:16" s="109" customFormat="1" ht="24" x14ac:dyDescent="0.2">
      <c r="A65" s="97"/>
      <c r="B65" s="116"/>
      <c r="C65" s="123" t="s">
        <v>201</v>
      </c>
      <c r="D65" s="123" t="s">
        <v>127</v>
      </c>
      <c r="E65" s="124" t="s">
        <v>434</v>
      </c>
      <c r="F65" s="125" t="s">
        <v>435</v>
      </c>
      <c r="G65" s="126" t="s">
        <v>436</v>
      </c>
      <c r="H65" s="127">
        <v>4</v>
      </c>
      <c r="I65" s="128">
        <v>5159.6099999999997</v>
      </c>
      <c r="J65" s="128">
        <v>20638.439999999999</v>
      </c>
      <c r="K65" s="85">
        <v>0</v>
      </c>
      <c r="L65" s="86">
        <f t="shared" si="0"/>
        <v>5159.6099999999997</v>
      </c>
      <c r="M65" s="277">
        <f t="shared" si="1"/>
        <v>0</v>
      </c>
      <c r="N65" s="87">
        <f t="shared" si="2"/>
        <v>4</v>
      </c>
      <c r="O65" s="88">
        <f t="shared" si="3"/>
        <v>5159.6099999999997</v>
      </c>
      <c r="P65" s="278">
        <f t="shared" si="4"/>
        <v>20638.439999999999</v>
      </c>
    </row>
    <row r="66" spans="1:16" s="109" customFormat="1" ht="48" x14ac:dyDescent="0.2">
      <c r="A66" s="97"/>
      <c r="B66" s="116"/>
      <c r="C66" s="117" t="s">
        <v>204</v>
      </c>
      <c r="D66" s="117" t="s">
        <v>69</v>
      </c>
      <c r="E66" s="118" t="s">
        <v>437</v>
      </c>
      <c r="F66" s="119" t="s">
        <v>438</v>
      </c>
      <c r="G66" s="120" t="s">
        <v>138</v>
      </c>
      <c r="H66" s="121">
        <v>1</v>
      </c>
      <c r="I66" s="122">
        <v>405.09</v>
      </c>
      <c r="J66" s="122">
        <v>405.09</v>
      </c>
      <c r="K66" s="85">
        <v>0</v>
      </c>
      <c r="L66" s="86">
        <f t="shared" si="0"/>
        <v>405.09</v>
      </c>
      <c r="M66" s="277">
        <f t="shared" si="1"/>
        <v>0</v>
      </c>
      <c r="N66" s="87">
        <f t="shared" si="2"/>
        <v>1</v>
      </c>
      <c r="O66" s="88">
        <f t="shared" si="3"/>
        <v>405.09</v>
      </c>
      <c r="P66" s="278">
        <f t="shared" si="4"/>
        <v>405.09</v>
      </c>
    </row>
    <row r="67" spans="1:16" s="109" customFormat="1" ht="24" x14ac:dyDescent="0.2">
      <c r="A67" s="97"/>
      <c r="B67" s="116"/>
      <c r="C67" s="123" t="s">
        <v>207</v>
      </c>
      <c r="D67" s="123" t="s">
        <v>127</v>
      </c>
      <c r="E67" s="124" t="s">
        <v>439</v>
      </c>
      <c r="F67" s="125" t="s">
        <v>440</v>
      </c>
      <c r="G67" s="126" t="s">
        <v>138</v>
      </c>
      <c r="H67" s="127">
        <v>1</v>
      </c>
      <c r="I67" s="128">
        <v>7470.45</v>
      </c>
      <c r="J67" s="128">
        <v>7470.45</v>
      </c>
      <c r="K67" s="85">
        <v>0</v>
      </c>
      <c r="L67" s="86">
        <f t="shared" si="0"/>
        <v>7470.45</v>
      </c>
      <c r="M67" s="277">
        <f t="shared" si="1"/>
        <v>0</v>
      </c>
      <c r="N67" s="87">
        <f t="shared" si="2"/>
        <v>1</v>
      </c>
      <c r="O67" s="88">
        <f t="shared" si="3"/>
        <v>7470.45</v>
      </c>
      <c r="P67" s="278">
        <f t="shared" si="4"/>
        <v>7470.45</v>
      </c>
    </row>
    <row r="68" spans="1:16" s="109" customFormat="1" ht="24" x14ac:dyDescent="0.2">
      <c r="A68" s="97"/>
      <c r="B68" s="116"/>
      <c r="C68" s="117" t="s">
        <v>210</v>
      </c>
      <c r="D68" s="117" t="s">
        <v>69</v>
      </c>
      <c r="E68" s="118" t="s">
        <v>441</v>
      </c>
      <c r="F68" s="119" t="s">
        <v>442</v>
      </c>
      <c r="G68" s="120" t="s">
        <v>138</v>
      </c>
      <c r="H68" s="121">
        <v>1</v>
      </c>
      <c r="I68" s="122">
        <v>540.55999999999995</v>
      </c>
      <c r="J68" s="122">
        <v>540.55999999999995</v>
      </c>
      <c r="K68" s="85">
        <v>0</v>
      </c>
      <c r="L68" s="86">
        <f t="shared" si="0"/>
        <v>540.55999999999995</v>
      </c>
      <c r="M68" s="277">
        <f t="shared" si="1"/>
        <v>0</v>
      </c>
      <c r="N68" s="87">
        <f t="shared" si="2"/>
        <v>1</v>
      </c>
      <c r="O68" s="88">
        <f t="shared" si="3"/>
        <v>540.55999999999995</v>
      </c>
      <c r="P68" s="278">
        <f t="shared" si="4"/>
        <v>540.55999999999995</v>
      </c>
    </row>
    <row r="69" spans="1:16" s="109" customFormat="1" ht="24" x14ac:dyDescent="0.2">
      <c r="A69" s="97"/>
      <c r="B69" s="116"/>
      <c r="C69" s="123" t="s">
        <v>214</v>
      </c>
      <c r="D69" s="123" t="s">
        <v>127</v>
      </c>
      <c r="E69" s="124" t="s">
        <v>443</v>
      </c>
      <c r="F69" s="125" t="s">
        <v>444</v>
      </c>
      <c r="G69" s="126" t="s">
        <v>138</v>
      </c>
      <c r="H69" s="127">
        <v>1</v>
      </c>
      <c r="I69" s="128">
        <v>22141.72</v>
      </c>
      <c r="J69" s="128">
        <v>22141.72</v>
      </c>
      <c r="K69" s="85">
        <v>0</v>
      </c>
      <c r="L69" s="86">
        <f t="shared" si="0"/>
        <v>22141.72</v>
      </c>
      <c r="M69" s="277">
        <f t="shared" si="1"/>
        <v>0</v>
      </c>
      <c r="N69" s="87">
        <f t="shared" si="2"/>
        <v>1</v>
      </c>
      <c r="O69" s="88">
        <f t="shared" si="3"/>
        <v>22141.72</v>
      </c>
      <c r="P69" s="278">
        <f t="shared" si="4"/>
        <v>22141.72</v>
      </c>
    </row>
    <row r="70" spans="1:16" s="109" customFormat="1" ht="12" x14ac:dyDescent="0.2">
      <c r="A70" s="97"/>
      <c r="B70" s="116"/>
      <c r="C70" s="117" t="s">
        <v>220</v>
      </c>
      <c r="D70" s="117" t="s">
        <v>69</v>
      </c>
      <c r="E70" s="118" t="s">
        <v>445</v>
      </c>
      <c r="F70" s="119" t="s">
        <v>446</v>
      </c>
      <c r="G70" s="120" t="s">
        <v>61</v>
      </c>
      <c r="H70" s="121">
        <v>128.4</v>
      </c>
      <c r="I70" s="122">
        <v>60.5</v>
      </c>
      <c r="J70" s="122">
        <v>7768.2</v>
      </c>
      <c r="K70" s="85">
        <f t="shared" ref="K70" si="7">ROUND(128.3/128.4*H70-H70,2)</f>
        <v>-0.1</v>
      </c>
      <c r="L70" s="86">
        <f t="shared" si="0"/>
        <v>60.5</v>
      </c>
      <c r="M70" s="277">
        <f t="shared" si="1"/>
        <v>-6.0500000000000007</v>
      </c>
      <c r="N70" s="87">
        <f t="shared" si="2"/>
        <v>128.30000000000001</v>
      </c>
      <c r="O70" s="88">
        <f t="shared" si="3"/>
        <v>60.5</v>
      </c>
      <c r="P70" s="278">
        <f t="shared" si="4"/>
        <v>7762.1500000000005</v>
      </c>
    </row>
    <row r="71" spans="1:16" s="109" customFormat="1" ht="24" x14ac:dyDescent="0.2">
      <c r="A71" s="97"/>
      <c r="B71" s="116"/>
      <c r="C71" s="117" t="s">
        <v>223</v>
      </c>
      <c r="D71" s="117" t="s">
        <v>69</v>
      </c>
      <c r="E71" s="118" t="s">
        <v>447</v>
      </c>
      <c r="F71" s="119" t="s">
        <v>448</v>
      </c>
      <c r="G71" s="120" t="s">
        <v>138</v>
      </c>
      <c r="H71" s="121">
        <v>1</v>
      </c>
      <c r="I71" s="122">
        <v>1262.6099999999999</v>
      </c>
      <c r="J71" s="122">
        <v>1262.6099999999999</v>
      </c>
      <c r="K71" s="85">
        <v>0</v>
      </c>
      <c r="L71" s="86">
        <f t="shared" si="0"/>
        <v>1262.6099999999999</v>
      </c>
      <c r="M71" s="277">
        <f t="shared" si="1"/>
        <v>0</v>
      </c>
      <c r="N71" s="87">
        <f t="shared" si="2"/>
        <v>1</v>
      </c>
      <c r="O71" s="88">
        <f t="shared" si="3"/>
        <v>1262.6099999999999</v>
      </c>
      <c r="P71" s="278">
        <f t="shared" si="4"/>
        <v>1262.6099999999999</v>
      </c>
    </row>
    <row r="72" spans="1:16" s="109" customFormat="1" ht="12" x14ac:dyDescent="0.2">
      <c r="A72" s="97"/>
      <c r="B72" s="116"/>
      <c r="C72" s="117" t="s">
        <v>226</v>
      </c>
      <c r="D72" s="117" t="s">
        <v>69</v>
      </c>
      <c r="E72" s="118" t="s">
        <v>449</v>
      </c>
      <c r="F72" s="119" t="s">
        <v>450</v>
      </c>
      <c r="G72" s="120" t="s">
        <v>138</v>
      </c>
      <c r="H72" s="121">
        <v>5</v>
      </c>
      <c r="I72" s="122">
        <v>399.83</v>
      </c>
      <c r="J72" s="122">
        <v>1999.15</v>
      </c>
      <c r="K72" s="85">
        <v>0</v>
      </c>
      <c r="L72" s="86">
        <f t="shared" si="0"/>
        <v>399.83</v>
      </c>
      <c r="M72" s="277">
        <f t="shared" si="1"/>
        <v>0</v>
      </c>
      <c r="N72" s="87">
        <f t="shared" si="2"/>
        <v>5</v>
      </c>
      <c r="O72" s="88">
        <f t="shared" si="3"/>
        <v>399.83</v>
      </c>
      <c r="P72" s="278">
        <f t="shared" si="4"/>
        <v>1999.1499999999999</v>
      </c>
    </row>
    <row r="73" spans="1:16" s="109" customFormat="1" ht="12" x14ac:dyDescent="0.2">
      <c r="A73" s="97"/>
      <c r="B73" s="116"/>
      <c r="C73" s="123" t="s">
        <v>229</v>
      </c>
      <c r="D73" s="123" t="s">
        <v>127</v>
      </c>
      <c r="E73" s="124" t="s">
        <v>451</v>
      </c>
      <c r="F73" s="125" t="s">
        <v>452</v>
      </c>
      <c r="G73" s="126" t="s">
        <v>436</v>
      </c>
      <c r="H73" s="127">
        <v>5</v>
      </c>
      <c r="I73" s="128">
        <v>664.19</v>
      </c>
      <c r="J73" s="128">
        <v>3320.95</v>
      </c>
      <c r="K73" s="85">
        <v>0</v>
      </c>
      <c r="L73" s="86">
        <f t="shared" si="0"/>
        <v>664.19</v>
      </c>
      <c r="M73" s="277">
        <f t="shared" si="1"/>
        <v>0</v>
      </c>
      <c r="N73" s="87">
        <f t="shared" si="2"/>
        <v>5</v>
      </c>
      <c r="O73" s="88">
        <f t="shared" si="3"/>
        <v>664.19</v>
      </c>
      <c r="P73" s="278">
        <f t="shared" si="4"/>
        <v>3320.9500000000003</v>
      </c>
    </row>
    <row r="74" spans="1:16" s="109" customFormat="1" ht="24" x14ac:dyDescent="0.2">
      <c r="A74" s="97"/>
      <c r="B74" s="116"/>
      <c r="C74" s="123" t="s">
        <v>232</v>
      </c>
      <c r="D74" s="123" t="s">
        <v>127</v>
      </c>
      <c r="E74" s="124" t="s">
        <v>453</v>
      </c>
      <c r="F74" s="125" t="s">
        <v>454</v>
      </c>
      <c r="G74" s="126" t="s">
        <v>138</v>
      </c>
      <c r="H74" s="127">
        <v>5</v>
      </c>
      <c r="I74" s="128">
        <v>174.92</v>
      </c>
      <c r="J74" s="128">
        <v>874.6</v>
      </c>
      <c r="K74" s="85">
        <v>0</v>
      </c>
      <c r="L74" s="86">
        <f t="shared" si="0"/>
        <v>174.92</v>
      </c>
      <c r="M74" s="277">
        <f t="shared" si="1"/>
        <v>0</v>
      </c>
      <c r="N74" s="87">
        <f t="shared" si="2"/>
        <v>5</v>
      </c>
      <c r="O74" s="88">
        <f t="shared" si="3"/>
        <v>174.92</v>
      </c>
      <c r="P74" s="278">
        <f t="shared" si="4"/>
        <v>874.59999999999991</v>
      </c>
    </row>
    <row r="75" spans="1:16" s="109" customFormat="1" ht="36" x14ac:dyDescent="0.2">
      <c r="A75" s="97"/>
      <c r="B75" s="116"/>
      <c r="C75" s="123" t="s">
        <v>235</v>
      </c>
      <c r="D75" s="123" t="s">
        <v>127</v>
      </c>
      <c r="E75" s="124" t="s">
        <v>455</v>
      </c>
      <c r="F75" s="125" t="s">
        <v>456</v>
      </c>
      <c r="G75" s="126" t="s">
        <v>436</v>
      </c>
      <c r="H75" s="127">
        <v>5</v>
      </c>
      <c r="I75" s="128">
        <v>1070.5899999999999</v>
      </c>
      <c r="J75" s="128">
        <v>5352.95</v>
      </c>
      <c r="K75" s="85">
        <v>0</v>
      </c>
      <c r="L75" s="86">
        <f t="shared" si="0"/>
        <v>1070.5899999999999</v>
      </c>
      <c r="M75" s="277">
        <f t="shared" si="1"/>
        <v>0</v>
      </c>
      <c r="N75" s="87">
        <f t="shared" si="2"/>
        <v>5</v>
      </c>
      <c r="O75" s="88">
        <f t="shared" si="3"/>
        <v>1070.5899999999999</v>
      </c>
      <c r="P75" s="278">
        <f t="shared" si="4"/>
        <v>5352.95</v>
      </c>
    </row>
    <row r="76" spans="1:16" s="109" customFormat="1" ht="12" x14ac:dyDescent="0.2">
      <c r="A76" s="97"/>
      <c r="B76" s="116"/>
      <c r="C76" s="117" t="s">
        <v>238</v>
      </c>
      <c r="D76" s="117" t="s">
        <v>69</v>
      </c>
      <c r="E76" s="118" t="s">
        <v>457</v>
      </c>
      <c r="F76" s="119" t="s">
        <v>458</v>
      </c>
      <c r="G76" s="120" t="s">
        <v>138</v>
      </c>
      <c r="H76" s="121">
        <v>1</v>
      </c>
      <c r="I76" s="122">
        <v>860.15</v>
      </c>
      <c r="J76" s="122">
        <v>860.15</v>
      </c>
      <c r="K76" s="85">
        <v>0</v>
      </c>
      <c r="L76" s="86">
        <f t="shared" si="0"/>
        <v>860.15</v>
      </c>
      <c r="M76" s="277">
        <f t="shared" si="1"/>
        <v>0</v>
      </c>
      <c r="N76" s="87">
        <f t="shared" si="2"/>
        <v>1</v>
      </c>
      <c r="O76" s="88">
        <f t="shared" si="3"/>
        <v>860.15</v>
      </c>
      <c r="P76" s="278">
        <f t="shared" si="4"/>
        <v>860.15</v>
      </c>
    </row>
    <row r="77" spans="1:16" s="109" customFormat="1" ht="24" x14ac:dyDescent="0.2">
      <c r="A77" s="97"/>
      <c r="B77" s="116"/>
      <c r="C77" s="123" t="s">
        <v>241</v>
      </c>
      <c r="D77" s="123" t="s">
        <v>127</v>
      </c>
      <c r="E77" s="124" t="s">
        <v>459</v>
      </c>
      <c r="F77" s="125" t="s">
        <v>460</v>
      </c>
      <c r="G77" s="126" t="s">
        <v>138</v>
      </c>
      <c r="H77" s="127">
        <v>1</v>
      </c>
      <c r="I77" s="128">
        <v>2181.9499999999998</v>
      </c>
      <c r="J77" s="128">
        <v>2181.9499999999998</v>
      </c>
      <c r="K77" s="85">
        <v>0</v>
      </c>
      <c r="L77" s="86">
        <f t="shared" si="0"/>
        <v>2181.9499999999998</v>
      </c>
      <c r="M77" s="277">
        <f t="shared" si="1"/>
        <v>0</v>
      </c>
      <c r="N77" s="87">
        <f t="shared" si="2"/>
        <v>1</v>
      </c>
      <c r="O77" s="88">
        <f t="shared" si="3"/>
        <v>2181.9499999999998</v>
      </c>
      <c r="P77" s="278">
        <f t="shared" si="4"/>
        <v>2181.9499999999998</v>
      </c>
    </row>
    <row r="78" spans="1:16" s="109" customFormat="1" ht="24" x14ac:dyDescent="0.2">
      <c r="A78" s="97"/>
      <c r="B78" s="116"/>
      <c r="C78" s="123" t="s">
        <v>244</v>
      </c>
      <c r="D78" s="123" t="s">
        <v>127</v>
      </c>
      <c r="E78" s="124" t="s">
        <v>461</v>
      </c>
      <c r="F78" s="125" t="s">
        <v>462</v>
      </c>
      <c r="G78" s="126" t="s">
        <v>436</v>
      </c>
      <c r="H78" s="127">
        <v>1</v>
      </c>
      <c r="I78" s="128">
        <v>685.23</v>
      </c>
      <c r="J78" s="128">
        <v>685.23</v>
      </c>
      <c r="K78" s="85">
        <v>0</v>
      </c>
      <c r="L78" s="86">
        <f t="shared" si="0"/>
        <v>685.23</v>
      </c>
      <c r="M78" s="277">
        <f t="shared" si="1"/>
        <v>0</v>
      </c>
      <c r="N78" s="87">
        <f t="shared" si="2"/>
        <v>1</v>
      </c>
      <c r="O78" s="88">
        <f t="shared" si="3"/>
        <v>685.23</v>
      </c>
      <c r="P78" s="278">
        <f t="shared" si="4"/>
        <v>685.23</v>
      </c>
    </row>
    <row r="79" spans="1:16" s="109" customFormat="1" ht="24" x14ac:dyDescent="0.2">
      <c r="A79" s="97"/>
      <c r="B79" s="116"/>
      <c r="C79" s="117" t="s">
        <v>217</v>
      </c>
      <c r="D79" s="117" t="s">
        <v>69</v>
      </c>
      <c r="E79" s="118" t="s">
        <v>463</v>
      </c>
      <c r="F79" s="119" t="s">
        <v>464</v>
      </c>
      <c r="G79" s="120" t="s">
        <v>138</v>
      </c>
      <c r="H79" s="121">
        <v>1</v>
      </c>
      <c r="I79" s="122">
        <v>2893.48</v>
      </c>
      <c r="J79" s="122">
        <v>2893.48</v>
      </c>
      <c r="K79" s="85">
        <v>0</v>
      </c>
      <c r="L79" s="86">
        <f t="shared" si="0"/>
        <v>2893.48</v>
      </c>
      <c r="M79" s="277">
        <f t="shared" si="1"/>
        <v>0</v>
      </c>
      <c r="N79" s="87">
        <f t="shared" si="2"/>
        <v>1</v>
      </c>
      <c r="O79" s="88">
        <f t="shared" si="3"/>
        <v>2893.48</v>
      </c>
      <c r="P79" s="278">
        <f t="shared" si="4"/>
        <v>2893.48</v>
      </c>
    </row>
    <row r="80" spans="1:16" s="109" customFormat="1" ht="24" x14ac:dyDescent="0.2">
      <c r="A80" s="97"/>
      <c r="B80" s="116"/>
      <c r="C80" s="117" t="s">
        <v>247</v>
      </c>
      <c r="D80" s="117" t="s">
        <v>69</v>
      </c>
      <c r="E80" s="118" t="s">
        <v>465</v>
      </c>
      <c r="F80" s="119" t="s">
        <v>466</v>
      </c>
      <c r="G80" s="120" t="s">
        <v>138</v>
      </c>
      <c r="H80" s="121">
        <v>3</v>
      </c>
      <c r="I80" s="122">
        <v>374.84</v>
      </c>
      <c r="J80" s="122">
        <v>1124.52</v>
      </c>
      <c r="K80" s="85">
        <v>0</v>
      </c>
      <c r="L80" s="86">
        <f t="shared" ref="L80:L94" si="8">I80</f>
        <v>374.84</v>
      </c>
      <c r="M80" s="277">
        <f t="shared" ref="M80:M94" si="9">K80*L80</f>
        <v>0</v>
      </c>
      <c r="N80" s="87">
        <f t="shared" ref="N80:N94" si="10">H80+K80</f>
        <v>3</v>
      </c>
      <c r="O80" s="88">
        <f t="shared" ref="O80:O94" si="11">I80</f>
        <v>374.84</v>
      </c>
      <c r="P80" s="278">
        <f t="shared" ref="P80:P94" si="12">N80*O80</f>
        <v>1124.52</v>
      </c>
    </row>
    <row r="81" spans="1:17" s="109" customFormat="1" ht="24" x14ac:dyDescent="0.2">
      <c r="A81" s="97"/>
      <c r="B81" s="116"/>
      <c r="C81" s="117" t="s">
        <v>250</v>
      </c>
      <c r="D81" s="117" t="s">
        <v>69</v>
      </c>
      <c r="E81" s="118" t="s">
        <v>467</v>
      </c>
      <c r="F81" s="119" t="s">
        <v>468</v>
      </c>
      <c r="G81" s="120" t="s">
        <v>138</v>
      </c>
      <c r="H81" s="121">
        <v>5</v>
      </c>
      <c r="I81" s="122">
        <v>322.22000000000003</v>
      </c>
      <c r="J81" s="122">
        <v>1611.1</v>
      </c>
      <c r="K81" s="85">
        <v>0</v>
      </c>
      <c r="L81" s="86">
        <f t="shared" si="8"/>
        <v>322.22000000000003</v>
      </c>
      <c r="M81" s="277">
        <f t="shared" si="9"/>
        <v>0</v>
      </c>
      <c r="N81" s="87">
        <f t="shared" si="10"/>
        <v>5</v>
      </c>
      <c r="O81" s="88">
        <f t="shared" si="11"/>
        <v>322.22000000000003</v>
      </c>
      <c r="P81" s="278">
        <f t="shared" si="12"/>
        <v>1611.1000000000001</v>
      </c>
    </row>
    <row r="82" spans="1:17" s="109" customFormat="1" ht="12" x14ac:dyDescent="0.2">
      <c r="A82" s="97"/>
      <c r="B82" s="116"/>
      <c r="C82" s="117" t="s">
        <v>253</v>
      </c>
      <c r="D82" s="117" t="s">
        <v>69</v>
      </c>
      <c r="E82" s="118" t="s">
        <v>469</v>
      </c>
      <c r="F82" s="119" t="s">
        <v>470</v>
      </c>
      <c r="G82" s="120" t="s">
        <v>61</v>
      </c>
      <c r="H82" s="121">
        <v>276.8</v>
      </c>
      <c r="I82" s="122">
        <v>44.72</v>
      </c>
      <c r="J82" s="122">
        <v>12378.5</v>
      </c>
      <c r="K82" s="85">
        <f t="shared" ref="K82:K83" si="13">ROUND(128.3/128.4*H82-H82,2)</f>
        <v>-0.22</v>
      </c>
      <c r="L82" s="86">
        <f t="shared" si="8"/>
        <v>44.72</v>
      </c>
      <c r="M82" s="277">
        <f t="shared" si="9"/>
        <v>-9.8384</v>
      </c>
      <c r="N82" s="87">
        <f t="shared" si="10"/>
        <v>276.58</v>
      </c>
      <c r="O82" s="88">
        <f t="shared" si="11"/>
        <v>44.72</v>
      </c>
      <c r="P82" s="278">
        <f t="shared" si="12"/>
        <v>12368.657599999999</v>
      </c>
    </row>
    <row r="83" spans="1:17" s="109" customFormat="1" ht="24" x14ac:dyDescent="0.2">
      <c r="A83" s="97"/>
      <c r="B83" s="116"/>
      <c r="C83" s="117" t="s">
        <v>256</v>
      </c>
      <c r="D83" s="117" t="s">
        <v>69</v>
      </c>
      <c r="E83" s="118" t="s">
        <v>471</v>
      </c>
      <c r="F83" s="119" t="s">
        <v>472</v>
      </c>
      <c r="G83" s="120" t="s">
        <v>61</v>
      </c>
      <c r="H83" s="121">
        <v>128.4</v>
      </c>
      <c r="I83" s="122">
        <v>9.2100000000000009</v>
      </c>
      <c r="J83" s="122">
        <v>1182.56</v>
      </c>
      <c r="K83" s="85">
        <f t="shared" si="13"/>
        <v>-0.1</v>
      </c>
      <c r="L83" s="86">
        <f t="shared" si="8"/>
        <v>9.2100000000000009</v>
      </c>
      <c r="M83" s="277">
        <f t="shared" si="9"/>
        <v>-0.92100000000000015</v>
      </c>
      <c r="N83" s="87">
        <f t="shared" si="10"/>
        <v>128.30000000000001</v>
      </c>
      <c r="O83" s="88">
        <f t="shared" si="11"/>
        <v>9.2100000000000009</v>
      </c>
      <c r="P83" s="278">
        <f t="shared" si="12"/>
        <v>1181.6430000000003</v>
      </c>
    </row>
    <row r="84" spans="1:17" s="110" customFormat="1" ht="12.75" x14ac:dyDescent="0.2">
      <c r="C84" s="245"/>
      <c r="D84" s="246" t="s">
        <v>3</v>
      </c>
      <c r="E84" s="247" t="s">
        <v>93</v>
      </c>
      <c r="F84" s="247" t="s">
        <v>268</v>
      </c>
      <c r="G84" s="245"/>
      <c r="H84" s="245"/>
      <c r="I84" s="245"/>
      <c r="J84" s="248">
        <v>86153.85</v>
      </c>
      <c r="K84" s="243"/>
      <c r="L84" s="244"/>
      <c r="M84" s="279">
        <f>SUM(M85:M88)</f>
        <v>0</v>
      </c>
      <c r="N84" s="280"/>
      <c r="O84" s="244"/>
      <c r="P84" s="279">
        <f>SUM(P85:P88)</f>
        <v>86153.856</v>
      </c>
    </row>
    <row r="85" spans="1:17" s="109" customFormat="1" ht="48" x14ac:dyDescent="0.2">
      <c r="A85" s="97"/>
      <c r="B85" s="116"/>
      <c r="C85" s="117" t="s">
        <v>259</v>
      </c>
      <c r="D85" s="117" t="s">
        <v>69</v>
      </c>
      <c r="E85" s="118" t="s">
        <v>270</v>
      </c>
      <c r="F85" s="119" t="s">
        <v>271</v>
      </c>
      <c r="G85" s="120" t="s">
        <v>61</v>
      </c>
      <c r="H85" s="121">
        <v>256.8</v>
      </c>
      <c r="I85" s="122">
        <v>87.65</v>
      </c>
      <c r="J85" s="122">
        <v>22508.52</v>
      </c>
      <c r="K85" s="85">
        <v>0</v>
      </c>
      <c r="L85" s="86">
        <f t="shared" si="8"/>
        <v>87.65</v>
      </c>
      <c r="M85" s="277">
        <f t="shared" si="9"/>
        <v>0</v>
      </c>
      <c r="N85" s="87">
        <f t="shared" si="10"/>
        <v>256.8</v>
      </c>
      <c r="O85" s="88">
        <f t="shared" si="11"/>
        <v>87.65</v>
      </c>
      <c r="P85" s="278">
        <f t="shared" si="12"/>
        <v>22508.520000000004</v>
      </c>
    </row>
    <row r="86" spans="1:17" s="109" customFormat="1" ht="36" x14ac:dyDescent="0.2">
      <c r="A86" s="97"/>
      <c r="B86" s="116"/>
      <c r="C86" s="117" t="s">
        <v>262</v>
      </c>
      <c r="D86" s="117" t="s">
        <v>69</v>
      </c>
      <c r="E86" s="118" t="s">
        <v>273</v>
      </c>
      <c r="F86" s="119" t="s">
        <v>274</v>
      </c>
      <c r="G86" s="120" t="s">
        <v>61</v>
      </c>
      <c r="H86" s="121">
        <v>513.6</v>
      </c>
      <c r="I86" s="122">
        <v>32.22</v>
      </c>
      <c r="J86" s="122">
        <v>16548.189999999999</v>
      </c>
      <c r="K86" s="85">
        <v>0</v>
      </c>
      <c r="L86" s="86">
        <f t="shared" si="8"/>
        <v>32.22</v>
      </c>
      <c r="M86" s="277">
        <f t="shared" si="9"/>
        <v>0</v>
      </c>
      <c r="N86" s="87">
        <f t="shared" si="10"/>
        <v>513.6</v>
      </c>
      <c r="O86" s="88">
        <f t="shared" si="11"/>
        <v>32.22</v>
      </c>
      <c r="P86" s="278">
        <f t="shared" si="12"/>
        <v>16548.191999999999</v>
      </c>
    </row>
    <row r="87" spans="1:17" s="109" customFormat="1" ht="24" x14ac:dyDescent="0.2">
      <c r="A87" s="97"/>
      <c r="B87" s="116"/>
      <c r="C87" s="117" t="s">
        <v>265</v>
      </c>
      <c r="D87" s="117" t="s">
        <v>69</v>
      </c>
      <c r="E87" s="118" t="s">
        <v>276</v>
      </c>
      <c r="F87" s="119" t="s">
        <v>277</v>
      </c>
      <c r="G87" s="120" t="s">
        <v>61</v>
      </c>
      <c r="H87" s="121">
        <v>513.6</v>
      </c>
      <c r="I87" s="122">
        <v>72.34</v>
      </c>
      <c r="J87" s="122">
        <v>37153.82</v>
      </c>
      <c r="K87" s="85">
        <v>0</v>
      </c>
      <c r="L87" s="86">
        <f t="shared" si="8"/>
        <v>72.34</v>
      </c>
      <c r="M87" s="277">
        <f t="shared" si="9"/>
        <v>0</v>
      </c>
      <c r="N87" s="87">
        <f t="shared" si="10"/>
        <v>513.6</v>
      </c>
      <c r="O87" s="88">
        <f t="shared" si="11"/>
        <v>72.34</v>
      </c>
      <c r="P87" s="278">
        <f t="shared" si="12"/>
        <v>37153.824000000001</v>
      </c>
    </row>
    <row r="88" spans="1:17" s="109" customFormat="1" ht="48" x14ac:dyDescent="0.2">
      <c r="A88" s="97"/>
      <c r="B88" s="116"/>
      <c r="C88" s="117" t="s">
        <v>269</v>
      </c>
      <c r="D88" s="117" t="s">
        <v>69</v>
      </c>
      <c r="E88" s="118" t="s">
        <v>279</v>
      </c>
      <c r="F88" s="119" t="s">
        <v>280</v>
      </c>
      <c r="G88" s="120" t="s">
        <v>138</v>
      </c>
      <c r="H88" s="121">
        <v>6</v>
      </c>
      <c r="I88" s="122">
        <v>1657.22</v>
      </c>
      <c r="J88" s="122">
        <v>9943.32</v>
      </c>
      <c r="K88" s="85">
        <v>0</v>
      </c>
      <c r="L88" s="86">
        <f t="shared" si="8"/>
        <v>1657.22</v>
      </c>
      <c r="M88" s="277">
        <f t="shared" si="9"/>
        <v>0</v>
      </c>
      <c r="N88" s="87">
        <f t="shared" si="10"/>
        <v>6</v>
      </c>
      <c r="O88" s="88">
        <f t="shared" si="11"/>
        <v>1657.22</v>
      </c>
      <c r="P88" s="278">
        <f t="shared" si="12"/>
        <v>9943.32</v>
      </c>
    </row>
    <row r="89" spans="1:17" s="110" customFormat="1" ht="12.75" x14ac:dyDescent="0.2">
      <c r="C89" s="245"/>
      <c r="D89" s="246" t="s">
        <v>3</v>
      </c>
      <c r="E89" s="247" t="s">
        <v>281</v>
      </c>
      <c r="F89" s="247" t="s">
        <v>282</v>
      </c>
      <c r="G89" s="245"/>
      <c r="H89" s="245"/>
      <c r="I89" s="245"/>
      <c r="J89" s="248">
        <v>46474.899999999994</v>
      </c>
      <c r="K89" s="243"/>
      <c r="L89" s="244"/>
      <c r="M89" s="279">
        <f>SUM(M90:M92)</f>
        <v>-27.373200000000001</v>
      </c>
      <c r="N89" s="280"/>
      <c r="O89" s="244"/>
      <c r="P89" s="279">
        <f>SUM(P90:P92)</f>
        <v>46447.523459999997</v>
      </c>
    </row>
    <row r="90" spans="1:17" s="109" customFormat="1" ht="36" x14ac:dyDescent="0.2">
      <c r="A90" s="97"/>
      <c r="B90" s="116"/>
      <c r="C90" s="117" t="s">
        <v>272</v>
      </c>
      <c r="D90" s="117" t="s">
        <v>69</v>
      </c>
      <c r="E90" s="118" t="s">
        <v>284</v>
      </c>
      <c r="F90" s="119" t="s">
        <v>285</v>
      </c>
      <c r="G90" s="120" t="s">
        <v>120</v>
      </c>
      <c r="H90" s="121">
        <v>144.88800000000001</v>
      </c>
      <c r="I90" s="122">
        <v>136.36000000000001</v>
      </c>
      <c r="J90" s="122">
        <v>19756.93</v>
      </c>
      <c r="K90" s="85">
        <f t="shared" ref="K90" si="14">ROUND(128.3/128.4*H90-H90,2)</f>
        <v>-0.11</v>
      </c>
      <c r="L90" s="86">
        <f t="shared" si="8"/>
        <v>136.36000000000001</v>
      </c>
      <c r="M90" s="277">
        <f t="shared" si="9"/>
        <v>-14.999600000000001</v>
      </c>
      <c r="N90" s="87">
        <f t="shared" si="10"/>
        <v>144.77799999999999</v>
      </c>
      <c r="O90" s="88">
        <f t="shared" si="11"/>
        <v>136.36000000000001</v>
      </c>
      <c r="P90" s="278">
        <f t="shared" si="12"/>
        <v>19741.928080000002</v>
      </c>
    </row>
    <row r="91" spans="1:17" s="109" customFormat="1" ht="48" x14ac:dyDescent="0.2">
      <c r="A91" s="97"/>
      <c r="B91" s="116"/>
      <c r="C91" s="117" t="s">
        <v>275</v>
      </c>
      <c r="D91" s="117" t="s">
        <v>69</v>
      </c>
      <c r="E91" s="118" t="s">
        <v>287</v>
      </c>
      <c r="F91" s="119" t="s">
        <v>288</v>
      </c>
      <c r="G91" s="120" t="s">
        <v>120</v>
      </c>
      <c r="H91" s="121">
        <v>41.781999999999996</v>
      </c>
      <c r="I91" s="122">
        <v>257.77999999999997</v>
      </c>
      <c r="J91" s="122">
        <v>10770.56</v>
      </c>
      <c r="K91" s="85">
        <v>0</v>
      </c>
      <c r="L91" s="86">
        <f t="shared" si="8"/>
        <v>257.77999999999997</v>
      </c>
      <c r="M91" s="277">
        <f t="shared" si="9"/>
        <v>0</v>
      </c>
      <c r="N91" s="87">
        <f t="shared" si="10"/>
        <v>41.781999999999996</v>
      </c>
      <c r="O91" s="88">
        <f t="shared" si="11"/>
        <v>257.77999999999997</v>
      </c>
      <c r="P91" s="278">
        <f t="shared" si="12"/>
        <v>10770.563959999998</v>
      </c>
    </row>
    <row r="92" spans="1:17" s="109" customFormat="1" ht="36" x14ac:dyDescent="0.2">
      <c r="A92" s="97"/>
      <c r="B92" s="116"/>
      <c r="C92" s="117" t="s">
        <v>278</v>
      </c>
      <c r="D92" s="117" t="s">
        <v>69</v>
      </c>
      <c r="E92" s="118" t="s">
        <v>290</v>
      </c>
      <c r="F92" s="119" t="s">
        <v>119</v>
      </c>
      <c r="G92" s="120" t="s">
        <v>120</v>
      </c>
      <c r="H92" s="121">
        <v>103.10599999999999</v>
      </c>
      <c r="I92" s="122">
        <v>154.66999999999999</v>
      </c>
      <c r="J92" s="122">
        <v>15947.41</v>
      </c>
      <c r="K92" s="85">
        <f t="shared" ref="K92" si="15">ROUND(128.3/128.4*H92-H92,2)</f>
        <v>-0.08</v>
      </c>
      <c r="L92" s="86">
        <f t="shared" si="8"/>
        <v>154.66999999999999</v>
      </c>
      <c r="M92" s="277">
        <f t="shared" si="9"/>
        <v>-12.3736</v>
      </c>
      <c r="N92" s="87">
        <f t="shared" si="10"/>
        <v>103.026</v>
      </c>
      <c r="O92" s="88">
        <f t="shared" si="11"/>
        <v>154.66999999999999</v>
      </c>
      <c r="P92" s="278">
        <f t="shared" si="12"/>
        <v>15935.031419999998</v>
      </c>
      <c r="Q92" s="148" t="s">
        <v>1137</v>
      </c>
    </row>
    <row r="93" spans="1:17" s="110" customFormat="1" ht="12.75" x14ac:dyDescent="0.2">
      <c r="C93" s="245"/>
      <c r="D93" s="246" t="s">
        <v>3</v>
      </c>
      <c r="E93" s="247" t="s">
        <v>291</v>
      </c>
      <c r="F93" s="247" t="s">
        <v>292</v>
      </c>
      <c r="G93" s="245"/>
      <c r="H93" s="245"/>
      <c r="I93" s="245"/>
      <c r="J93" s="248">
        <v>1520.76</v>
      </c>
      <c r="K93" s="243"/>
      <c r="L93" s="244"/>
      <c r="M93" s="279">
        <f>M94</f>
        <v>-1.1442000000000001</v>
      </c>
      <c r="N93" s="280"/>
      <c r="O93" s="244"/>
      <c r="P93" s="279">
        <f>P94</f>
        <v>1519.61202</v>
      </c>
    </row>
    <row r="94" spans="1:17" s="109" customFormat="1" ht="48" x14ac:dyDescent="0.2">
      <c r="A94" s="97"/>
      <c r="B94" s="116"/>
      <c r="C94" s="117" t="s">
        <v>283</v>
      </c>
      <c r="D94" s="117" t="s">
        <v>69</v>
      </c>
      <c r="E94" s="118" t="s">
        <v>473</v>
      </c>
      <c r="F94" s="119" t="s">
        <v>474</v>
      </c>
      <c r="G94" s="120" t="s">
        <v>120</v>
      </c>
      <c r="H94" s="121">
        <v>13.291</v>
      </c>
      <c r="I94" s="122">
        <v>114.42</v>
      </c>
      <c r="J94" s="122">
        <v>1520.76</v>
      </c>
      <c r="K94" s="85">
        <f t="shared" ref="K94" si="16">ROUND(128.3/128.4*H94-H94,2)</f>
        <v>-0.01</v>
      </c>
      <c r="L94" s="86">
        <f t="shared" si="8"/>
        <v>114.42</v>
      </c>
      <c r="M94" s="277">
        <f t="shared" si="9"/>
        <v>-1.1442000000000001</v>
      </c>
      <c r="N94" s="87">
        <f t="shared" si="10"/>
        <v>13.281000000000001</v>
      </c>
      <c r="O94" s="88">
        <f t="shared" si="11"/>
        <v>114.42</v>
      </c>
      <c r="P94" s="278">
        <f t="shared" si="12"/>
        <v>1519.61202</v>
      </c>
    </row>
    <row r="95" spans="1:17" s="109" customFormat="1" x14ac:dyDescent="0.2">
      <c r="A95" s="97"/>
      <c r="B95" s="97"/>
      <c r="C95" s="97"/>
      <c r="D95" s="97"/>
      <c r="E95" s="97"/>
      <c r="F95" s="97"/>
      <c r="G95" s="97"/>
      <c r="H95" s="97"/>
      <c r="I95" s="97"/>
      <c r="J95" s="97"/>
    </row>
    <row r="96" spans="1:17" ht="12.75" x14ac:dyDescent="0.2">
      <c r="D96" s="89"/>
      <c r="E96" s="141" t="str">
        <f>CONCATENATE("CELKEM ",C$12)</f>
        <v>CELKEM 01 - SAO 01.1.A - Tlaková větev b.1-t,  d63</v>
      </c>
      <c r="F96" s="90"/>
      <c r="G96" s="90"/>
      <c r="H96" s="91"/>
      <c r="I96" s="90"/>
      <c r="J96" s="92">
        <v>866405</v>
      </c>
      <c r="K96" s="94"/>
      <c r="L96" s="92"/>
      <c r="M96" s="147">
        <f>M93+M89+M84+M47+M41+M39+M37+M14</f>
        <v>-329.31600000000003</v>
      </c>
      <c r="N96" s="147"/>
      <c r="O96" s="147"/>
      <c r="P96" s="147">
        <f t="shared" ref="P96" si="17">P93+P89+P84+P47+P41+P39+P37+P14</f>
        <v>866075.69712000003</v>
      </c>
    </row>
    <row r="97" spans="5:11" x14ac:dyDescent="0.2">
      <c r="I97" s="95"/>
    </row>
    <row r="98" spans="5:11" ht="14.25" x14ac:dyDescent="0.2">
      <c r="E98" s="58" t="s">
        <v>994</v>
      </c>
      <c r="F98" s="58"/>
      <c r="H98" s="96"/>
      <c r="J98" s="161"/>
      <c r="K98" s="58" t="s">
        <v>995</v>
      </c>
    </row>
  </sheetData>
  <protectedRanges>
    <protectedRange password="CCAA" sqref="K8" name="Oblast1_1_1_1_1_1"/>
    <protectedRange password="CCAA" sqref="D9:H10" name="Oblast1_2_1_1_1_1"/>
  </protectedRanges>
  <autoFilter ref="C10:P94" xr:uid="{00000000-0001-0000-1300-000000000000}"/>
  <mergeCells count="2">
    <mergeCell ref="K9:M9"/>
    <mergeCell ref="N9:P9"/>
  </mergeCells>
  <pageMargins left="0.39370078740157483" right="0.39370078740157483" top="0.39370078740157483" bottom="0.39370078740157483" header="0" footer="0"/>
  <pageSetup paperSize="9" scale="47" fitToHeight="0" orientation="portrait" r:id="rId1"/>
  <headerFooter>
    <oddFooter>&amp;CStrana &amp;P z &amp;N</oddFooter>
  </headerFooter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>
    <tabColor rgb="FF00B0F0"/>
    <pageSetUpPr fitToPage="1"/>
  </sheetPr>
  <dimension ref="A1:AE106"/>
  <sheetViews>
    <sheetView showGridLines="0" view="pageBreakPreview" zoomScale="85" zoomScaleNormal="100" zoomScaleSheetLayoutView="85" workbookViewId="0">
      <selection activeCell="F3" sqref="F3"/>
    </sheetView>
  </sheetViews>
  <sheetFormatPr defaultColWidth="9.33203125" defaultRowHeight="11.25" x14ac:dyDescent="0.2"/>
  <cols>
    <col min="1" max="1" width="8.33203125" style="60" customWidth="1"/>
    <col min="2" max="2" width="1.6640625" style="60" customWidth="1"/>
    <col min="3" max="3" width="4.1640625" style="60" customWidth="1"/>
    <col min="4" max="4" width="4.33203125" style="60" customWidth="1"/>
    <col min="5" max="5" width="17.1640625" style="60" customWidth="1"/>
    <col min="6" max="6" width="50.83203125" style="60" customWidth="1"/>
    <col min="7" max="7" width="7" style="60" customWidth="1"/>
    <col min="8" max="8" width="11.5" style="60" customWidth="1"/>
    <col min="9" max="10" width="20.1640625" style="60" customWidth="1"/>
    <col min="11" max="11" width="20.33203125" style="60" customWidth="1"/>
    <col min="12" max="12" width="19.1640625" style="60" customWidth="1"/>
    <col min="13" max="13" width="21" style="60" bestFit="1" customWidth="1"/>
    <col min="14" max="14" width="17.6640625" style="60" bestFit="1" customWidth="1"/>
    <col min="15" max="15" width="21.6640625" style="60" bestFit="1" customWidth="1"/>
    <col min="16" max="16" width="21" style="60" bestFit="1" customWidth="1"/>
    <col min="17" max="17" width="23.1640625" style="60" bestFit="1" customWidth="1"/>
    <col min="18" max="18" width="60.33203125" style="60" bestFit="1" customWidth="1"/>
    <col min="19" max="19" width="9" style="60" bestFit="1" customWidth="1"/>
    <col min="20" max="20" width="28.6640625" style="60" bestFit="1" customWidth="1"/>
    <col min="21" max="21" width="16.1640625" style="60" bestFit="1" customWidth="1"/>
    <col min="22" max="22" width="12.83203125" style="60" bestFit="1" customWidth="1"/>
    <col min="23" max="23" width="20.5" style="60" bestFit="1" customWidth="1"/>
    <col min="24" max="25" width="0" style="60" hidden="1" customWidth="1"/>
    <col min="26" max="26" width="24.5" style="60" bestFit="1" customWidth="1"/>
    <col min="27" max="27" width="5" style="60" bestFit="1" customWidth="1"/>
    <col min="28" max="28" width="3.33203125" style="60" bestFit="1" customWidth="1"/>
    <col min="29" max="29" width="9.83203125" style="60" bestFit="1" customWidth="1"/>
    <col min="30" max="31" width="9.33203125" style="60" hidden="1" customWidth="1"/>
    <col min="32" max="16384" width="9.33203125" style="60"/>
  </cols>
  <sheetData>
    <row r="1" spans="1:29" ht="18.95" customHeight="1" x14ac:dyDescent="0.2">
      <c r="F1" s="3"/>
      <c r="G1" s="4"/>
      <c r="H1" s="1"/>
      <c r="J1" s="61"/>
    </row>
    <row r="2" spans="1:29" s="1" customFormat="1" ht="18" customHeight="1" x14ac:dyDescent="0.2">
      <c r="E2" s="2"/>
      <c r="F2" s="3" t="s">
        <v>979</v>
      </c>
      <c r="G2" s="4" t="str">
        <f>'[1]VRN 01'!G3</f>
        <v>Odkanalizování povodí Jizery - část B</v>
      </c>
      <c r="I2" s="5"/>
      <c r="J2" s="63"/>
      <c r="K2" s="10"/>
      <c r="L2" s="11"/>
      <c r="M2" s="11"/>
      <c r="N2" s="64"/>
    </row>
    <row r="3" spans="1:29" s="1" customFormat="1" ht="18" customHeight="1" x14ac:dyDescent="0.2">
      <c r="E3" s="2"/>
      <c r="F3" s="3" t="s">
        <v>980</v>
      </c>
      <c r="G3" s="4" t="str">
        <f>+'Rekapitulace stavby'!D2</f>
        <v>ÚHERCE, výstavba kanalizace - UZNATELNÉ NÁKLADY - doměrky</v>
      </c>
      <c r="H3" s="2"/>
      <c r="I3" s="5"/>
      <c r="J3" s="63"/>
      <c r="K3" s="10"/>
      <c r="L3" s="11"/>
      <c r="M3" s="11"/>
      <c r="N3" s="64"/>
    </row>
    <row r="4" spans="1:29" s="2" customFormat="1" ht="18" customHeight="1" x14ac:dyDescent="0.2">
      <c r="F4" s="12" t="s">
        <v>981</v>
      </c>
      <c r="G4" s="13" t="str">
        <f>'[1]VRN 01'!G5</f>
        <v>VRI/SOD/2020/Ži</v>
      </c>
      <c r="I4" s="5"/>
      <c r="J4" s="65"/>
      <c r="K4" s="18"/>
      <c r="L4" s="19"/>
      <c r="M4" s="19"/>
      <c r="N4" s="66"/>
    </row>
    <row r="5" spans="1:29" s="2" customFormat="1" ht="18" customHeight="1" x14ac:dyDescent="0.2">
      <c r="F5" s="12" t="s">
        <v>983</v>
      </c>
      <c r="G5" s="13" t="s">
        <v>1001</v>
      </c>
      <c r="I5" s="5"/>
      <c r="J5" s="65"/>
      <c r="K5" s="18"/>
      <c r="L5" s="19"/>
      <c r="M5" s="19"/>
      <c r="N5" s="66"/>
    </row>
    <row r="6" spans="1:29" s="2" customFormat="1" ht="18" customHeight="1" x14ac:dyDescent="0.2">
      <c r="F6" s="3" t="s">
        <v>984</v>
      </c>
      <c r="G6" s="13" t="str">
        <f>'[1]VRN 01'!G7</f>
        <v>Vododvody a kanalizace Mladá Boleslav, a.s.</v>
      </c>
      <c r="I6" s="5"/>
      <c r="J6" s="65"/>
      <c r="K6" s="18"/>
      <c r="L6" s="19"/>
      <c r="M6" s="19"/>
      <c r="N6" s="66"/>
    </row>
    <row r="7" spans="1:29" s="2" customFormat="1" ht="18" customHeight="1" x14ac:dyDescent="0.2">
      <c r="F7" s="3" t="s">
        <v>986</v>
      </c>
      <c r="G7" s="20" t="str">
        <f>'[1]VRN 01'!G8</f>
        <v>VCES a.s.</v>
      </c>
      <c r="H7" s="67"/>
      <c r="I7" s="5"/>
      <c r="J7" s="65"/>
      <c r="K7" s="18"/>
      <c r="L7" s="19"/>
      <c r="M7" s="19"/>
      <c r="N7" s="66"/>
    </row>
    <row r="8" spans="1:29" s="68" customFormat="1" ht="18" customHeight="1" x14ac:dyDescent="0.2">
      <c r="D8" s="69"/>
      <c r="F8" s="3"/>
      <c r="G8" s="20"/>
      <c r="H8" s="67"/>
      <c r="K8" s="72" t="s">
        <v>996</v>
      </c>
      <c r="L8" s="73" t="str">
        <f>+C12</f>
        <v>01 - SO 02.A - ČSOV 1 - stavební část</v>
      </c>
      <c r="M8" s="73"/>
      <c r="O8" s="74"/>
    </row>
    <row r="9" spans="1:29" s="75" customFormat="1" ht="20.100000000000001" customHeight="1" x14ac:dyDescent="0.2">
      <c r="C9" s="76"/>
      <c r="D9" s="77"/>
      <c r="E9" s="77"/>
      <c r="F9" s="77"/>
      <c r="G9" s="77"/>
      <c r="H9" s="77"/>
      <c r="I9" s="78"/>
      <c r="J9" s="79"/>
      <c r="K9" s="332" t="s">
        <v>1266</v>
      </c>
      <c r="L9" s="332"/>
      <c r="M9" s="332"/>
      <c r="N9" s="339" t="s">
        <v>1267</v>
      </c>
      <c r="O9" s="339"/>
      <c r="P9" s="340"/>
    </row>
    <row r="10" spans="1:29" s="75" customFormat="1" ht="24" customHeight="1" x14ac:dyDescent="0.2">
      <c r="C10" s="80"/>
      <c r="D10" s="81" t="s">
        <v>997</v>
      </c>
      <c r="E10" s="81" t="s">
        <v>976</v>
      </c>
      <c r="F10" s="81" t="s">
        <v>977</v>
      </c>
      <c r="G10" s="81" t="s">
        <v>64</v>
      </c>
      <c r="H10" s="82" t="s">
        <v>65</v>
      </c>
      <c r="I10" s="83" t="s">
        <v>998</v>
      </c>
      <c r="J10" s="84" t="s">
        <v>978</v>
      </c>
      <c r="K10" s="218" t="s">
        <v>999</v>
      </c>
      <c r="L10" s="219" t="s">
        <v>1260</v>
      </c>
      <c r="M10" s="220" t="s">
        <v>978</v>
      </c>
      <c r="N10" s="263" t="s">
        <v>1264</v>
      </c>
      <c r="O10" s="264" t="s">
        <v>1260</v>
      </c>
      <c r="P10" s="265" t="s">
        <v>978</v>
      </c>
      <c r="Q10" s="154" t="s">
        <v>1002</v>
      </c>
      <c r="R10" s="157" t="s">
        <v>1083</v>
      </c>
      <c r="T10" s="157" t="s">
        <v>1127</v>
      </c>
      <c r="W10" s="157" t="s">
        <v>1132</v>
      </c>
      <c r="AC10" s="75" t="s">
        <v>1211</v>
      </c>
    </row>
    <row r="12" spans="1:29" s="109" customFormat="1" ht="22.9" customHeight="1" x14ac:dyDescent="0.25">
      <c r="A12" s="97"/>
      <c r="B12" s="97"/>
      <c r="C12" s="98" t="s">
        <v>475</v>
      </c>
      <c r="D12" s="97"/>
      <c r="E12" s="97"/>
      <c r="F12" s="97"/>
      <c r="G12" s="97"/>
      <c r="H12" s="97"/>
      <c r="I12" s="97"/>
      <c r="J12" s="99">
        <v>1281541.9699999995</v>
      </c>
      <c r="T12" s="329" t="s">
        <v>1129</v>
      </c>
    </row>
    <row r="13" spans="1:29" s="110" customFormat="1" ht="25.9" customHeight="1" x14ac:dyDescent="0.2">
      <c r="D13" s="111" t="s">
        <v>3</v>
      </c>
      <c r="E13" s="112" t="s">
        <v>66</v>
      </c>
      <c r="F13" s="112" t="s">
        <v>476</v>
      </c>
      <c r="J13" s="113">
        <v>1257159.4399999995</v>
      </c>
      <c r="Q13" s="156"/>
      <c r="T13" s="329"/>
      <c r="U13" s="170" t="s">
        <v>1130</v>
      </c>
      <c r="V13" s="176" t="s">
        <v>1131</v>
      </c>
      <c r="W13" s="176" t="s">
        <v>1003</v>
      </c>
      <c r="AC13" s="176" t="s">
        <v>1003</v>
      </c>
    </row>
    <row r="14" spans="1:29" s="110" customFormat="1" ht="22.9" customHeight="1" x14ac:dyDescent="0.2">
      <c r="C14" s="252"/>
      <c r="D14" s="253" t="s">
        <v>3</v>
      </c>
      <c r="E14" s="254" t="s">
        <v>7</v>
      </c>
      <c r="F14" s="254" t="s">
        <v>68</v>
      </c>
      <c r="G14" s="252"/>
      <c r="H14" s="252"/>
      <c r="I14" s="252"/>
      <c r="J14" s="255">
        <v>1001794.98</v>
      </c>
      <c r="K14" s="252"/>
      <c r="L14" s="252"/>
      <c r="M14" s="258">
        <f>SUM(M15:M33)</f>
        <v>0</v>
      </c>
      <c r="N14" s="252"/>
      <c r="O14" s="252"/>
      <c r="P14" s="258">
        <f>SUM(P15:P33)</f>
        <v>1001794.9598500001</v>
      </c>
      <c r="Q14" s="156"/>
      <c r="T14" s="329"/>
    </row>
    <row r="15" spans="1:29" s="109" customFormat="1" ht="21.75" customHeight="1" x14ac:dyDescent="0.2">
      <c r="A15" s="97"/>
      <c r="B15" s="116"/>
      <c r="C15" s="117" t="s">
        <v>7</v>
      </c>
      <c r="D15" s="117" t="s">
        <v>69</v>
      </c>
      <c r="E15" s="118" t="s">
        <v>477</v>
      </c>
      <c r="F15" s="119" t="s">
        <v>478</v>
      </c>
      <c r="G15" s="120" t="s">
        <v>479</v>
      </c>
      <c r="H15" s="121">
        <v>480</v>
      </c>
      <c r="I15" s="122">
        <v>63.13</v>
      </c>
      <c r="J15" s="122">
        <v>30302.400000000001</v>
      </c>
      <c r="K15" s="85">
        <v>0</v>
      </c>
      <c r="L15" s="86">
        <f>I15</f>
        <v>63.13</v>
      </c>
      <c r="M15" s="277">
        <f>K15*L15</f>
        <v>0</v>
      </c>
      <c r="N15" s="87">
        <f>H15+K15</f>
        <v>480</v>
      </c>
      <c r="O15" s="88">
        <f>I15</f>
        <v>63.13</v>
      </c>
      <c r="P15" s="278">
        <f>N15*O15</f>
        <v>30302.400000000001</v>
      </c>
    </row>
    <row r="16" spans="1:29" s="109" customFormat="1" ht="33" customHeight="1" x14ac:dyDescent="0.2">
      <c r="A16" s="97"/>
      <c r="B16" s="116"/>
      <c r="C16" s="117" t="s">
        <v>8</v>
      </c>
      <c r="D16" s="117" t="s">
        <v>69</v>
      </c>
      <c r="E16" s="118" t="s">
        <v>480</v>
      </c>
      <c r="F16" s="119" t="s">
        <v>481</v>
      </c>
      <c r="G16" s="120" t="s">
        <v>482</v>
      </c>
      <c r="H16" s="121">
        <v>20</v>
      </c>
      <c r="I16" s="122">
        <v>195.97</v>
      </c>
      <c r="J16" s="122">
        <v>3919.4</v>
      </c>
      <c r="K16" s="85">
        <v>0</v>
      </c>
      <c r="L16" s="86">
        <f>I16</f>
        <v>195.97</v>
      </c>
      <c r="M16" s="277">
        <f t="shared" ref="M16:M79" si="0">K16*L16</f>
        <v>0</v>
      </c>
      <c r="N16" s="87">
        <f>H16+K16</f>
        <v>20</v>
      </c>
      <c r="O16" s="88">
        <f>I16</f>
        <v>195.97</v>
      </c>
      <c r="P16" s="278">
        <f>N16*O16</f>
        <v>3919.4</v>
      </c>
    </row>
    <row r="17" spans="1:28" s="109" customFormat="1" ht="33" customHeight="1" x14ac:dyDescent="0.2">
      <c r="A17" s="97"/>
      <c r="B17" s="116"/>
      <c r="C17" s="117" t="s">
        <v>76</v>
      </c>
      <c r="D17" s="117" t="s">
        <v>69</v>
      </c>
      <c r="E17" s="118" t="s">
        <v>483</v>
      </c>
      <c r="F17" s="119" t="s">
        <v>484</v>
      </c>
      <c r="G17" s="120" t="s">
        <v>62</v>
      </c>
      <c r="H17" s="121">
        <v>15.401</v>
      </c>
      <c r="I17" s="122">
        <v>255.15</v>
      </c>
      <c r="J17" s="122">
        <v>3929.57</v>
      </c>
      <c r="K17" s="85">
        <v>0</v>
      </c>
      <c r="L17" s="86">
        <f t="shared" ref="L17:L80" si="1">I17</f>
        <v>255.15</v>
      </c>
      <c r="M17" s="277">
        <f t="shared" si="0"/>
        <v>0</v>
      </c>
      <c r="N17" s="87">
        <f t="shared" ref="N17:N80" si="2">H17+K17</f>
        <v>15.401</v>
      </c>
      <c r="O17" s="88">
        <f t="shared" ref="O17:O80" si="3">I17</f>
        <v>255.15</v>
      </c>
      <c r="P17" s="278">
        <f t="shared" ref="P17:P80" si="4">N17*O17</f>
        <v>3929.5651499999999</v>
      </c>
      <c r="R17" s="150" t="s">
        <v>1093</v>
      </c>
    </row>
    <row r="18" spans="1:28" s="109" customFormat="1" ht="33" customHeight="1" x14ac:dyDescent="0.2">
      <c r="A18" s="97"/>
      <c r="B18" s="116"/>
      <c r="C18" s="117" t="s">
        <v>73</v>
      </c>
      <c r="D18" s="117" t="s">
        <v>69</v>
      </c>
      <c r="E18" s="118" t="s">
        <v>485</v>
      </c>
      <c r="F18" s="119" t="s">
        <v>486</v>
      </c>
      <c r="G18" s="120" t="s">
        <v>62</v>
      </c>
      <c r="H18" s="121">
        <v>30.802</v>
      </c>
      <c r="I18" s="122">
        <v>284.08999999999997</v>
      </c>
      <c r="J18" s="122">
        <v>8750.5400000000009</v>
      </c>
      <c r="K18" s="85">
        <v>0</v>
      </c>
      <c r="L18" s="86">
        <f t="shared" si="1"/>
        <v>284.08999999999997</v>
      </c>
      <c r="M18" s="277">
        <f t="shared" si="0"/>
        <v>0</v>
      </c>
      <c r="N18" s="87">
        <f t="shared" si="2"/>
        <v>30.802</v>
      </c>
      <c r="O18" s="88">
        <f t="shared" si="3"/>
        <v>284.08999999999997</v>
      </c>
      <c r="P18" s="278">
        <f t="shared" si="4"/>
        <v>8750.54018</v>
      </c>
      <c r="R18" s="150" t="s">
        <v>1093</v>
      </c>
    </row>
    <row r="19" spans="1:28" s="109" customFormat="1" ht="33" customHeight="1" x14ac:dyDescent="0.2">
      <c r="A19" s="97"/>
      <c r="B19" s="116"/>
      <c r="C19" s="117" t="s">
        <v>81</v>
      </c>
      <c r="D19" s="117" t="s">
        <v>69</v>
      </c>
      <c r="E19" s="118" t="s">
        <v>487</v>
      </c>
      <c r="F19" s="119" t="s">
        <v>488</v>
      </c>
      <c r="G19" s="120" t="s">
        <v>62</v>
      </c>
      <c r="H19" s="121">
        <v>30.802</v>
      </c>
      <c r="I19" s="122">
        <v>357.74</v>
      </c>
      <c r="J19" s="122">
        <v>11019.11</v>
      </c>
      <c r="K19" s="85">
        <v>0</v>
      </c>
      <c r="L19" s="86">
        <f t="shared" si="1"/>
        <v>357.74</v>
      </c>
      <c r="M19" s="277">
        <f t="shared" si="0"/>
        <v>0</v>
      </c>
      <c r="N19" s="87">
        <f t="shared" si="2"/>
        <v>30.802</v>
      </c>
      <c r="O19" s="88">
        <f t="shared" si="3"/>
        <v>357.74</v>
      </c>
      <c r="P19" s="278">
        <f t="shared" si="4"/>
        <v>11019.107480000001</v>
      </c>
    </row>
    <row r="20" spans="1:28" s="109" customFormat="1" ht="21.75" customHeight="1" x14ac:dyDescent="0.2">
      <c r="A20" s="97"/>
      <c r="B20" s="116"/>
      <c r="C20" s="117" t="s">
        <v>84</v>
      </c>
      <c r="D20" s="117" t="s">
        <v>69</v>
      </c>
      <c r="E20" s="118" t="s">
        <v>489</v>
      </c>
      <c r="F20" s="119" t="s">
        <v>490</v>
      </c>
      <c r="G20" s="120" t="s">
        <v>138</v>
      </c>
      <c r="H20" s="121">
        <v>44</v>
      </c>
      <c r="I20" s="122">
        <v>983.78</v>
      </c>
      <c r="J20" s="122">
        <v>43286.32</v>
      </c>
      <c r="K20" s="85">
        <v>0</v>
      </c>
      <c r="L20" s="86">
        <f t="shared" si="1"/>
        <v>983.78</v>
      </c>
      <c r="M20" s="277">
        <f t="shared" si="0"/>
        <v>0</v>
      </c>
      <c r="N20" s="87">
        <f t="shared" si="2"/>
        <v>44</v>
      </c>
      <c r="O20" s="88">
        <f t="shared" si="3"/>
        <v>983.78</v>
      </c>
      <c r="P20" s="278">
        <f t="shared" si="4"/>
        <v>43286.32</v>
      </c>
    </row>
    <row r="21" spans="1:28" s="109" customFormat="1" ht="21.75" customHeight="1" x14ac:dyDescent="0.2">
      <c r="A21" s="97"/>
      <c r="B21" s="116"/>
      <c r="C21" s="117" t="s">
        <v>87</v>
      </c>
      <c r="D21" s="117" t="s">
        <v>69</v>
      </c>
      <c r="E21" s="118" t="s">
        <v>491</v>
      </c>
      <c r="F21" s="119" t="s">
        <v>492</v>
      </c>
      <c r="G21" s="120" t="s">
        <v>138</v>
      </c>
      <c r="H21" s="121">
        <v>2</v>
      </c>
      <c r="I21" s="122">
        <v>741.78</v>
      </c>
      <c r="J21" s="122">
        <v>1483.56</v>
      </c>
      <c r="K21" s="85">
        <v>0</v>
      </c>
      <c r="L21" s="86">
        <f t="shared" si="1"/>
        <v>741.78</v>
      </c>
      <c r="M21" s="277">
        <f t="shared" si="0"/>
        <v>0</v>
      </c>
      <c r="N21" s="87">
        <f t="shared" si="2"/>
        <v>2</v>
      </c>
      <c r="O21" s="88">
        <f t="shared" si="3"/>
        <v>741.78</v>
      </c>
      <c r="P21" s="278">
        <f t="shared" si="4"/>
        <v>1483.56</v>
      </c>
    </row>
    <row r="22" spans="1:28" s="109" customFormat="1" ht="33" customHeight="1" x14ac:dyDescent="0.2">
      <c r="A22" s="97"/>
      <c r="B22" s="116"/>
      <c r="C22" s="117" t="s">
        <v>90</v>
      </c>
      <c r="D22" s="117" t="s">
        <v>69</v>
      </c>
      <c r="E22" s="118" t="s">
        <v>493</v>
      </c>
      <c r="F22" s="119" t="s">
        <v>494</v>
      </c>
      <c r="G22" s="120" t="s">
        <v>72</v>
      </c>
      <c r="H22" s="121">
        <v>124.8</v>
      </c>
      <c r="I22" s="122">
        <v>840.43</v>
      </c>
      <c r="J22" s="122">
        <v>104885.66</v>
      </c>
      <c r="K22" s="85">
        <v>0</v>
      </c>
      <c r="L22" s="86">
        <f t="shared" si="1"/>
        <v>840.43</v>
      </c>
      <c r="M22" s="277">
        <f t="shared" si="0"/>
        <v>0</v>
      </c>
      <c r="N22" s="87">
        <f t="shared" si="2"/>
        <v>124.8</v>
      </c>
      <c r="O22" s="88">
        <f t="shared" si="3"/>
        <v>840.43</v>
      </c>
      <c r="P22" s="278">
        <f t="shared" si="4"/>
        <v>104885.66399999999</v>
      </c>
    </row>
    <row r="23" spans="1:28" s="109" customFormat="1" ht="33" customHeight="1" x14ac:dyDescent="0.2">
      <c r="A23" s="97"/>
      <c r="B23" s="116"/>
      <c r="C23" s="117" t="s">
        <v>93</v>
      </c>
      <c r="D23" s="117" t="s">
        <v>69</v>
      </c>
      <c r="E23" s="118" t="s">
        <v>495</v>
      </c>
      <c r="F23" s="119" t="s">
        <v>496</v>
      </c>
      <c r="G23" s="120" t="s">
        <v>72</v>
      </c>
      <c r="H23" s="121">
        <v>124.8</v>
      </c>
      <c r="I23" s="122">
        <v>3051.31</v>
      </c>
      <c r="J23" s="122">
        <v>380803.49</v>
      </c>
      <c r="K23" s="85">
        <v>0</v>
      </c>
      <c r="L23" s="86">
        <f t="shared" si="1"/>
        <v>3051.31</v>
      </c>
      <c r="M23" s="277">
        <f t="shared" si="0"/>
        <v>0</v>
      </c>
      <c r="N23" s="87">
        <f t="shared" si="2"/>
        <v>124.8</v>
      </c>
      <c r="O23" s="88">
        <f t="shared" si="3"/>
        <v>3051.31</v>
      </c>
      <c r="P23" s="278">
        <f t="shared" si="4"/>
        <v>380803.48800000001</v>
      </c>
    </row>
    <row r="24" spans="1:28" s="109" customFormat="1" ht="12" x14ac:dyDescent="0.2">
      <c r="A24" s="97"/>
      <c r="B24" s="116"/>
      <c r="C24" s="123" t="s">
        <v>26</v>
      </c>
      <c r="D24" s="123" t="s">
        <v>127</v>
      </c>
      <c r="E24" s="124" t="s">
        <v>497</v>
      </c>
      <c r="F24" s="125" t="s">
        <v>498</v>
      </c>
      <c r="G24" s="126" t="s">
        <v>120</v>
      </c>
      <c r="H24" s="127">
        <v>15.226000000000001</v>
      </c>
      <c r="I24" s="128">
        <v>23581.88</v>
      </c>
      <c r="J24" s="128">
        <v>359057.7</v>
      </c>
      <c r="K24" s="85">
        <v>0</v>
      </c>
      <c r="L24" s="86">
        <f t="shared" si="1"/>
        <v>23581.88</v>
      </c>
      <c r="M24" s="277">
        <f t="shared" si="0"/>
        <v>0</v>
      </c>
      <c r="N24" s="87">
        <f t="shared" si="2"/>
        <v>15.226000000000001</v>
      </c>
      <c r="O24" s="88">
        <f t="shared" si="3"/>
        <v>23581.88</v>
      </c>
      <c r="P24" s="278">
        <f t="shared" si="4"/>
        <v>359057.70488000003</v>
      </c>
      <c r="Q24" s="148"/>
      <c r="R24" s="158"/>
      <c r="S24" s="159"/>
    </row>
    <row r="25" spans="1:28" s="109" customFormat="1" ht="20.100000000000001" customHeight="1" x14ac:dyDescent="0.2">
      <c r="A25" s="97"/>
      <c r="B25" s="116"/>
      <c r="C25" s="123" t="s">
        <v>28</v>
      </c>
      <c r="D25" s="123" t="s">
        <v>127</v>
      </c>
      <c r="E25" s="124" t="s">
        <v>499</v>
      </c>
      <c r="F25" s="125" t="s">
        <v>500</v>
      </c>
      <c r="G25" s="126" t="s">
        <v>120</v>
      </c>
      <c r="H25" s="127">
        <v>0.41199999999999998</v>
      </c>
      <c r="I25" s="128">
        <v>34024.730000000003</v>
      </c>
      <c r="J25" s="128">
        <v>14018.19</v>
      </c>
      <c r="K25" s="85">
        <v>0</v>
      </c>
      <c r="L25" s="86">
        <f t="shared" si="1"/>
        <v>34024.730000000003</v>
      </c>
      <c r="M25" s="277">
        <f t="shared" si="0"/>
        <v>0</v>
      </c>
      <c r="N25" s="87">
        <f t="shared" si="2"/>
        <v>0.41199999999999998</v>
      </c>
      <c r="O25" s="88">
        <f t="shared" si="3"/>
        <v>34024.730000000003</v>
      </c>
      <c r="P25" s="278">
        <f t="shared" si="4"/>
        <v>14018.188760000001</v>
      </c>
      <c r="Z25" s="148" t="s">
        <v>1160</v>
      </c>
      <c r="AA25" s="109" t="s">
        <v>1177</v>
      </c>
      <c r="AB25" s="109" t="s">
        <v>1102</v>
      </c>
    </row>
    <row r="26" spans="1:28" s="109" customFormat="1" ht="44.25" customHeight="1" x14ac:dyDescent="0.2">
      <c r="A26" s="97"/>
      <c r="B26" s="116"/>
      <c r="C26" s="117" t="s">
        <v>30</v>
      </c>
      <c r="D26" s="117" t="s">
        <v>69</v>
      </c>
      <c r="E26" s="118" t="s">
        <v>501</v>
      </c>
      <c r="F26" s="119" t="s">
        <v>502</v>
      </c>
      <c r="G26" s="120" t="s">
        <v>62</v>
      </c>
      <c r="H26" s="121">
        <v>30.802</v>
      </c>
      <c r="I26" s="122">
        <v>13.15</v>
      </c>
      <c r="J26" s="122">
        <v>405.05</v>
      </c>
      <c r="K26" s="85">
        <v>0</v>
      </c>
      <c r="L26" s="86">
        <f t="shared" si="1"/>
        <v>13.15</v>
      </c>
      <c r="M26" s="277">
        <f t="shared" si="0"/>
        <v>0</v>
      </c>
      <c r="N26" s="87">
        <f t="shared" si="2"/>
        <v>30.802</v>
      </c>
      <c r="O26" s="88">
        <f t="shared" si="3"/>
        <v>13.15</v>
      </c>
      <c r="P26" s="278">
        <f t="shared" si="4"/>
        <v>405.04630000000003</v>
      </c>
    </row>
    <row r="27" spans="1:28" s="109" customFormat="1" ht="44.25" customHeight="1" x14ac:dyDescent="0.2">
      <c r="A27" s="97"/>
      <c r="B27" s="116"/>
      <c r="C27" s="117" t="s">
        <v>32</v>
      </c>
      <c r="D27" s="117" t="s">
        <v>69</v>
      </c>
      <c r="E27" s="118" t="s">
        <v>106</v>
      </c>
      <c r="F27" s="119" t="s">
        <v>107</v>
      </c>
      <c r="G27" s="120" t="s">
        <v>62</v>
      </c>
      <c r="H27" s="121">
        <v>46.201999999999998</v>
      </c>
      <c r="I27" s="122">
        <v>13.15</v>
      </c>
      <c r="J27" s="122">
        <v>607.55999999999995</v>
      </c>
      <c r="K27" s="85">
        <v>0</v>
      </c>
      <c r="L27" s="86">
        <f t="shared" si="1"/>
        <v>13.15</v>
      </c>
      <c r="M27" s="277">
        <f t="shared" si="0"/>
        <v>0</v>
      </c>
      <c r="N27" s="87">
        <f t="shared" si="2"/>
        <v>46.201999999999998</v>
      </c>
      <c r="O27" s="88">
        <f t="shared" si="3"/>
        <v>13.15</v>
      </c>
      <c r="P27" s="278">
        <f t="shared" si="4"/>
        <v>607.55629999999996</v>
      </c>
      <c r="R27" s="150" t="s">
        <v>1093</v>
      </c>
      <c r="S27" s="109" t="s">
        <v>1008</v>
      </c>
    </row>
    <row r="28" spans="1:28" s="109" customFormat="1" ht="44.25" customHeight="1" x14ac:dyDescent="0.2">
      <c r="A28" s="97"/>
      <c r="B28" s="116"/>
      <c r="C28" s="117" t="s">
        <v>34</v>
      </c>
      <c r="D28" s="117" t="s">
        <v>69</v>
      </c>
      <c r="E28" s="118" t="s">
        <v>108</v>
      </c>
      <c r="F28" s="119" t="s">
        <v>109</v>
      </c>
      <c r="G28" s="120" t="s">
        <v>62</v>
      </c>
      <c r="H28" s="121">
        <v>122.244</v>
      </c>
      <c r="I28" s="122">
        <v>124.95</v>
      </c>
      <c r="J28" s="122">
        <v>15274.39</v>
      </c>
      <c r="K28" s="85">
        <v>0</v>
      </c>
      <c r="L28" s="86">
        <f t="shared" si="1"/>
        <v>124.95</v>
      </c>
      <c r="M28" s="277">
        <f t="shared" si="0"/>
        <v>0</v>
      </c>
      <c r="N28" s="87">
        <f t="shared" si="2"/>
        <v>122.244</v>
      </c>
      <c r="O28" s="88">
        <f t="shared" si="3"/>
        <v>124.95</v>
      </c>
      <c r="P28" s="278">
        <f t="shared" si="4"/>
        <v>15274.3878</v>
      </c>
      <c r="R28" s="150" t="s">
        <v>1093</v>
      </c>
      <c r="S28" s="109" t="s">
        <v>1008</v>
      </c>
    </row>
    <row r="29" spans="1:28" s="109" customFormat="1" ht="33" customHeight="1" x14ac:dyDescent="0.2">
      <c r="A29" s="97"/>
      <c r="B29" s="116"/>
      <c r="C29" s="117" t="s">
        <v>1</v>
      </c>
      <c r="D29" s="117" t="s">
        <v>69</v>
      </c>
      <c r="E29" s="118" t="s">
        <v>110</v>
      </c>
      <c r="F29" s="119" t="s">
        <v>111</v>
      </c>
      <c r="G29" s="120" t="s">
        <v>62</v>
      </c>
      <c r="H29" s="121">
        <v>77.004000000000005</v>
      </c>
      <c r="I29" s="122">
        <v>44.72</v>
      </c>
      <c r="J29" s="122">
        <v>3443.62</v>
      </c>
      <c r="K29" s="85">
        <v>0</v>
      </c>
      <c r="L29" s="86">
        <f t="shared" si="1"/>
        <v>44.72</v>
      </c>
      <c r="M29" s="277">
        <f t="shared" si="0"/>
        <v>0</v>
      </c>
      <c r="N29" s="87">
        <f t="shared" si="2"/>
        <v>77.004000000000005</v>
      </c>
      <c r="O29" s="88">
        <f t="shared" si="3"/>
        <v>44.72</v>
      </c>
      <c r="P29" s="278">
        <f t="shared" si="4"/>
        <v>3443.61888</v>
      </c>
    </row>
    <row r="30" spans="1:28" s="109" customFormat="1" ht="44.25" customHeight="1" x14ac:dyDescent="0.2">
      <c r="A30" s="97"/>
      <c r="B30" s="116"/>
      <c r="C30" s="117" t="s">
        <v>37</v>
      </c>
      <c r="D30" s="117" t="s">
        <v>69</v>
      </c>
      <c r="E30" s="118" t="s">
        <v>112</v>
      </c>
      <c r="F30" s="119" t="s">
        <v>113</v>
      </c>
      <c r="G30" s="120" t="s">
        <v>62</v>
      </c>
      <c r="H30" s="121">
        <v>31.763999999999999</v>
      </c>
      <c r="I30" s="122">
        <v>247.39</v>
      </c>
      <c r="J30" s="122">
        <v>7858.1</v>
      </c>
      <c r="K30" s="85">
        <v>0</v>
      </c>
      <c r="L30" s="86">
        <f t="shared" si="1"/>
        <v>247.39</v>
      </c>
      <c r="M30" s="277">
        <f t="shared" si="0"/>
        <v>0</v>
      </c>
      <c r="N30" s="87">
        <f t="shared" si="2"/>
        <v>31.763999999999999</v>
      </c>
      <c r="O30" s="88">
        <f t="shared" si="3"/>
        <v>247.39</v>
      </c>
      <c r="P30" s="278">
        <f t="shared" si="4"/>
        <v>7858.0959599999996</v>
      </c>
      <c r="R30" s="150" t="s">
        <v>1093</v>
      </c>
      <c r="S30" s="109" t="s">
        <v>1008</v>
      </c>
    </row>
    <row r="31" spans="1:28" s="109" customFormat="1" ht="16.5" customHeight="1" x14ac:dyDescent="0.2">
      <c r="A31" s="97"/>
      <c r="B31" s="116"/>
      <c r="C31" s="117" t="s">
        <v>39</v>
      </c>
      <c r="D31" s="117" t="s">
        <v>69</v>
      </c>
      <c r="E31" s="118" t="s">
        <v>115</v>
      </c>
      <c r="F31" s="119" t="s">
        <v>116</v>
      </c>
      <c r="G31" s="120" t="s">
        <v>62</v>
      </c>
      <c r="H31" s="121">
        <v>31.763999999999999</v>
      </c>
      <c r="I31" s="122">
        <v>11.84</v>
      </c>
      <c r="J31" s="122">
        <v>376.09</v>
      </c>
      <c r="K31" s="85">
        <v>0</v>
      </c>
      <c r="L31" s="86">
        <f t="shared" si="1"/>
        <v>11.84</v>
      </c>
      <c r="M31" s="277">
        <f t="shared" si="0"/>
        <v>0</v>
      </c>
      <c r="N31" s="87">
        <f t="shared" si="2"/>
        <v>31.763999999999999</v>
      </c>
      <c r="O31" s="88">
        <f t="shared" si="3"/>
        <v>11.84</v>
      </c>
      <c r="P31" s="278">
        <f t="shared" si="4"/>
        <v>376.08575999999999</v>
      </c>
      <c r="R31" s="150" t="s">
        <v>1093</v>
      </c>
      <c r="S31" s="109" t="s">
        <v>1008</v>
      </c>
    </row>
    <row r="32" spans="1:28" s="109" customFormat="1" ht="33" customHeight="1" x14ac:dyDescent="0.2">
      <c r="A32" s="97"/>
      <c r="B32" s="116"/>
      <c r="C32" s="117" t="s">
        <v>41</v>
      </c>
      <c r="D32" s="117" t="s">
        <v>69</v>
      </c>
      <c r="E32" s="118" t="s">
        <v>118</v>
      </c>
      <c r="F32" s="119" t="s">
        <v>119</v>
      </c>
      <c r="G32" s="120" t="s">
        <v>120</v>
      </c>
      <c r="H32" s="121">
        <v>50.764000000000003</v>
      </c>
      <c r="I32" s="122">
        <v>116</v>
      </c>
      <c r="J32" s="122">
        <v>5888.62</v>
      </c>
      <c r="K32" s="85">
        <v>0</v>
      </c>
      <c r="L32" s="86">
        <f t="shared" si="1"/>
        <v>116</v>
      </c>
      <c r="M32" s="277">
        <f t="shared" si="0"/>
        <v>0</v>
      </c>
      <c r="N32" s="87">
        <f t="shared" si="2"/>
        <v>50.764000000000003</v>
      </c>
      <c r="O32" s="88">
        <f t="shared" si="3"/>
        <v>116</v>
      </c>
      <c r="P32" s="278">
        <f t="shared" si="4"/>
        <v>5888.6240000000007</v>
      </c>
      <c r="R32" s="150" t="s">
        <v>1094</v>
      </c>
      <c r="S32" s="109" t="s">
        <v>1099</v>
      </c>
    </row>
    <row r="33" spans="1:17" s="109" customFormat="1" ht="33" customHeight="1" x14ac:dyDescent="0.2">
      <c r="A33" s="97"/>
      <c r="B33" s="116"/>
      <c r="C33" s="117" t="s">
        <v>114</v>
      </c>
      <c r="D33" s="117" t="s">
        <v>69</v>
      </c>
      <c r="E33" s="118" t="s">
        <v>121</v>
      </c>
      <c r="F33" s="119" t="s">
        <v>122</v>
      </c>
      <c r="G33" s="120" t="s">
        <v>62</v>
      </c>
      <c r="H33" s="121">
        <v>45.24</v>
      </c>
      <c r="I33" s="122">
        <v>143.36000000000001</v>
      </c>
      <c r="J33" s="122">
        <v>6485.61</v>
      </c>
      <c r="K33" s="85">
        <v>0</v>
      </c>
      <c r="L33" s="86">
        <f t="shared" si="1"/>
        <v>143.36000000000001</v>
      </c>
      <c r="M33" s="277">
        <f t="shared" si="0"/>
        <v>0</v>
      </c>
      <c r="N33" s="87">
        <f t="shared" si="2"/>
        <v>45.24</v>
      </c>
      <c r="O33" s="88">
        <f t="shared" si="3"/>
        <v>143.36000000000001</v>
      </c>
      <c r="P33" s="278">
        <f t="shared" si="4"/>
        <v>6485.6064000000006</v>
      </c>
    </row>
    <row r="34" spans="1:17" s="110" customFormat="1" ht="22.9" customHeight="1" x14ac:dyDescent="0.2">
      <c r="C34" s="245"/>
      <c r="D34" s="246" t="s">
        <v>3</v>
      </c>
      <c r="E34" s="247" t="s">
        <v>8</v>
      </c>
      <c r="F34" s="247" t="s">
        <v>503</v>
      </c>
      <c r="G34" s="245"/>
      <c r="H34" s="245"/>
      <c r="I34" s="245"/>
      <c r="J34" s="248">
        <v>43103.81</v>
      </c>
      <c r="K34" s="243"/>
      <c r="L34" s="244"/>
      <c r="M34" s="279">
        <f>SUM(M35:M42)</f>
        <v>0</v>
      </c>
      <c r="N34" s="280"/>
      <c r="O34" s="244"/>
      <c r="P34" s="279">
        <f>SUM(P35:P42)</f>
        <v>43103.801189999998</v>
      </c>
      <c r="Q34" s="156"/>
    </row>
    <row r="35" spans="1:17" s="109" customFormat="1" ht="21.75" customHeight="1" x14ac:dyDescent="0.2">
      <c r="A35" s="97"/>
      <c r="B35" s="116"/>
      <c r="C35" s="117" t="s">
        <v>117</v>
      </c>
      <c r="D35" s="117" t="s">
        <v>69</v>
      </c>
      <c r="E35" s="118" t="s">
        <v>504</v>
      </c>
      <c r="F35" s="119" t="s">
        <v>505</v>
      </c>
      <c r="G35" s="120" t="s">
        <v>62</v>
      </c>
      <c r="H35" s="121">
        <v>1.014</v>
      </c>
      <c r="I35" s="122">
        <v>4674.3999999999996</v>
      </c>
      <c r="J35" s="122">
        <v>4739.84</v>
      </c>
      <c r="K35" s="85">
        <v>0</v>
      </c>
      <c r="L35" s="86">
        <f t="shared" si="1"/>
        <v>4674.3999999999996</v>
      </c>
      <c r="M35" s="277">
        <f t="shared" si="0"/>
        <v>0</v>
      </c>
      <c r="N35" s="87">
        <f t="shared" si="2"/>
        <v>1.014</v>
      </c>
      <c r="O35" s="88">
        <f t="shared" si="3"/>
        <v>4674.3999999999996</v>
      </c>
      <c r="P35" s="278">
        <f t="shared" si="4"/>
        <v>4739.8415999999997</v>
      </c>
    </row>
    <row r="36" spans="1:17" s="109" customFormat="1" ht="21.75" customHeight="1" x14ac:dyDescent="0.2">
      <c r="A36" s="97"/>
      <c r="B36" s="116"/>
      <c r="C36" s="117" t="s">
        <v>0</v>
      </c>
      <c r="D36" s="117" t="s">
        <v>69</v>
      </c>
      <c r="E36" s="118" t="s">
        <v>506</v>
      </c>
      <c r="F36" s="119" t="s">
        <v>507</v>
      </c>
      <c r="G36" s="120" t="s">
        <v>72</v>
      </c>
      <c r="H36" s="121">
        <v>5.59</v>
      </c>
      <c r="I36" s="122">
        <v>867.52</v>
      </c>
      <c r="J36" s="122">
        <v>4849.4399999999996</v>
      </c>
      <c r="K36" s="85">
        <v>0</v>
      </c>
      <c r="L36" s="86">
        <f t="shared" si="1"/>
        <v>867.52</v>
      </c>
      <c r="M36" s="277">
        <f t="shared" si="0"/>
        <v>0</v>
      </c>
      <c r="N36" s="87">
        <f t="shared" si="2"/>
        <v>5.59</v>
      </c>
      <c r="O36" s="88">
        <f t="shared" si="3"/>
        <v>867.52</v>
      </c>
      <c r="P36" s="278">
        <f t="shared" si="4"/>
        <v>4849.4367999999995</v>
      </c>
    </row>
    <row r="37" spans="1:17" s="109" customFormat="1" ht="21.75" customHeight="1" x14ac:dyDescent="0.2">
      <c r="A37" s="97"/>
      <c r="B37" s="116"/>
      <c r="C37" s="117" t="s">
        <v>123</v>
      </c>
      <c r="D37" s="117" t="s">
        <v>69</v>
      </c>
      <c r="E37" s="118" t="s">
        <v>508</v>
      </c>
      <c r="F37" s="119" t="s">
        <v>509</v>
      </c>
      <c r="G37" s="120" t="s">
        <v>62</v>
      </c>
      <c r="H37" s="121">
        <v>1.032</v>
      </c>
      <c r="I37" s="122">
        <v>4674.3999999999996</v>
      </c>
      <c r="J37" s="122">
        <v>4823.9799999999996</v>
      </c>
      <c r="K37" s="85">
        <v>0</v>
      </c>
      <c r="L37" s="86">
        <f t="shared" si="1"/>
        <v>4674.3999999999996</v>
      </c>
      <c r="M37" s="277">
        <f t="shared" si="0"/>
        <v>0</v>
      </c>
      <c r="N37" s="87">
        <f t="shared" si="2"/>
        <v>1.032</v>
      </c>
      <c r="O37" s="88">
        <f t="shared" si="3"/>
        <v>4674.3999999999996</v>
      </c>
      <c r="P37" s="278">
        <f t="shared" si="4"/>
        <v>4823.9807999999994</v>
      </c>
    </row>
    <row r="38" spans="1:17" s="109" customFormat="1" ht="44.25" customHeight="1" x14ac:dyDescent="0.2">
      <c r="A38" s="97"/>
      <c r="B38" s="116"/>
      <c r="C38" s="117" t="s">
        <v>126</v>
      </c>
      <c r="D38" s="117" t="s">
        <v>69</v>
      </c>
      <c r="E38" s="118" t="s">
        <v>510</v>
      </c>
      <c r="F38" s="119" t="s">
        <v>511</v>
      </c>
      <c r="G38" s="120" t="s">
        <v>72</v>
      </c>
      <c r="H38" s="121">
        <v>4.9279999999999999</v>
      </c>
      <c r="I38" s="122">
        <v>1218.3499999999999</v>
      </c>
      <c r="J38" s="122">
        <v>6004.03</v>
      </c>
      <c r="K38" s="85">
        <v>0</v>
      </c>
      <c r="L38" s="86">
        <f t="shared" si="1"/>
        <v>1218.3499999999999</v>
      </c>
      <c r="M38" s="277">
        <f t="shared" si="0"/>
        <v>0</v>
      </c>
      <c r="N38" s="87">
        <f t="shared" si="2"/>
        <v>4.9279999999999999</v>
      </c>
      <c r="O38" s="88">
        <f t="shared" si="3"/>
        <v>1218.3499999999999</v>
      </c>
      <c r="P38" s="278">
        <f t="shared" si="4"/>
        <v>6004.0287999999991</v>
      </c>
    </row>
    <row r="39" spans="1:17" s="109" customFormat="1" ht="44.25" customHeight="1" x14ac:dyDescent="0.2">
      <c r="A39" s="97"/>
      <c r="B39" s="116"/>
      <c r="C39" s="117" t="s">
        <v>131</v>
      </c>
      <c r="D39" s="117" t="s">
        <v>69</v>
      </c>
      <c r="E39" s="118" t="s">
        <v>512</v>
      </c>
      <c r="F39" s="119" t="s">
        <v>513</v>
      </c>
      <c r="G39" s="120" t="s">
        <v>72</v>
      </c>
      <c r="H39" s="121">
        <v>4.9279999999999999</v>
      </c>
      <c r="I39" s="122">
        <v>1218.3499999999999</v>
      </c>
      <c r="J39" s="122">
        <v>6004.03</v>
      </c>
      <c r="K39" s="85">
        <v>0</v>
      </c>
      <c r="L39" s="86">
        <f t="shared" si="1"/>
        <v>1218.3499999999999</v>
      </c>
      <c r="M39" s="277">
        <f t="shared" si="0"/>
        <v>0</v>
      </c>
      <c r="N39" s="87">
        <f t="shared" si="2"/>
        <v>4.9279999999999999</v>
      </c>
      <c r="O39" s="88">
        <f t="shared" si="3"/>
        <v>1218.3499999999999</v>
      </c>
      <c r="P39" s="278">
        <f t="shared" si="4"/>
        <v>6004.0287999999991</v>
      </c>
    </row>
    <row r="40" spans="1:17" s="109" customFormat="1" ht="21.75" customHeight="1" x14ac:dyDescent="0.2">
      <c r="A40" s="97"/>
      <c r="B40" s="116"/>
      <c r="C40" s="117" t="s">
        <v>135</v>
      </c>
      <c r="D40" s="117" t="s">
        <v>69</v>
      </c>
      <c r="E40" s="118" t="s">
        <v>514</v>
      </c>
      <c r="F40" s="119" t="s">
        <v>515</v>
      </c>
      <c r="G40" s="120" t="s">
        <v>120</v>
      </c>
      <c r="H40" s="121">
        <v>3.9E-2</v>
      </c>
      <c r="I40" s="122">
        <v>48236.59</v>
      </c>
      <c r="J40" s="122">
        <v>1881.23</v>
      </c>
      <c r="K40" s="85">
        <v>0</v>
      </c>
      <c r="L40" s="86">
        <f t="shared" si="1"/>
        <v>48236.59</v>
      </c>
      <c r="M40" s="277">
        <f t="shared" si="0"/>
        <v>0</v>
      </c>
      <c r="N40" s="87">
        <f t="shared" si="2"/>
        <v>3.9E-2</v>
      </c>
      <c r="O40" s="88">
        <f t="shared" si="3"/>
        <v>48236.59</v>
      </c>
      <c r="P40" s="278">
        <f t="shared" si="4"/>
        <v>1881.2270099999998</v>
      </c>
    </row>
    <row r="41" spans="1:17" s="109" customFormat="1" ht="21.75" customHeight="1" x14ac:dyDescent="0.2">
      <c r="A41" s="97"/>
      <c r="B41" s="116"/>
      <c r="C41" s="117" t="s">
        <v>139</v>
      </c>
      <c r="D41" s="117" t="s">
        <v>69</v>
      </c>
      <c r="E41" s="118" t="s">
        <v>516</v>
      </c>
      <c r="F41" s="119" t="s">
        <v>517</v>
      </c>
      <c r="G41" s="120" t="s">
        <v>62</v>
      </c>
      <c r="H41" s="121">
        <v>1.2090000000000001</v>
      </c>
      <c r="I41" s="122">
        <v>4546.82</v>
      </c>
      <c r="J41" s="122">
        <v>5497.11</v>
      </c>
      <c r="K41" s="85">
        <v>0</v>
      </c>
      <c r="L41" s="86">
        <f t="shared" si="1"/>
        <v>4546.82</v>
      </c>
      <c r="M41" s="277">
        <f t="shared" si="0"/>
        <v>0</v>
      </c>
      <c r="N41" s="87">
        <f t="shared" si="2"/>
        <v>1.2090000000000001</v>
      </c>
      <c r="O41" s="88">
        <f t="shared" si="3"/>
        <v>4546.82</v>
      </c>
      <c r="P41" s="278">
        <f t="shared" si="4"/>
        <v>5497.10538</v>
      </c>
    </row>
    <row r="42" spans="1:17" s="109" customFormat="1" ht="21.75" customHeight="1" x14ac:dyDescent="0.2">
      <c r="A42" s="97"/>
      <c r="B42" s="116"/>
      <c r="C42" s="117" t="s">
        <v>142</v>
      </c>
      <c r="D42" s="117" t="s">
        <v>69</v>
      </c>
      <c r="E42" s="118" t="s">
        <v>518</v>
      </c>
      <c r="F42" s="119" t="s">
        <v>519</v>
      </c>
      <c r="G42" s="120" t="s">
        <v>72</v>
      </c>
      <c r="H42" s="121">
        <v>10.725</v>
      </c>
      <c r="I42" s="122">
        <v>867.52</v>
      </c>
      <c r="J42" s="122">
        <v>9304.15</v>
      </c>
      <c r="K42" s="85">
        <v>0</v>
      </c>
      <c r="L42" s="86">
        <f t="shared" si="1"/>
        <v>867.52</v>
      </c>
      <c r="M42" s="277">
        <f t="shared" si="0"/>
        <v>0</v>
      </c>
      <c r="N42" s="87">
        <f t="shared" si="2"/>
        <v>10.725</v>
      </c>
      <c r="O42" s="88">
        <f t="shared" si="3"/>
        <v>867.52</v>
      </c>
      <c r="P42" s="278">
        <f t="shared" si="4"/>
        <v>9304.152</v>
      </c>
    </row>
    <row r="43" spans="1:17" s="110" customFormat="1" ht="22.9" customHeight="1" x14ac:dyDescent="0.2">
      <c r="C43" s="245"/>
      <c r="D43" s="246" t="s">
        <v>3</v>
      </c>
      <c r="E43" s="247" t="s">
        <v>76</v>
      </c>
      <c r="F43" s="247" t="s">
        <v>130</v>
      </c>
      <c r="G43" s="245"/>
      <c r="H43" s="245"/>
      <c r="I43" s="245"/>
      <c r="J43" s="248">
        <v>112729.72999999998</v>
      </c>
      <c r="K43" s="243"/>
      <c r="L43" s="244"/>
      <c r="M43" s="279">
        <f>SUM(M44:M57)</f>
        <v>0</v>
      </c>
      <c r="N43" s="280"/>
      <c r="O43" s="244"/>
      <c r="P43" s="279">
        <f>SUM(P44:P57)</f>
        <v>112729.71616</v>
      </c>
      <c r="Q43" s="156"/>
    </row>
    <row r="44" spans="1:17" s="109" customFormat="1" ht="55.5" customHeight="1" x14ac:dyDescent="0.2">
      <c r="A44" s="97"/>
      <c r="B44" s="116"/>
      <c r="C44" s="117" t="s">
        <v>145</v>
      </c>
      <c r="D44" s="117" t="s">
        <v>69</v>
      </c>
      <c r="E44" s="118" t="s">
        <v>520</v>
      </c>
      <c r="F44" s="119" t="s">
        <v>521</v>
      </c>
      <c r="G44" s="120" t="s">
        <v>62</v>
      </c>
      <c r="H44" s="121">
        <v>2.6059999999999999</v>
      </c>
      <c r="I44" s="122">
        <v>12626.11</v>
      </c>
      <c r="J44" s="122">
        <v>32903.64</v>
      </c>
      <c r="K44" s="85">
        <v>0</v>
      </c>
      <c r="L44" s="86">
        <f t="shared" si="1"/>
        <v>12626.11</v>
      </c>
      <c r="M44" s="277">
        <f t="shared" si="0"/>
        <v>0</v>
      </c>
      <c r="N44" s="87">
        <f t="shared" si="2"/>
        <v>2.6059999999999999</v>
      </c>
      <c r="O44" s="88">
        <f t="shared" si="3"/>
        <v>12626.11</v>
      </c>
      <c r="P44" s="278">
        <f t="shared" si="4"/>
        <v>32903.642659999998</v>
      </c>
    </row>
    <row r="45" spans="1:17" s="109" customFormat="1" ht="33" customHeight="1" x14ac:dyDescent="0.2">
      <c r="A45" s="97"/>
      <c r="B45" s="116"/>
      <c r="C45" s="117" t="s">
        <v>148</v>
      </c>
      <c r="D45" s="117" t="s">
        <v>69</v>
      </c>
      <c r="E45" s="118" t="s">
        <v>522</v>
      </c>
      <c r="F45" s="119" t="s">
        <v>523</v>
      </c>
      <c r="G45" s="120" t="s">
        <v>138</v>
      </c>
      <c r="H45" s="121">
        <v>9</v>
      </c>
      <c r="I45" s="122">
        <v>879</v>
      </c>
      <c r="J45" s="122">
        <v>7911</v>
      </c>
      <c r="K45" s="85">
        <v>0</v>
      </c>
      <c r="L45" s="86">
        <f t="shared" si="1"/>
        <v>879</v>
      </c>
      <c r="M45" s="277">
        <f t="shared" si="0"/>
        <v>0</v>
      </c>
      <c r="N45" s="87">
        <f t="shared" si="2"/>
        <v>9</v>
      </c>
      <c r="O45" s="88">
        <f t="shared" si="3"/>
        <v>879</v>
      </c>
      <c r="P45" s="278">
        <f t="shared" si="4"/>
        <v>7911</v>
      </c>
    </row>
    <row r="46" spans="1:17" s="109" customFormat="1" ht="16.5" customHeight="1" x14ac:dyDescent="0.2">
      <c r="A46" s="97"/>
      <c r="B46" s="116"/>
      <c r="C46" s="123" t="s">
        <v>151</v>
      </c>
      <c r="D46" s="123" t="s">
        <v>127</v>
      </c>
      <c r="E46" s="124" t="s">
        <v>524</v>
      </c>
      <c r="F46" s="125" t="s">
        <v>525</v>
      </c>
      <c r="G46" s="126" t="s">
        <v>138</v>
      </c>
      <c r="H46" s="127">
        <v>6</v>
      </c>
      <c r="I46" s="128">
        <v>589.4</v>
      </c>
      <c r="J46" s="128">
        <v>3536.4</v>
      </c>
      <c r="K46" s="85">
        <v>0</v>
      </c>
      <c r="L46" s="86">
        <f t="shared" si="1"/>
        <v>589.4</v>
      </c>
      <c r="M46" s="277">
        <f t="shared" si="0"/>
        <v>0</v>
      </c>
      <c r="N46" s="87">
        <f t="shared" si="2"/>
        <v>6</v>
      </c>
      <c r="O46" s="88">
        <f t="shared" si="3"/>
        <v>589.4</v>
      </c>
      <c r="P46" s="278">
        <f t="shared" si="4"/>
        <v>3536.3999999999996</v>
      </c>
    </row>
    <row r="47" spans="1:17" s="109" customFormat="1" ht="16.5" customHeight="1" x14ac:dyDescent="0.2">
      <c r="A47" s="97"/>
      <c r="B47" s="116"/>
      <c r="C47" s="123" t="s">
        <v>155</v>
      </c>
      <c r="D47" s="123" t="s">
        <v>127</v>
      </c>
      <c r="E47" s="124" t="s">
        <v>526</v>
      </c>
      <c r="F47" s="125" t="s">
        <v>527</v>
      </c>
      <c r="G47" s="126" t="s">
        <v>138</v>
      </c>
      <c r="H47" s="127">
        <v>3</v>
      </c>
      <c r="I47" s="128">
        <v>716.98</v>
      </c>
      <c r="J47" s="128">
        <v>2150.94</v>
      </c>
      <c r="K47" s="85">
        <v>0</v>
      </c>
      <c r="L47" s="86">
        <f t="shared" si="1"/>
        <v>716.98</v>
      </c>
      <c r="M47" s="277">
        <f t="shared" si="0"/>
        <v>0</v>
      </c>
      <c r="N47" s="87">
        <f t="shared" si="2"/>
        <v>3</v>
      </c>
      <c r="O47" s="88">
        <f t="shared" si="3"/>
        <v>716.98</v>
      </c>
      <c r="P47" s="278">
        <f t="shared" si="4"/>
        <v>2150.94</v>
      </c>
    </row>
    <row r="48" spans="1:17" s="109" customFormat="1" ht="44.25" customHeight="1" x14ac:dyDescent="0.2">
      <c r="A48" s="97"/>
      <c r="B48" s="116"/>
      <c r="C48" s="117" t="s">
        <v>158</v>
      </c>
      <c r="D48" s="117" t="s">
        <v>69</v>
      </c>
      <c r="E48" s="118" t="s">
        <v>528</v>
      </c>
      <c r="F48" s="119" t="s">
        <v>529</v>
      </c>
      <c r="G48" s="120" t="s">
        <v>138</v>
      </c>
      <c r="H48" s="121">
        <v>2</v>
      </c>
      <c r="I48" s="122">
        <v>316.39</v>
      </c>
      <c r="J48" s="122">
        <v>632.78</v>
      </c>
      <c r="K48" s="85">
        <v>0</v>
      </c>
      <c r="L48" s="86">
        <f t="shared" si="1"/>
        <v>316.39</v>
      </c>
      <c r="M48" s="277">
        <f t="shared" si="0"/>
        <v>0</v>
      </c>
      <c r="N48" s="87">
        <f t="shared" si="2"/>
        <v>2</v>
      </c>
      <c r="O48" s="88">
        <f t="shared" si="3"/>
        <v>316.39</v>
      </c>
      <c r="P48" s="278">
        <f t="shared" si="4"/>
        <v>632.78</v>
      </c>
    </row>
    <row r="49" spans="1:17" s="109" customFormat="1" ht="21.75" customHeight="1" x14ac:dyDescent="0.2">
      <c r="A49" s="97"/>
      <c r="B49" s="116"/>
      <c r="C49" s="123" t="s">
        <v>161</v>
      </c>
      <c r="D49" s="123" t="s">
        <v>127</v>
      </c>
      <c r="E49" s="124" t="s">
        <v>530</v>
      </c>
      <c r="F49" s="125" t="s">
        <v>531</v>
      </c>
      <c r="G49" s="126" t="s">
        <v>138</v>
      </c>
      <c r="H49" s="127">
        <v>2</v>
      </c>
      <c r="I49" s="128">
        <v>1532.19</v>
      </c>
      <c r="J49" s="128">
        <v>3064.38</v>
      </c>
      <c r="K49" s="85">
        <v>0</v>
      </c>
      <c r="L49" s="86">
        <f t="shared" si="1"/>
        <v>1532.19</v>
      </c>
      <c r="M49" s="277">
        <f t="shared" si="0"/>
        <v>0</v>
      </c>
      <c r="N49" s="87">
        <f t="shared" si="2"/>
        <v>2</v>
      </c>
      <c r="O49" s="88">
        <f t="shared" si="3"/>
        <v>1532.19</v>
      </c>
      <c r="P49" s="278">
        <f t="shared" si="4"/>
        <v>3064.38</v>
      </c>
    </row>
    <row r="50" spans="1:17" s="109" customFormat="1" ht="21.75" customHeight="1" x14ac:dyDescent="0.2">
      <c r="A50" s="97"/>
      <c r="B50" s="116"/>
      <c r="C50" s="117" t="s">
        <v>164</v>
      </c>
      <c r="D50" s="117" t="s">
        <v>69</v>
      </c>
      <c r="E50" s="118" t="s">
        <v>532</v>
      </c>
      <c r="F50" s="119" t="s">
        <v>533</v>
      </c>
      <c r="G50" s="120" t="s">
        <v>138</v>
      </c>
      <c r="H50" s="121">
        <v>1</v>
      </c>
      <c r="I50" s="122">
        <v>1913.64</v>
      </c>
      <c r="J50" s="122">
        <v>1913.64</v>
      </c>
      <c r="K50" s="85">
        <v>0</v>
      </c>
      <c r="L50" s="86">
        <f t="shared" si="1"/>
        <v>1913.64</v>
      </c>
      <c r="M50" s="277">
        <f t="shared" si="0"/>
        <v>0</v>
      </c>
      <c r="N50" s="87">
        <f t="shared" si="2"/>
        <v>1</v>
      </c>
      <c r="O50" s="88">
        <f t="shared" si="3"/>
        <v>1913.64</v>
      </c>
      <c r="P50" s="278">
        <f t="shared" si="4"/>
        <v>1913.64</v>
      </c>
    </row>
    <row r="51" spans="1:17" s="109" customFormat="1" ht="16.5" customHeight="1" x14ac:dyDescent="0.2">
      <c r="A51" s="97"/>
      <c r="B51" s="116"/>
      <c r="C51" s="123" t="s">
        <v>167</v>
      </c>
      <c r="D51" s="123" t="s">
        <v>127</v>
      </c>
      <c r="E51" s="124" t="s">
        <v>534</v>
      </c>
      <c r="F51" s="125" t="s">
        <v>535</v>
      </c>
      <c r="G51" s="126" t="s">
        <v>138</v>
      </c>
      <c r="H51" s="127">
        <v>1</v>
      </c>
      <c r="I51" s="128">
        <v>46930.34</v>
      </c>
      <c r="J51" s="128">
        <v>46930.34</v>
      </c>
      <c r="K51" s="85">
        <v>0</v>
      </c>
      <c r="L51" s="86">
        <f t="shared" si="1"/>
        <v>46930.34</v>
      </c>
      <c r="M51" s="277">
        <f t="shared" si="0"/>
        <v>0</v>
      </c>
      <c r="N51" s="87">
        <f t="shared" si="2"/>
        <v>1</v>
      </c>
      <c r="O51" s="88">
        <f t="shared" si="3"/>
        <v>46930.34</v>
      </c>
      <c r="P51" s="278">
        <f t="shared" si="4"/>
        <v>46930.34</v>
      </c>
    </row>
    <row r="52" spans="1:17" s="109" customFormat="1" ht="21.75" customHeight="1" x14ac:dyDescent="0.2">
      <c r="A52" s="97"/>
      <c r="B52" s="116"/>
      <c r="C52" s="117" t="s">
        <v>170</v>
      </c>
      <c r="D52" s="117" t="s">
        <v>69</v>
      </c>
      <c r="E52" s="118" t="s">
        <v>536</v>
      </c>
      <c r="F52" s="119" t="s">
        <v>537</v>
      </c>
      <c r="G52" s="120" t="s">
        <v>138</v>
      </c>
      <c r="H52" s="121">
        <v>1</v>
      </c>
      <c r="I52" s="122">
        <v>8228.67</v>
      </c>
      <c r="J52" s="122">
        <v>8228.67</v>
      </c>
      <c r="K52" s="85">
        <v>0</v>
      </c>
      <c r="L52" s="86">
        <f t="shared" si="1"/>
        <v>8228.67</v>
      </c>
      <c r="M52" s="277">
        <f t="shared" si="0"/>
        <v>0</v>
      </c>
      <c r="N52" s="87">
        <f t="shared" si="2"/>
        <v>1</v>
      </c>
      <c r="O52" s="88">
        <f t="shared" si="3"/>
        <v>8228.67</v>
      </c>
      <c r="P52" s="278">
        <f t="shared" si="4"/>
        <v>8228.67</v>
      </c>
    </row>
    <row r="53" spans="1:17" s="109" customFormat="1" ht="21.75" customHeight="1" x14ac:dyDescent="0.2">
      <c r="A53" s="97"/>
      <c r="B53" s="116"/>
      <c r="C53" s="117" t="s">
        <v>173</v>
      </c>
      <c r="D53" s="117" t="s">
        <v>69</v>
      </c>
      <c r="E53" s="118" t="s">
        <v>538</v>
      </c>
      <c r="F53" s="119" t="s">
        <v>539</v>
      </c>
      <c r="G53" s="120" t="s">
        <v>61</v>
      </c>
      <c r="H53" s="121">
        <v>11.95</v>
      </c>
      <c r="I53" s="122">
        <v>236.02</v>
      </c>
      <c r="J53" s="122">
        <v>2820.44</v>
      </c>
      <c r="K53" s="85">
        <v>0</v>
      </c>
      <c r="L53" s="86">
        <f t="shared" si="1"/>
        <v>236.02</v>
      </c>
      <c r="M53" s="277">
        <f t="shared" si="0"/>
        <v>0</v>
      </c>
      <c r="N53" s="87">
        <f t="shared" si="2"/>
        <v>11.95</v>
      </c>
      <c r="O53" s="88">
        <f t="shared" si="3"/>
        <v>236.02</v>
      </c>
      <c r="P53" s="278">
        <f t="shared" si="4"/>
        <v>2820.4389999999999</v>
      </c>
    </row>
    <row r="54" spans="1:17" s="109" customFormat="1" ht="21.75" customHeight="1" x14ac:dyDescent="0.2">
      <c r="A54" s="97"/>
      <c r="B54" s="116"/>
      <c r="C54" s="123" t="s">
        <v>176</v>
      </c>
      <c r="D54" s="123" t="s">
        <v>127</v>
      </c>
      <c r="E54" s="124" t="s">
        <v>540</v>
      </c>
      <c r="F54" s="125" t="s">
        <v>541</v>
      </c>
      <c r="G54" s="126" t="s">
        <v>61</v>
      </c>
      <c r="H54" s="127">
        <v>11.95</v>
      </c>
      <c r="I54" s="128">
        <v>128.85</v>
      </c>
      <c r="J54" s="128">
        <v>1539.76</v>
      </c>
      <c r="K54" s="85">
        <v>0</v>
      </c>
      <c r="L54" s="86">
        <f t="shared" si="1"/>
        <v>128.85</v>
      </c>
      <c r="M54" s="277">
        <f t="shared" si="0"/>
        <v>0</v>
      </c>
      <c r="N54" s="87">
        <f t="shared" si="2"/>
        <v>11.95</v>
      </c>
      <c r="O54" s="88">
        <f t="shared" si="3"/>
        <v>128.85</v>
      </c>
      <c r="P54" s="278">
        <f t="shared" si="4"/>
        <v>1539.7574999999999</v>
      </c>
    </row>
    <row r="55" spans="1:17" s="109" customFormat="1" ht="33" customHeight="1" x14ac:dyDescent="0.2">
      <c r="A55" s="97"/>
      <c r="B55" s="116"/>
      <c r="C55" s="117" t="s">
        <v>179</v>
      </c>
      <c r="D55" s="117" t="s">
        <v>69</v>
      </c>
      <c r="E55" s="118" t="s">
        <v>542</v>
      </c>
      <c r="F55" s="119" t="s">
        <v>543</v>
      </c>
      <c r="G55" s="120" t="s">
        <v>61</v>
      </c>
      <c r="H55" s="121">
        <v>35.85</v>
      </c>
      <c r="I55" s="122">
        <v>12.76</v>
      </c>
      <c r="J55" s="122">
        <v>457.45</v>
      </c>
      <c r="K55" s="85">
        <v>0</v>
      </c>
      <c r="L55" s="86">
        <f t="shared" si="1"/>
        <v>12.76</v>
      </c>
      <c r="M55" s="277">
        <f t="shared" si="0"/>
        <v>0</v>
      </c>
      <c r="N55" s="87">
        <f t="shared" si="2"/>
        <v>35.85</v>
      </c>
      <c r="O55" s="88">
        <f t="shared" si="3"/>
        <v>12.76</v>
      </c>
      <c r="P55" s="278">
        <f t="shared" si="4"/>
        <v>457.44600000000003</v>
      </c>
    </row>
    <row r="56" spans="1:17" s="109" customFormat="1" ht="33" customHeight="1" x14ac:dyDescent="0.2">
      <c r="A56" s="97"/>
      <c r="B56" s="116"/>
      <c r="C56" s="117" t="s">
        <v>183</v>
      </c>
      <c r="D56" s="117" t="s">
        <v>69</v>
      </c>
      <c r="E56" s="118" t="s">
        <v>544</v>
      </c>
      <c r="F56" s="119" t="s">
        <v>545</v>
      </c>
      <c r="G56" s="120" t="s">
        <v>61</v>
      </c>
      <c r="H56" s="121">
        <v>35.85</v>
      </c>
      <c r="I56" s="122">
        <v>12.76</v>
      </c>
      <c r="J56" s="122">
        <v>457.45</v>
      </c>
      <c r="K56" s="85">
        <v>0</v>
      </c>
      <c r="L56" s="86">
        <f t="shared" si="1"/>
        <v>12.76</v>
      </c>
      <c r="M56" s="277">
        <f t="shared" si="0"/>
        <v>0</v>
      </c>
      <c r="N56" s="87">
        <f t="shared" si="2"/>
        <v>35.85</v>
      </c>
      <c r="O56" s="88">
        <f t="shared" si="3"/>
        <v>12.76</v>
      </c>
      <c r="P56" s="278">
        <f t="shared" si="4"/>
        <v>457.44600000000003</v>
      </c>
    </row>
    <row r="57" spans="1:17" s="109" customFormat="1" ht="16.5" customHeight="1" x14ac:dyDescent="0.2">
      <c r="A57" s="97"/>
      <c r="B57" s="116"/>
      <c r="C57" s="123" t="s">
        <v>186</v>
      </c>
      <c r="D57" s="123" t="s">
        <v>127</v>
      </c>
      <c r="E57" s="124" t="s">
        <v>546</v>
      </c>
      <c r="F57" s="125" t="s">
        <v>547</v>
      </c>
      <c r="G57" s="126" t="s">
        <v>61</v>
      </c>
      <c r="H57" s="127">
        <v>35.85</v>
      </c>
      <c r="I57" s="128">
        <v>5.0999999999999996</v>
      </c>
      <c r="J57" s="128">
        <v>182.84</v>
      </c>
      <c r="K57" s="85">
        <v>0</v>
      </c>
      <c r="L57" s="86">
        <f t="shared" si="1"/>
        <v>5.0999999999999996</v>
      </c>
      <c r="M57" s="277">
        <f t="shared" si="0"/>
        <v>0</v>
      </c>
      <c r="N57" s="87">
        <f t="shared" si="2"/>
        <v>35.85</v>
      </c>
      <c r="O57" s="88">
        <f t="shared" si="3"/>
        <v>5.0999999999999996</v>
      </c>
      <c r="P57" s="278">
        <f t="shared" si="4"/>
        <v>182.83500000000001</v>
      </c>
    </row>
    <row r="58" spans="1:17" s="110" customFormat="1" ht="22.9" customHeight="1" x14ac:dyDescent="0.2">
      <c r="C58" s="245"/>
      <c r="D58" s="246" t="s">
        <v>3</v>
      </c>
      <c r="E58" s="247" t="s">
        <v>73</v>
      </c>
      <c r="F58" s="247" t="s">
        <v>134</v>
      </c>
      <c r="G58" s="245"/>
      <c r="H58" s="245"/>
      <c r="I58" s="245"/>
      <c r="J58" s="248">
        <v>29901.5</v>
      </c>
      <c r="K58" s="243"/>
      <c r="L58" s="244"/>
      <c r="M58" s="279">
        <f>SUM(M59:M62)</f>
        <v>0</v>
      </c>
      <c r="N58" s="280"/>
      <c r="O58" s="244"/>
      <c r="P58" s="279">
        <f>SUM(P59:P62)</f>
        <v>29901.489399999999</v>
      </c>
      <c r="Q58" s="156"/>
    </row>
    <row r="59" spans="1:17" s="109" customFormat="1" ht="21.75" customHeight="1" x14ac:dyDescent="0.2">
      <c r="A59" s="97"/>
      <c r="B59" s="116"/>
      <c r="C59" s="117" t="s">
        <v>189</v>
      </c>
      <c r="D59" s="117" t="s">
        <v>69</v>
      </c>
      <c r="E59" s="118" t="s">
        <v>548</v>
      </c>
      <c r="F59" s="119" t="s">
        <v>549</v>
      </c>
      <c r="G59" s="120" t="s">
        <v>62</v>
      </c>
      <c r="H59" s="121">
        <v>1.6</v>
      </c>
      <c r="I59" s="122">
        <v>453.91</v>
      </c>
      <c r="J59" s="122">
        <v>726.26</v>
      </c>
      <c r="K59" s="85">
        <v>0</v>
      </c>
      <c r="L59" s="86">
        <f t="shared" si="1"/>
        <v>453.91</v>
      </c>
      <c r="M59" s="277">
        <f t="shared" si="0"/>
        <v>0</v>
      </c>
      <c r="N59" s="87">
        <f t="shared" si="2"/>
        <v>1.6</v>
      </c>
      <c r="O59" s="88">
        <f t="shared" si="3"/>
        <v>453.91</v>
      </c>
      <c r="P59" s="278">
        <f t="shared" si="4"/>
        <v>726.25600000000009</v>
      </c>
    </row>
    <row r="60" spans="1:17" s="109" customFormat="1" ht="33" customHeight="1" x14ac:dyDescent="0.2">
      <c r="A60" s="97"/>
      <c r="B60" s="116"/>
      <c r="C60" s="117" t="s">
        <v>192</v>
      </c>
      <c r="D60" s="117" t="s">
        <v>69</v>
      </c>
      <c r="E60" s="118" t="s">
        <v>550</v>
      </c>
      <c r="F60" s="119" t="s">
        <v>551</v>
      </c>
      <c r="G60" s="120" t="s">
        <v>62</v>
      </c>
      <c r="H60" s="121">
        <v>2.4</v>
      </c>
      <c r="I60" s="122">
        <v>3271.05</v>
      </c>
      <c r="J60" s="122">
        <v>7850.52</v>
      </c>
      <c r="K60" s="85">
        <v>0</v>
      </c>
      <c r="L60" s="86">
        <f t="shared" si="1"/>
        <v>3271.05</v>
      </c>
      <c r="M60" s="277">
        <f t="shared" si="0"/>
        <v>0</v>
      </c>
      <c r="N60" s="87">
        <f t="shared" si="2"/>
        <v>2.4</v>
      </c>
      <c r="O60" s="88">
        <f t="shared" si="3"/>
        <v>3271.05</v>
      </c>
      <c r="P60" s="278">
        <f t="shared" si="4"/>
        <v>7850.52</v>
      </c>
    </row>
    <row r="61" spans="1:17" s="109" customFormat="1" ht="21.75" customHeight="1" x14ac:dyDescent="0.2">
      <c r="A61" s="97"/>
      <c r="B61" s="116"/>
      <c r="C61" s="117" t="s">
        <v>195</v>
      </c>
      <c r="D61" s="117" t="s">
        <v>69</v>
      </c>
      <c r="E61" s="118" t="s">
        <v>552</v>
      </c>
      <c r="F61" s="119" t="s">
        <v>553</v>
      </c>
      <c r="G61" s="120" t="s">
        <v>120</v>
      </c>
      <c r="H61" s="121">
        <v>8.5999999999999993E-2</v>
      </c>
      <c r="I61" s="122">
        <v>48236.59</v>
      </c>
      <c r="J61" s="122">
        <v>4148.3500000000004</v>
      </c>
      <c r="K61" s="85">
        <v>0</v>
      </c>
      <c r="L61" s="86">
        <f t="shared" si="1"/>
        <v>48236.59</v>
      </c>
      <c r="M61" s="277">
        <f t="shared" si="0"/>
        <v>0</v>
      </c>
      <c r="N61" s="87">
        <f t="shared" si="2"/>
        <v>8.5999999999999993E-2</v>
      </c>
      <c r="O61" s="88">
        <f t="shared" si="3"/>
        <v>48236.59</v>
      </c>
      <c r="P61" s="278">
        <f t="shared" si="4"/>
        <v>4148.346739999999</v>
      </c>
    </row>
    <row r="62" spans="1:17" s="109" customFormat="1" ht="33" customHeight="1" x14ac:dyDescent="0.2">
      <c r="A62" s="97"/>
      <c r="B62" s="116"/>
      <c r="C62" s="117" t="s">
        <v>198</v>
      </c>
      <c r="D62" s="117" t="s">
        <v>69</v>
      </c>
      <c r="E62" s="118" t="s">
        <v>554</v>
      </c>
      <c r="F62" s="119" t="s">
        <v>555</v>
      </c>
      <c r="G62" s="120" t="s">
        <v>62</v>
      </c>
      <c r="H62" s="121">
        <v>4.423</v>
      </c>
      <c r="I62" s="122">
        <v>3883.42</v>
      </c>
      <c r="J62" s="122">
        <v>17176.37</v>
      </c>
      <c r="K62" s="85">
        <v>0</v>
      </c>
      <c r="L62" s="86">
        <f t="shared" si="1"/>
        <v>3883.42</v>
      </c>
      <c r="M62" s="277">
        <f t="shared" si="0"/>
        <v>0</v>
      </c>
      <c r="N62" s="87">
        <f t="shared" si="2"/>
        <v>4.423</v>
      </c>
      <c r="O62" s="88">
        <f t="shared" si="3"/>
        <v>3883.42</v>
      </c>
      <c r="P62" s="278">
        <f t="shared" si="4"/>
        <v>17176.36666</v>
      </c>
    </row>
    <row r="63" spans="1:17" s="110" customFormat="1" ht="22.9" customHeight="1" x14ac:dyDescent="0.2">
      <c r="C63" s="245"/>
      <c r="D63" s="246" t="s">
        <v>3</v>
      </c>
      <c r="E63" s="247" t="s">
        <v>81</v>
      </c>
      <c r="F63" s="247" t="s">
        <v>154</v>
      </c>
      <c r="G63" s="245"/>
      <c r="H63" s="245"/>
      <c r="I63" s="245"/>
      <c r="J63" s="248">
        <v>38462.530000000006</v>
      </c>
      <c r="K63" s="243"/>
      <c r="L63" s="244"/>
      <c r="M63" s="279">
        <f>SUM(M64:M72)</f>
        <v>0</v>
      </c>
      <c r="N63" s="280"/>
      <c r="O63" s="244"/>
      <c r="P63" s="279">
        <f>SUM(P64:P72)</f>
        <v>38462.542300000001</v>
      </c>
      <c r="Q63" s="156"/>
    </row>
    <row r="64" spans="1:17" s="109" customFormat="1" ht="33" customHeight="1" x14ac:dyDescent="0.2">
      <c r="A64" s="97"/>
      <c r="B64" s="116"/>
      <c r="C64" s="117" t="s">
        <v>201</v>
      </c>
      <c r="D64" s="117" t="s">
        <v>69</v>
      </c>
      <c r="E64" s="118" t="s">
        <v>556</v>
      </c>
      <c r="F64" s="119" t="s">
        <v>557</v>
      </c>
      <c r="G64" s="120" t="s">
        <v>72</v>
      </c>
      <c r="H64" s="121">
        <v>24.01</v>
      </c>
      <c r="I64" s="122">
        <v>74.64</v>
      </c>
      <c r="J64" s="122">
        <v>1792.11</v>
      </c>
      <c r="K64" s="85">
        <v>0</v>
      </c>
      <c r="L64" s="86">
        <f t="shared" si="1"/>
        <v>74.64</v>
      </c>
      <c r="M64" s="277">
        <f t="shared" si="0"/>
        <v>0</v>
      </c>
      <c r="N64" s="87">
        <f t="shared" si="2"/>
        <v>24.01</v>
      </c>
      <c r="O64" s="88">
        <f t="shared" si="3"/>
        <v>74.64</v>
      </c>
      <c r="P64" s="278">
        <f t="shared" si="4"/>
        <v>1792.1064000000001</v>
      </c>
    </row>
    <row r="65" spans="1:17" s="109" customFormat="1" ht="33" customHeight="1" x14ac:dyDescent="0.2">
      <c r="A65" s="97"/>
      <c r="B65" s="116"/>
      <c r="C65" s="117" t="s">
        <v>204</v>
      </c>
      <c r="D65" s="117" t="s">
        <v>69</v>
      </c>
      <c r="E65" s="118" t="s">
        <v>558</v>
      </c>
      <c r="F65" s="119" t="s">
        <v>559</v>
      </c>
      <c r="G65" s="120" t="s">
        <v>72</v>
      </c>
      <c r="H65" s="121">
        <v>24.01</v>
      </c>
      <c r="I65" s="122">
        <v>217.47</v>
      </c>
      <c r="J65" s="122">
        <v>5221.45</v>
      </c>
      <c r="K65" s="85">
        <v>0</v>
      </c>
      <c r="L65" s="86">
        <f t="shared" si="1"/>
        <v>217.47</v>
      </c>
      <c r="M65" s="277">
        <f t="shared" si="0"/>
        <v>0</v>
      </c>
      <c r="N65" s="87">
        <f t="shared" si="2"/>
        <v>24.01</v>
      </c>
      <c r="O65" s="88">
        <f t="shared" si="3"/>
        <v>217.47</v>
      </c>
      <c r="P65" s="278">
        <f t="shared" si="4"/>
        <v>5221.4547000000002</v>
      </c>
    </row>
    <row r="66" spans="1:17" s="109" customFormat="1" ht="21.75" customHeight="1" x14ac:dyDescent="0.2">
      <c r="A66" s="97"/>
      <c r="B66" s="116"/>
      <c r="C66" s="117" t="s">
        <v>207</v>
      </c>
      <c r="D66" s="117" t="s">
        <v>69</v>
      </c>
      <c r="E66" s="118" t="s">
        <v>162</v>
      </c>
      <c r="F66" s="119" t="s">
        <v>163</v>
      </c>
      <c r="G66" s="120" t="s">
        <v>72</v>
      </c>
      <c r="H66" s="121">
        <v>13.23</v>
      </c>
      <c r="I66" s="122">
        <v>155.66999999999999</v>
      </c>
      <c r="J66" s="122">
        <v>2059.5100000000002</v>
      </c>
      <c r="K66" s="85">
        <v>0</v>
      </c>
      <c r="L66" s="86">
        <f t="shared" si="1"/>
        <v>155.66999999999999</v>
      </c>
      <c r="M66" s="277">
        <f t="shared" si="0"/>
        <v>0</v>
      </c>
      <c r="N66" s="87">
        <f t="shared" si="2"/>
        <v>13.23</v>
      </c>
      <c r="O66" s="88">
        <f t="shared" si="3"/>
        <v>155.66999999999999</v>
      </c>
      <c r="P66" s="278">
        <f t="shared" si="4"/>
        <v>2059.5140999999999</v>
      </c>
    </row>
    <row r="67" spans="1:17" s="109" customFormat="1" ht="33" customHeight="1" x14ac:dyDescent="0.2">
      <c r="A67" s="97"/>
      <c r="B67" s="116"/>
      <c r="C67" s="117" t="s">
        <v>210</v>
      </c>
      <c r="D67" s="117" t="s">
        <v>69</v>
      </c>
      <c r="E67" s="118" t="s">
        <v>156</v>
      </c>
      <c r="F67" s="119" t="s">
        <v>157</v>
      </c>
      <c r="G67" s="120" t="s">
        <v>72</v>
      </c>
      <c r="H67" s="121">
        <v>13.23</v>
      </c>
      <c r="I67" s="122">
        <v>319.88</v>
      </c>
      <c r="J67" s="122">
        <v>4232.01</v>
      </c>
      <c r="K67" s="85">
        <v>0</v>
      </c>
      <c r="L67" s="86">
        <f t="shared" si="1"/>
        <v>319.88</v>
      </c>
      <c r="M67" s="277">
        <f t="shared" si="0"/>
        <v>0</v>
      </c>
      <c r="N67" s="87">
        <f t="shared" si="2"/>
        <v>13.23</v>
      </c>
      <c r="O67" s="88">
        <f t="shared" si="3"/>
        <v>319.88</v>
      </c>
      <c r="P67" s="278">
        <f t="shared" si="4"/>
        <v>4232.0124000000005</v>
      </c>
    </row>
    <row r="68" spans="1:17" s="109" customFormat="1" ht="21.75" customHeight="1" x14ac:dyDescent="0.2">
      <c r="A68" s="97"/>
      <c r="B68" s="116"/>
      <c r="C68" s="117" t="s">
        <v>214</v>
      </c>
      <c r="D68" s="117" t="s">
        <v>69</v>
      </c>
      <c r="E68" s="118" t="s">
        <v>168</v>
      </c>
      <c r="F68" s="119" t="s">
        <v>169</v>
      </c>
      <c r="G68" s="120" t="s">
        <v>72</v>
      </c>
      <c r="H68" s="121">
        <v>13.23</v>
      </c>
      <c r="I68" s="122">
        <v>18.04</v>
      </c>
      <c r="J68" s="122">
        <v>238.67</v>
      </c>
      <c r="K68" s="85">
        <v>0</v>
      </c>
      <c r="L68" s="86">
        <f t="shared" si="1"/>
        <v>18.04</v>
      </c>
      <c r="M68" s="277">
        <f t="shared" si="0"/>
        <v>0</v>
      </c>
      <c r="N68" s="87">
        <f t="shared" si="2"/>
        <v>13.23</v>
      </c>
      <c r="O68" s="88">
        <f t="shared" si="3"/>
        <v>18.04</v>
      </c>
      <c r="P68" s="278">
        <f t="shared" si="4"/>
        <v>238.66919999999999</v>
      </c>
    </row>
    <row r="69" spans="1:17" s="109" customFormat="1" ht="33" customHeight="1" x14ac:dyDescent="0.2">
      <c r="A69" s="97"/>
      <c r="B69" s="116"/>
      <c r="C69" s="117" t="s">
        <v>217</v>
      </c>
      <c r="D69" s="117" t="s">
        <v>69</v>
      </c>
      <c r="E69" s="118" t="s">
        <v>171</v>
      </c>
      <c r="F69" s="119" t="s">
        <v>172</v>
      </c>
      <c r="G69" s="120" t="s">
        <v>72</v>
      </c>
      <c r="H69" s="121">
        <v>13.23</v>
      </c>
      <c r="I69" s="122">
        <v>396.71</v>
      </c>
      <c r="J69" s="122">
        <v>5248.47</v>
      </c>
      <c r="K69" s="85">
        <v>0</v>
      </c>
      <c r="L69" s="86">
        <f t="shared" si="1"/>
        <v>396.71</v>
      </c>
      <c r="M69" s="277">
        <f t="shared" si="0"/>
        <v>0</v>
      </c>
      <c r="N69" s="87">
        <f t="shared" si="2"/>
        <v>13.23</v>
      </c>
      <c r="O69" s="88">
        <f t="shared" si="3"/>
        <v>396.71</v>
      </c>
      <c r="P69" s="278">
        <f t="shared" si="4"/>
        <v>5248.4732999999997</v>
      </c>
    </row>
    <row r="70" spans="1:17" s="109" customFormat="1" ht="33" customHeight="1" x14ac:dyDescent="0.2">
      <c r="A70" s="97"/>
      <c r="B70" s="116"/>
      <c r="C70" s="117" t="s">
        <v>220</v>
      </c>
      <c r="D70" s="117" t="s">
        <v>69</v>
      </c>
      <c r="E70" s="118" t="s">
        <v>174</v>
      </c>
      <c r="F70" s="119" t="s">
        <v>175</v>
      </c>
      <c r="G70" s="120" t="s">
        <v>72</v>
      </c>
      <c r="H70" s="121">
        <v>13.23</v>
      </c>
      <c r="I70" s="122">
        <v>443.02</v>
      </c>
      <c r="J70" s="122">
        <v>5861.15</v>
      </c>
      <c r="K70" s="85">
        <v>0</v>
      </c>
      <c r="L70" s="86">
        <f t="shared" si="1"/>
        <v>443.02</v>
      </c>
      <c r="M70" s="277">
        <f t="shared" si="0"/>
        <v>0</v>
      </c>
      <c r="N70" s="87">
        <f t="shared" si="2"/>
        <v>13.23</v>
      </c>
      <c r="O70" s="88">
        <f t="shared" si="3"/>
        <v>443.02</v>
      </c>
      <c r="P70" s="278">
        <f t="shared" si="4"/>
        <v>5861.1545999999998</v>
      </c>
    </row>
    <row r="71" spans="1:17" s="109" customFormat="1" ht="66.75" customHeight="1" x14ac:dyDescent="0.2">
      <c r="A71" s="97"/>
      <c r="B71" s="116"/>
      <c r="C71" s="117" t="s">
        <v>223</v>
      </c>
      <c r="D71" s="117" t="s">
        <v>69</v>
      </c>
      <c r="E71" s="118" t="s">
        <v>560</v>
      </c>
      <c r="F71" s="119" t="s">
        <v>561</v>
      </c>
      <c r="G71" s="120" t="s">
        <v>72</v>
      </c>
      <c r="H71" s="121">
        <v>24.01</v>
      </c>
      <c r="I71" s="122">
        <v>338.08</v>
      </c>
      <c r="J71" s="122">
        <v>8117.3</v>
      </c>
      <c r="K71" s="85">
        <v>0</v>
      </c>
      <c r="L71" s="86">
        <f t="shared" si="1"/>
        <v>338.08</v>
      </c>
      <c r="M71" s="277">
        <f t="shared" si="0"/>
        <v>0</v>
      </c>
      <c r="N71" s="87">
        <f t="shared" si="2"/>
        <v>24.01</v>
      </c>
      <c r="O71" s="88">
        <f t="shared" si="3"/>
        <v>338.08</v>
      </c>
      <c r="P71" s="278">
        <f t="shared" si="4"/>
        <v>8117.3008</v>
      </c>
    </row>
    <row r="72" spans="1:17" s="109" customFormat="1" ht="16.5" customHeight="1" x14ac:dyDescent="0.2">
      <c r="A72" s="97"/>
      <c r="B72" s="116"/>
      <c r="C72" s="123" t="s">
        <v>226</v>
      </c>
      <c r="D72" s="123" t="s">
        <v>127</v>
      </c>
      <c r="E72" s="124" t="s">
        <v>562</v>
      </c>
      <c r="F72" s="125" t="s">
        <v>563</v>
      </c>
      <c r="G72" s="126" t="s">
        <v>72</v>
      </c>
      <c r="H72" s="127">
        <v>24.73</v>
      </c>
      <c r="I72" s="128">
        <v>230.16</v>
      </c>
      <c r="J72" s="128">
        <v>5691.86</v>
      </c>
      <c r="K72" s="85">
        <v>0</v>
      </c>
      <c r="L72" s="86">
        <f t="shared" si="1"/>
        <v>230.16</v>
      </c>
      <c r="M72" s="277">
        <f t="shared" si="0"/>
        <v>0</v>
      </c>
      <c r="N72" s="87">
        <f t="shared" si="2"/>
        <v>24.73</v>
      </c>
      <c r="O72" s="88">
        <f t="shared" si="3"/>
        <v>230.16</v>
      </c>
      <c r="P72" s="278">
        <f t="shared" si="4"/>
        <v>5691.8567999999996</v>
      </c>
    </row>
    <row r="73" spans="1:17" s="110" customFormat="1" ht="22.9" customHeight="1" x14ac:dyDescent="0.2">
      <c r="C73" s="245"/>
      <c r="D73" s="246" t="s">
        <v>3</v>
      </c>
      <c r="E73" s="247" t="s">
        <v>84</v>
      </c>
      <c r="F73" s="247" t="s">
        <v>564</v>
      </c>
      <c r="G73" s="245"/>
      <c r="H73" s="245"/>
      <c r="I73" s="245"/>
      <c r="J73" s="248">
        <v>5171.4399999999996</v>
      </c>
      <c r="K73" s="243"/>
      <c r="L73" s="244"/>
      <c r="M73" s="279">
        <f>M74</f>
        <v>0</v>
      </c>
      <c r="N73" s="280"/>
      <c r="O73" s="244"/>
      <c r="P73" s="279">
        <f>P74</f>
        <v>5171.43523</v>
      </c>
      <c r="Q73" s="156"/>
    </row>
    <row r="74" spans="1:17" s="109" customFormat="1" ht="21.75" customHeight="1" x14ac:dyDescent="0.2">
      <c r="A74" s="97"/>
      <c r="B74" s="116"/>
      <c r="C74" s="117" t="s">
        <v>229</v>
      </c>
      <c r="D74" s="117" t="s">
        <v>69</v>
      </c>
      <c r="E74" s="118" t="s">
        <v>565</v>
      </c>
      <c r="F74" s="119" t="s">
        <v>566</v>
      </c>
      <c r="G74" s="120" t="s">
        <v>72</v>
      </c>
      <c r="H74" s="121">
        <v>12.443</v>
      </c>
      <c r="I74" s="122">
        <v>415.61</v>
      </c>
      <c r="J74" s="122">
        <v>5171.4399999999996</v>
      </c>
      <c r="K74" s="85">
        <v>0</v>
      </c>
      <c r="L74" s="86">
        <f t="shared" si="1"/>
        <v>415.61</v>
      </c>
      <c r="M74" s="277">
        <f t="shared" si="0"/>
        <v>0</v>
      </c>
      <c r="N74" s="87">
        <f t="shared" si="2"/>
        <v>12.443</v>
      </c>
      <c r="O74" s="88">
        <f t="shared" si="3"/>
        <v>415.61</v>
      </c>
      <c r="P74" s="278">
        <f t="shared" si="4"/>
        <v>5171.43523</v>
      </c>
    </row>
    <row r="75" spans="1:17" s="110" customFormat="1" ht="22.9" customHeight="1" x14ac:dyDescent="0.2">
      <c r="C75" s="245"/>
      <c r="D75" s="246" t="s">
        <v>3</v>
      </c>
      <c r="E75" s="247" t="s">
        <v>90</v>
      </c>
      <c r="F75" s="247" t="s">
        <v>182</v>
      </c>
      <c r="G75" s="245"/>
      <c r="H75" s="245"/>
      <c r="I75" s="245"/>
      <c r="J75" s="248">
        <v>13026.05</v>
      </c>
      <c r="K75" s="243"/>
      <c r="L75" s="244"/>
      <c r="M75" s="279">
        <f>SUM(M76:M81)</f>
        <v>0</v>
      </c>
      <c r="N75" s="280"/>
      <c r="O75" s="244"/>
      <c r="P75" s="279">
        <f>SUM(P76:P81)</f>
        <v>13026.05</v>
      </c>
      <c r="Q75" s="156"/>
    </row>
    <row r="76" spans="1:17" s="109" customFormat="1" ht="33" customHeight="1" x14ac:dyDescent="0.2">
      <c r="A76" s="97"/>
      <c r="B76" s="116"/>
      <c r="C76" s="117" t="s">
        <v>232</v>
      </c>
      <c r="D76" s="117" t="s">
        <v>69</v>
      </c>
      <c r="E76" s="118" t="s">
        <v>567</v>
      </c>
      <c r="F76" s="119" t="s">
        <v>568</v>
      </c>
      <c r="G76" s="120" t="s">
        <v>138</v>
      </c>
      <c r="H76" s="121">
        <v>1</v>
      </c>
      <c r="I76" s="122">
        <v>505.04</v>
      </c>
      <c r="J76" s="122">
        <v>505.04</v>
      </c>
      <c r="K76" s="85">
        <v>0</v>
      </c>
      <c r="L76" s="86">
        <f t="shared" si="1"/>
        <v>505.04</v>
      </c>
      <c r="M76" s="277">
        <f t="shared" si="0"/>
        <v>0</v>
      </c>
      <c r="N76" s="87">
        <f t="shared" si="2"/>
        <v>1</v>
      </c>
      <c r="O76" s="88">
        <f t="shared" si="3"/>
        <v>505.04</v>
      </c>
      <c r="P76" s="278">
        <f t="shared" si="4"/>
        <v>505.04</v>
      </c>
    </row>
    <row r="77" spans="1:17" s="109" customFormat="1" ht="16.5" customHeight="1" x14ac:dyDescent="0.2">
      <c r="A77" s="97"/>
      <c r="B77" s="116"/>
      <c r="C77" s="123" t="s">
        <v>235</v>
      </c>
      <c r="D77" s="123" t="s">
        <v>127</v>
      </c>
      <c r="E77" s="124" t="s">
        <v>569</v>
      </c>
      <c r="F77" s="125" t="s">
        <v>570</v>
      </c>
      <c r="G77" s="126" t="s">
        <v>138</v>
      </c>
      <c r="H77" s="127">
        <v>1</v>
      </c>
      <c r="I77" s="128">
        <v>10388.92</v>
      </c>
      <c r="J77" s="128">
        <v>10388.92</v>
      </c>
      <c r="K77" s="85">
        <v>0</v>
      </c>
      <c r="L77" s="86">
        <f t="shared" si="1"/>
        <v>10388.92</v>
      </c>
      <c r="M77" s="277">
        <f t="shared" si="0"/>
        <v>0</v>
      </c>
      <c r="N77" s="87">
        <f t="shared" si="2"/>
        <v>1</v>
      </c>
      <c r="O77" s="88">
        <f t="shared" si="3"/>
        <v>10388.92</v>
      </c>
      <c r="P77" s="278">
        <f t="shared" si="4"/>
        <v>10388.92</v>
      </c>
    </row>
    <row r="78" spans="1:17" s="109" customFormat="1" ht="33" customHeight="1" x14ac:dyDescent="0.2">
      <c r="A78" s="97"/>
      <c r="B78" s="116"/>
      <c r="C78" s="117" t="s">
        <v>238</v>
      </c>
      <c r="D78" s="117" t="s">
        <v>69</v>
      </c>
      <c r="E78" s="118" t="s">
        <v>571</v>
      </c>
      <c r="F78" s="119" t="s">
        <v>572</v>
      </c>
      <c r="G78" s="120" t="s">
        <v>61</v>
      </c>
      <c r="H78" s="121">
        <v>12</v>
      </c>
      <c r="I78" s="122">
        <v>36.83</v>
      </c>
      <c r="J78" s="122">
        <v>441.96</v>
      </c>
      <c r="K78" s="85">
        <v>0</v>
      </c>
      <c r="L78" s="86">
        <f t="shared" si="1"/>
        <v>36.83</v>
      </c>
      <c r="M78" s="277">
        <f t="shared" si="0"/>
        <v>0</v>
      </c>
      <c r="N78" s="87">
        <f t="shared" si="2"/>
        <v>12</v>
      </c>
      <c r="O78" s="88">
        <f t="shared" si="3"/>
        <v>36.83</v>
      </c>
      <c r="P78" s="278">
        <f t="shared" si="4"/>
        <v>441.96</v>
      </c>
    </row>
    <row r="79" spans="1:17" s="109" customFormat="1" ht="21.75" customHeight="1" x14ac:dyDescent="0.2">
      <c r="A79" s="97"/>
      <c r="B79" s="116"/>
      <c r="C79" s="123" t="s">
        <v>241</v>
      </c>
      <c r="D79" s="123" t="s">
        <v>127</v>
      </c>
      <c r="E79" s="124" t="s">
        <v>573</v>
      </c>
      <c r="F79" s="125" t="s">
        <v>574</v>
      </c>
      <c r="G79" s="126" t="s">
        <v>138</v>
      </c>
      <c r="H79" s="127">
        <v>12</v>
      </c>
      <c r="I79" s="128">
        <v>72.34</v>
      </c>
      <c r="J79" s="128">
        <v>868.08</v>
      </c>
      <c r="K79" s="85">
        <v>0</v>
      </c>
      <c r="L79" s="86">
        <f t="shared" si="1"/>
        <v>72.34</v>
      </c>
      <c r="M79" s="277">
        <f t="shared" si="0"/>
        <v>0</v>
      </c>
      <c r="N79" s="87">
        <f t="shared" si="2"/>
        <v>12</v>
      </c>
      <c r="O79" s="88">
        <f t="shared" si="3"/>
        <v>72.34</v>
      </c>
      <c r="P79" s="278">
        <f t="shared" si="4"/>
        <v>868.08</v>
      </c>
    </row>
    <row r="80" spans="1:17" s="109" customFormat="1" ht="33" customHeight="1" x14ac:dyDescent="0.2">
      <c r="A80" s="97"/>
      <c r="B80" s="116"/>
      <c r="C80" s="117" t="s">
        <v>244</v>
      </c>
      <c r="D80" s="117" t="s">
        <v>69</v>
      </c>
      <c r="E80" s="118" t="s">
        <v>575</v>
      </c>
      <c r="F80" s="119" t="s">
        <v>576</v>
      </c>
      <c r="G80" s="120" t="s">
        <v>61</v>
      </c>
      <c r="H80" s="121">
        <v>5</v>
      </c>
      <c r="I80" s="122">
        <v>36.83</v>
      </c>
      <c r="J80" s="122">
        <v>184.15</v>
      </c>
      <c r="K80" s="85">
        <v>0</v>
      </c>
      <c r="L80" s="86">
        <f t="shared" si="1"/>
        <v>36.83</v>
      </c>
      <c r="M80" s="277">
        <f t="shared" ref="M80:M102" si="5">K80*L80</f>
        <v>0</v>
      </c>
      <c r="N80" s="87">
        <f t="shared" si="2"/>
        <v>5</v>
      </c>
      <c r="O80" s="88">
        <f t="shared" si="3"/>
        <v>36.83</v>
      </c>
      <c r="P80" s="278">
        <f t="shared" si="4"/>
        <v>184.14999999999998</v>
      </c>
    </row>
    <row r="81" spans="1:17" s="109" customFormat="1" ht="21.75" customHeight="1" x14ac:dyDescent="0.2">
      <c r="A81" s="97"/>
      <c r="B81" s="116"/>
      <c r="C81" s="123" t="s">
        <v>247</v>
      </c>
      <c r="D81" s="123" t="s">
        <v>127</v>
      </c>
      <c r="E81" s="124" t="s">
        <v>577</v>
      </c>
      <c r="F81" s="125" t="s">
        <v>578</v>
      </c>
      <c r="G81" s="126" t="s">
        <v>138</v>
      </c>
      <c r="H81" s="127">
        <v>5</v>
      </c>
      <c r="I81" s="128">
        <v>127.58</v>
      </c>
      <c r="J81" s="128">
        <v>637.9</v>
      </c>
      <c r="K81" s="85">
        <v>0</v>
      </c>
      <c r="L81" s="86">
        <f t="shared" ref="L81:L102" si="6">I81</f>
        <v>127.58</v>
      </c>
      <c r="M81" s="277">
        <f t="shared" si="5"/>
        <v>0</v>
      </c>
      <c r="N81" s="87">
        <f t="shared" ref="N81:N102" si="7">H81+K81</f>
        <v>5</v>
      </c>
      <c r="O81" s="88">
        <f t="shared" ref="O81:O102" si="8">I81</f>
        <v>127.58</v>
      </c>
      <c r="P81" s="278">
        <f t="shared" ref="P81:P102" si="9">N81*O81</f>
        <v>637.9</v>
      </c>
    </row>
    <row r="82" spans="1:17" s="110" customFormat="1" ht="22.9" customHeight="1" x14ac:dyDescent="0.2">
      <c r="C82" s="245"/>
      <c r="D82" s="246" t="s">
        <v>3</v>
      </c>
      <c r="E82" s="247" t="s">
        <v>93</v>
      </c>
      <c r="F82" s="247" t="s">
        <v>268</v>
      </c>
      <c r="G82" s="245"/>
      <c r="H82" s="245"/>
      <c r="I82" s="245"/>
      <c r="J82" s="248">
        <v>8948.91</v>
      </c>
      <c r="K82" s="243"/>
      <c r="L82" s="244"/>
      <c r="M82" s="279">
        <f>SUM(M83:M88)</f>
        <v>0</v>
      </c>
      <c r="N82" s="280"/>
      <c r="O82" s="244"/>
      <c r="P82" s="279">
        <f>SUM(P83:P88)</f>
        <v>8948.9045000000006</v>
      </c>
      <c r="Q82" s="156"/>
    </row>
    <row r="83" spans="1:17" s="109" customFormat="1" ht="44.25" customHeight="1" x14ac:dyDescent="0.2">
      <c r="A83" s="97"/>
      <c r="B83" s="116"/>
      <c r="C83" s="117" t="s">
        <v>250</v>
      </c>
      <c r="D83" s="117" t="s">
        <v>69</v>
      </c>
      <c r="E83" s="118" t="s">
        <v>579</v>
      </c>
      <c r="F83" s="119" t="s">
        <v>580</v>
      </c>
      <c r="G83" s="120" t="s">
        <v>61</v>
      </c>
      <c r="H83" s="121">
        <v>12.65</v>
      </c>
      <c r="I83" s="122">
        <v>315.11</v>
      </c>
      <c r="J83" s="122">
        <v>3986.14</v>
      </c>
      <c r="K83" s="85">
        <v>0</v>
      </c>
      <c r="L83" s="86">
        <f t="shared" si="6"/>
        <v>315.11</v>
      </c>
      <c r="M83" s="277">
        <f t="shared" si="5"/>
        <v>0</v>
      </c>
      <c r="N83" s="87">
        <f t="shared" si="7"/>
        <v>12.65</v>
      </c>
      <c r="O83" s="88">
        <f t="shared" si="8"/>
        <v>315.11</v>
      </c>
      <c r="P83" s="278">
        <f t="shared" si="9"/>
        <v>3986.1415000000002</v>
      </c>
    </row>
    <row r="84" spans="1:17" s="109" customFormat="1" ht="21.75" customHeight="1" x14ac:dyDescent="0.2">
      <c r="A84" s="97"/>
      <c r="B84" s="116"/>
      <c r="C84" s="123" t="s">
        <v>253</v>
      </c>
      <c r="D84" s="123" t="s">
        <v>127</v>
      </c>
      <c r="E84" s="124" t="s">
        <v>581</v>
      </c>
      <c r="F84" s="125" t="s">
        <v>582</v>
      </c>
      <c r="G84" s="126" t="s">
        <v>138</v>
      </c>
      <c r="H84" s="127">
        <v>13</v>
      </c>
      <c r="I84" s="128">
        <v>136.78</v>
      </c>
      <c r="J84" s="128">
        <v>1778.14</v>
      </c>
      <c r="K84" s="85">
        <v>0</v>
      </c>
      <c r="L84" s="86">
        <f t="shared" si="6"/>
        <v>136.78</v>
      </c>
      <c r="M84" s="277">
        <f t="shared" si="5"/>
        <v>0</v>
      </c>
      <c r="N84" s="87">
        <f t="shared" si="7"/>
        <v>13</v>
      </c>
      <c r="O84" s="88">
        <f t="shared" si="8"/>
        <v>136.78</v>
      </c>
      <c r="P84" s="278">
        <f t="shared" si="9"/>
        <v>1778.14</v>
      </c>
    </row>
    <row r="85" spans="1:17" s="109" customFormat="1" ht="44.25" customHeight="1" x14ac:dyDescent="0.2">
      <c r="A85" s="97"/>
      <c r="B85" s="116"/>
      <c r="C85" s="117" t="s">
        <v>256</v>
      </c>
      <c r="D85" s="117" t="s">
        <v>69</v>
      </c>
      <c r="E85" s="118" t="s">
        <v>270</v>
      </c>
      <c r="F85" s="119" t="s">
        <v>271</v>
      </c>
      <c r="G85" s="120" t="s">
        <v>61</v>
      </c>
      <c r="H85" s="121">
        <v>10.3</v>
      </c>
      <c r="I85" s="122">
        <v>87.65</v>
      </c>
      <c r="J85" s="122">
        <v>902.8</v>
      </c>
      <c r="K85" s="85">
        <v>0</v>
      </c>
      <c r="L85" s="86">
        <f t="shared" si="6"/>
        <v>87.65</v>
      </c>
      <c r="M85" s="277">
        <f t="shared" si="5"/>
        <v>0</v>
      </c>
      <c r="N85" s="87">
        <f t="shared" si="7"/>
        <v>10.3</v>
      </c>
      <c r="O85" s="88">
        <f t="shared" si="8"/>
        <v>87.65</v>
      </c>
      <c r="P85" s="278">
        <f t="shared" si="9"/>
        <v>902.79500000000007</v>
      </c>
    </row>
    <row r="86" spans="1:17" s="109" customFormat="1" ht="33" customHeight="1" x14ac:dyDescent="0.2">
      <c r="A86" s="97"/>
      <c r="B86" s="116"/>
      <c r="C86" s="117" t="s">
        <v>259</v>
      </c>
      <c r="D86" s="117" t="s">
        <v>69</v>
      </c>
      <c r="E86" s="118" t="s">
        <v>273</v>
      </c>
      <c r="F86" s="119" t="s">
        <v>274</v>
      </c>
      <c r="G86" s="120" t="s">
        <v>61</v>
      </c>
      <c r="H86" s="121">
        <v>10.3</v>
      </c>
      <c r="I86" s="122">
        <v>32.22</v>
      </c>
      <c r="J86" s="122">
        <v>331.87</v>
      </c>
      <c r="K86" s="85">
        <v>0</v>
      </c>
      <c r="L86" s="86">
        <f t="shared" si="6"/>
        <v>32.22</v>
      </c>
      <c r="M86" s="277">
        <f t="shared" si="5"/>
        <v>0</v>
      </c>
      <c r="N86" s="87">
        <f t="shared" si="7"/>
        <v>10.3</v>
      </c>
      <c r="O86" s="88">
        <f t="shared" si="8"/>
        <v>32.22</v>
      </c>
      <c r="P86" s="278">
        <f t="shared" si="9"/>
        <v>331.86599999999999</v>
      </c>
    </row>
    <row r="87" spans="1:17" s="109" customFormat="1" ht="21.75" customHeight="1" x14ac:dyDescent="0.2">
      <c r="A87" s="97"/>
      <c r="B87" s="116"/>
      <c r="C87" s="117" t="s">
        <v>262</v>
      </c>
      <c r="D87" s="117" t="s">
        <v>69</v>
      </c>
      <c r="E87" s="118" t="s">
        <v>276</v>
      </c>
      <c r="F87" s="119" t="s">
        <v>277</v>
      </c>
      <c r="G87" s="120" t="s">
        <v>61</v>
      </c>
      <c r="H87" s="121">
        <v>10.3</v>
      </c>
      <c r="I87" s="122">
        <v>55.24</v>
      </c>
      <c r="J87" s="122">
        <v>568.97</v>
      </c>
      <c r="K87" s="85">
        <v>0</v>
      </c>
      <c r="L87" s="86">
        <f t="shared" si="6"/>
        <v>55.24</v>
      </c>
      <c r="M87" s="277">
        <f t="shared" si="5"/>
        <v>0</v>
      </c>
      <c r="N87" s="87">
        <f t="shared" si="7"/>
        <v>10.3</v>
      </c>
      <c r="O87" s="88">
        <f t="shared" si="8"/>
        <v>55.24</v>
      </c>
      <c r="P87" s="278">
        <f t="shared" si="9"/>
        <v>568.97200000000009</v>
      </c>
    </row>
    <row r="88" spans="1:17" s="109" customFormat="1" ht="33" customHeight="1" x14ac:dyDescent="0.2">
      <c r="A88" s="97"/>
      <c r="B88" s="116"/>
      <c r="C88" s="117" t="s">
        <v>265</v>
      </c>
      <c r="D88" s="117" t="s">
        <v>69</v>
      </c>
      <c r="E88" s="118" t="s">
        <v>583</v>
      </c>
      <c r="F88" s="119" t="s">
        <v>584</v>
      </c>
      <c r="G88" s="120" t="s">
        <v>61</v>
      </c>
      <c r="H88" s="121">
        <v>3</v>
      </c>
      <c r="I88" s="122">
        <v>460.33</v>
      </c>
      <c r="J88" s="122">
        <v>1380.99</v>
      </c>
      <c r="K88" s="85">
        <v>0</v>
      </c>
      <c r="L88" s="86">
        <f t="shared" si="6"/>
        <v>460.33</v>
      </c>
      <c r="M88" s="277">
        <f t="shared" si="5"/>
        <v>0</v>
      </c>
      <c r="N88" s="87">
        <f t="shared" si="7"/>
        <v>3</v>
      </c>
      <c r="O88" s="88">
        <f t="shared" si="8"/>
        <v>460.33</v>
      </c>
      <c r="P88" s="278">
        <f t="shared" si="9"/>
        <v>1380.99</v>
      </c>
    </row>
    <row r="89" spans="1:17" s="110" customFormat="1" ht="22.9" customHeight="1" x14ac:dyDescent="0.2">
      <c r="C89" s="245"/>
      <c r="D89" s="246" t="s">
        <v>3</v>
      </c>
      <c r="E89" s="247" t="s">
        <v>291</v>
      </c>
      <c r="F89" s="247" t="s">
        <v>292</v>
      </c>
      <c r="G89" s="245"/>
      <c r="H89" s="245"/>
      <c r="I89" s="245"/>
      <c r="J89" s="248">
        <v>4020.49</v>
      </c>
      <c r="K89" s="243"/>
      <c r="L89" s="244"/>
      <c r="M89" s="279">
        <f>M90</f>
        <v>0</v>
      </c>
      <c r="N89" s="280"/>
      <c r="O89" s="244"/>
      <c r="P89" s="279">
        <f>P90</f>
        <v>4020.4899599999999</v>
      </c>
      <c r="Q89" s="156"/>
    </row>
    <row r="90" spans="1:17" s="109" customFormat="1" ht="55.5" customHeight="1" x14ac:dyDescent="0.2">
      <c r="A90" s="97"/>
      <c r="B90" s="116"/>
      <c r="C90" s="117" t="s">
        <v>269</v>
      </c>
      <c r="D90" s="117" t="s">
        <v>69</v>
      </c>
      <c r="E90" s="118" t="s">
        <v>585</v>
      </c>
      <c r="F90" s="119" t="s">
        <v>586</v>
      </c>
      <c r="G90" s="120" t="s">
        <v>120</v>
      </c>
      <c r="H90" s="121">
        <v>35.137999999999998</v>
      </c>
      <c r="I90" s="122">
        <v>114.42</v>
      </c>
      <c r="J90" s="122">
        <v>4020.49</v>
      </c>
      <c r="K90" s="85">
        <v>0</v>
      </c>
      <c r="L90" s="86">
        <f t="shared" si="6"/>
        <v>114.42</v>
      </c>
      <c r="M90" s="277">
        <f t="shared" si="5"/>
        <v>0</v>
      </c>
      <c r="N90" s="87">
        <f t="shared" si="7"/>
        <v>35.137999999999998</v>
      </c>
      <c r="O90" s="88">
        <f t="shared" si="8"/>
        <v>114.42</v>
      </c>
      <c r="P90" s="278">
        <f t="shared" si="9"/>
        <v>4020.4899599999999</v>
      </c>
    </row>
    <row r="91" spans="1:17" s="110" customFormat="1" ht="25.9" customHeight="1" x14ac:dyDescent="0.2">
      <c r="C91" s="245"/>
      <c r="D91" s="246" t="s">
        <v>3</v>
      </c>
      <c r="E91" s="293" t="s">
        <v>587</v>
      </c>
      <c r="F91" s="293" t="s">
        <v>588</v>
      </c>
      <c r="G91" s="245"/>
      <c r="H91" s="245"/>
      <c r="I91" s="245"/>
      <c r="J91" s="294">
        <v>24382.53</v>
      </c>
      <c r="K91" s="243">
        <v>0</v>
      </c>
      <c r="L91" s="244">
        <f t="shared" si="6"/>
        <v>0</v>
      </c>
      <c r="M91" s="279">
        <f>M92+M97+M100</f>
        <v>0</v>
      </c>
      <c r="N91" s="280">
        <f t="shared" si="7"/>
        <v>0</v>
      </c>
      <c r="O91" s="244">
        <f t="shared" si="8"/>
        <v>0</v>
      </c>
      <c r="P91" s="279">
        <f>P92+P97+P100</f>
        <v>24382.525099999999</v>
      </c>
      <c r="Q91" s="156"/>
    </row>
    <row r="92" spans="1:17" s="110" customFormat="1" ht="22.9" customHeight="1" x14ac:dyDescent="0.2">
      <c r="C92" s="245"/>
      <c r="D92" s="246" t="s">
        <v>3</v>
      </c>
      <c r="E92" s="247" t="s">
        <v>589</v>
      </c>
      <c r="F92" s="247" t="s">
        <v>590</v>
      </c>
      <c r="G92" s="245"/>
      <c r="H92" s="245"/>
      <c r="I92" s="245"/>
      <c r="J92" s="248">
        <v>4676.1399999999994</v>
      </c>
      <c r="K92" s="243">
        <v>0</v>
      </c>
      <c r="L92" s="244">
        <f t="shared" si="6"/>
        <v>0</v>
      </c>
      <c r="M92" s="279">
        <f>SUM(M93:M96)</f>
        <v>0</v>
      </c>
      <c r="N92" s="280">
        <f t="shared" si="7"/>
        <v>0</v>
      </c>
      <c r="O92" s="244">
        <f t="shared" si="8"/>
        <v>0</v>
      </c>
      <c r="P92" s="279">
        <f>SUM(P93:P96)</f>
        <v>4676.1428799999994</v>
      </c>
      <c r="Q92" s="156"/>
    </row>
    <row r="93" spans="1:17" s="109" customFormat="1" ht="21.75" customHeight="1" x14ac:dyDescent="0.2">
      <c r="A93" s="97"/>
      <c r="B93" s="116"/>
      <c r="C93" s="117" t="s">
        <v>272</v>
      </c>
      <c r="D93" s="117" t="s">
        <v>69</v>
      </c>
      <c r="E93" s="118" t="s">
        <v>591</v>
      </c>
      <c r="F93" s="119" t="s">
        <v>592</v>
      </c>
      <c r="G93" s="120" t="s">
        <v>72</v>
      </c>
      <c r="H93" s="121">
        <v>2.58</v>
      </c>
      <c r="I93" s="122">
        <v>144.66999999999999</v>
      </c>
      <c r="J93" s="122">
        <v>373.25</v>
      </c>
      <c r="K93" s="85">
        <v>0</v>
      </c>
      <c r="L93" s="86">
        <f t="shared" si="6"/>
        <v>144.66999999999999</v>
      </c>
      <c r="M93" s="277">
        <f t="shared" si="5"/>
        <v>0</v>
      </c>
      <c r="N93" s="87">
        <f t="shared" si="7"/>
        <v>2.58</v>
      </c>
      <c r="O93" s="88">
        <f t="shared" si="8"/>
        <v>144.66999999999999</v>
      </c>
      <c r="P93" s="278">
        <f t="shared" si="9"/>
        <v>373.24859999999995</v>
      </c>
    </row>
    <row r="94" spans="1:17" s="109" customFormat="1" ht="21.75" customHeight="1" x14ac:dyDescent="0.2">
      <c r="A94" s="97"/>
      <c r="B94" s="116"/>
      <c r="C94" s="117" t="s">
        <v>275</v>
      </c>
      <c r="D94" s="117" t="s">
        <v>69</v>
      </c>
      <c r="E94" s="118" t="s">
        <v>593</v>
      </c>
      <c r="F94" s="119" t="s">
        <v>594</v>
      </c>
      <c r="G94" s="120" t="s">
        <v>72</v>
      </c>
      <c r="H94" s="121">
        <v>9.8559999999999999</v>
      </c>
      <c r="I94" s="122">
        <v>157.83000000000001</v>
      </c>
      <c r="J94" s="122">
        <v>1555.57</v>
      </c>
      <c r="K94" s="85">
        <v>0</v>
      </c>
      <c r="L94" s="86">
        <f t="shared" si="6"/>
        <v>157.83000000000001</v>
      </c>
      <c r="M94" s="277">
        <f t="shared" si="5"/>
        <v>0</v>
      </c>
      <c r="N94" s="87">
        <f t="shared" si="7"/>
        <v>9.8559999999999999</v>
      </c>
      <c r="O94" s="88">
        <f t="shared" si="8"/>
        <v>157.83000000000001</v>
      </c>
      <c r="P94" s="278">
        <f t="shared" si="9"/>
        <v>1555.57248</v>
      </c>
    </row>
    <row r="95" spans="1:17" s="109" customFormat="1" ht="16.5" customHeight="1" x14ac:dyDescent="0.2">
      <c r="A95" s="97"/>
      <c r="B95" s="116"/>
      <c r="C95" s="123" t="s">
        <v>278</v>
      </c>
      <c r="D95" s="123" t="s">
        <v>127</v>
      </c>
      <c r="E95" s="124" t="s">
        <v>595</v>
      </c>
      <c r="F95" s="125" t="s">
        <v>596</v>
      </c>
      <c r="G95" s="126" t="s">
        <v>72</v>
      </c>
      <c r="H95" s="127">
        <v>13.68</v>
      </c>
      <c r="I95" s="128">
        <v>190.71</v>
      </c>
      <c r="J95" s="128">
        <v>2608.91</v>
      </c>
      <c r="K95" s="85">
        <v>0</v>
      </c>
      <c r="L95" s="86">
        <f t="shared" si="6"/>
        <v>190.71</v>
      </c>
      <c r="M95" s="277">
        <f t="shared" si="5"/>
        <v>0</v>
      </c>
      <c r="N95" s="87">
        <f t="shared" si="7"/>
        <v>13.68</v>
      </c>
      <c r="O95" s="88">
        <f t="shared" si="8"/>
        <v>190.71</v>
      </c>
      <c r="P95" s="278">
        <f t="shared" si="9"/>
        <v>2608.9128000000001</v>
      </c>
    </row>
    <row r="96" spans="1:17" s="109" customFormat="1" ht="33" customHeight="1" x14ac:dyDescent="0.2">
      <c r="A96" s="97"/>
      <c r="B96" s="116"/>
      <c r="C96" s="117" t="s">
        <v>283</v>
      </c>
      <c r="D96" s="117" t="s">
        <v>69</v>
      </c>
      <c r="E96" s="118" t="s">
        <v>597</v>
      </c>
      <c r="F96" s="119" t="s">
        <v>598</v>
      </c>
      <c r="G96" s="120" t="s">
        <v>599</v>
      </c>
      <c r="H96" s="121">
        <v>3.05</v>
      </c>
      <c r="I96" s="122">
        <v>45.38</v>
      </c>
      <c r="J96" s="122">
        <v>138.41</v>
      </c>
      <c r="K96" s="85">
        <v>0</v>
      </c>
      <c r="L96" s="86">
        <f t="shared" si="6"/>
        <v>45.38</v>
      </c>
      <c r="M96" s="277">
        <f t="shared" si="5"/>
        <v>0</v>
      </c>
      <c r="N96" s="87">
        <f t="shared" si="7"/>
        <v>3.05</v>
      </c>
      <c r="O96" s="88">
        <f t="shared" si="8"/>
        <v>45.38</v>
      </c>
      <c r="P96" s="278">
        <f t="shared" si="9"/>
        <v>138.40899999999999</v>
      </c>
    </row>
    <row r="97" spans="1:17" s="110" customFormat="1" ht="22.9" customHeight="1" x14ac:dyDescent="0.2">
      <c r="C97" s="245"/>
      <c r="D97" s="246" t="s">
        <v>3</v>
      </c>
      <c r="E97" s="247" t="s">
        <v>600</v>
      </c>
      <c r="F97" s="247" t="s">
        <v>601</v>
      </c>
      <c r="G97" s="245"/>
      <c r="H97" s="245"/>
      <c r="I97" s="245"/>
      <c r="J97" s="248">
        <v>4581.37</v>
      </c>
      <c r="K97" s="243">
        <v>0</v>
      </c>
      <c r="L97" s="244">
        <f t="shared" si="6"/>
        <v>0</v>
      </c>
      <c r="M97" s="279">
        <f>SUM(M98:M99)</f>
        <v>0</v>
      </c>
      <c r="N97" s="280">
        <f t="shared" si="7"/>
        <v>0</v>
      </c>
      <c r="O97" s="244">
        <f t="shared" si="8"/>
        <v>0</v>
      </c>
      <c r="P97" s="279">
        <f>SUM(P98:P99)</f>
        <v>4581.36222</v>
      </c>
      <c r="Q97" s="156"/>
    </row>
    <row r="98" spans="1:17" s="109" customFormat="1" ht="66.75" customHeight="1" x14ac:dyDescent="0.2">
      <c r="A98" s="97"/>
      <c r="B98" s="116"/>
      <c r="C98" s="117" t="s">
        <v>286</v>
      </c>
      <c r="D98" s="117" t="s">
        <v>69</v>
      </c>
      <c r="E98" s="118" t="s">
        <v>602</v>
      </c>
      <c r="F98" s="119" t="s">
        <v>603</v>
      </c>
      <c r="G98" s="120" t="s">
        <v>72</v>
      </c>
      <c r="H98" s="121">
        <v>4.524</v>
      </c>
      <c r="I98" s="122">
        <v>610.26</v>
      </c>
      <c r="J98" s="122">
        <v>2760.82</v>
      </c>
      <c r="K98" s="85">
        <v>0</v>
      </c>
      <c r="L98" s="86">
        <f t="shared" si="6"/>
        <v>610.26</v>
      </c>
      <c r="M98" s="277">
        <f t="shared" si="5"/>
        <v>0</v>
      </c>
      <c r="N98" s="87">
        <f t="shared" si="7"/>
        <v>4.524</v>
      </c>
      <c r="O98" s="88">
        <f t="shared" si="8"/>
        <v>610.26</v>
      </c>
      <c r="P98" s="278">
        <f t="shared" si="9"/>
        <v>2760.8162400000001</v>
      </c>
    </row>
    <row r="99" spans="1:17" s="109" customFormat="1" ht="21.75" customHeight="1" x14ac:dyDescent="0.2">
      <c r="A99" s="97"/>
      <c r="B99" s="116"/>
      <c r="C99" s="123" t="s">
        <v>289</v>
      </c>
      <c r="D99" s="123" t="s">
        <v>127</v>
      </c>
      <c r="E99" s="124" t="s">
        <v>604</v>
      </c>
      <c r="F99" s="125" t="s">
        <v>605</v>
      </c>
      <c r="G99" s="126" t="s">
        <v>72</v>
      </c>
      <c r="H99" s="127">
        <v>4.6139999999999999</v>
      </c>
      <c r="I99" s="128">
        <v>394.57</v>
      </c>
      <c r="J99" s="128">
        <v>1820.55</v>
      </c>
      <c r="K99" s="85">
        <v>0</v>
      </c>
      <c r="L99" s="86">
        <f t="shared" si="6"/>
        <v>394.57</v>
      </c>
      <c r="M99" s="277">
        <f t="shared" si="5"/>
        <v>0</v>
      </c>
      <c r="N99" s="87">
        <f t="shared" si="7"/>
        <v>4.6139999999999999</v>
      </c>
      <c r="O99" s="88">
        <f t="shared" si="8"/>
        <v>394.57</v>
      </c>
      <c r="P99" s="278">
        <f t="shared" si="9"/>
        <v>1820.5459799999999</v>
      </c>
    </row>
    <row r="100" spans="1:17" s="110" customFormat="1" ht="22.9" customHeight="1" x14ac:dyDescent="0.2">
      <c r="C100" s="245"/>
      <c r="D100" s="246" t="s">
        <v>3</v>
      </c>
      <c r="E100" s="247" t="s">
        <v>606</v>
      </c>
      <c r="F100" s="247" t="s">
        <v>607</v>
      </c>
      <c r="G100" s="245"/>
      <c r="H100" s="245"/>
      <c r="I100" s="245"/>
      <c r="J100" s="248">
        <v>15125.02</v>
      </c>
      <c r="K100" s="243">
        <v>0</v>
      </c>
      <c r="L100" s="244">
        <f t="shared" si="6"/>
        <v>0</v>
      </c>
      <c r="M100" s="279">
        <f>SUM(M101:M102)</f>
        <v>0</v>
      </c>
      <c r="N100" s="280">
        <f t="shared" si="7"/>
        <v>0</v>
      </c>
      <c r="O100" s="244">
        <f t="shared" si="8"/>
        <v>0</v>
      </c>
      <c r="P100" s="279">
        <f>SUM(P101:P102)</f>
        <v>15125.02</v>
      </c>
      <c r="Q100" s="156"/>
    </row>
    <row r="101" spans="1:17" s="109" customFormat="1" ht="21.75" customHeight="1" x14ac:dyDescent="0.2">
      <c r="A101" s="97"/>
      <c r="B101" s="116"/>
      <c r="C101" s="117" t="s">
        <v>293</v>
      </c>
      <c r="D101" s="117" t="s">
        <v>69</v>
      </c>
      <c r="E101" s="118" t="s">
        <v>608</v>
      </c>
      <c r="F101" s="119" t="s">
        <v>609</v>
      </c>
      <c r="G101" s="120" t="s">
        <v>138</v>
      </c>
      <c r="H101" s="121">
        <v>1</v>
      </c>
      <c r="I101" s="122">
        <v>657.61</v>
      </c>
      <c r="J101" s="122">
        <v>657.61</v>
      </c>
      <c r="K101" s="85">
        <v>0</v>
      </c>
      <c r="L101" s="86">
        <f t="shared" si="6"/>
        <v>657.61</v>
      </c>
      <c r="M101" s="277">
        <f t="shared" si="5"/>
        <v>0</v>
      </c>
      <c r="N101" s="87">
        <f t="shared" si="7"/>
        <v>1</v>
      </c>
      <c r="O101" s="88">
        <f t="shared" si="8"/>
        <v>657.61</v>
      </c>
      <c r="P101" s="278">
        <f t="shared" si="9"/>
        <v>657.61</v>
      </c>
    </row>
    <row r="102" spans="1:17" s="109" customFormat="1" ht="16.5" customHeight="1" x14ac:dyDescent="0.2">
      <c r="A102" s="97"/>
      <c r="B102" s="116"/>
      <c r="C102" s="123" t="s">
        <v>342</v>
      </c>
      <c r="D102" s="123" t="s">
        <v>127</v>
      </c>
      <c r="E102" s="124" t="s">
        <v>610</v>
      </c>
      <c r="F102" s="125" t="s">
        <v>611</v>
      </c>
      <c r="G102" s="126" t="s">
        <v>138</v>
      </c>
      <c r="H102" s="127">
        <v>1</v>
      </c>
      <c r="I102" s="128">
        <v>14467.41</v>
      </c>
      <c r="J102" s="128">
        <v>14467.41</v>
      </c>
      <c r="K102" s="85">
        <v>0</v>
      </c>
      <c r="L102" s="86">
        <f t="shared" si="6"/>
        <v>14467.41</v>
      </c>
      <c r="M102" s="277">
        <f t="shared" si="5"/>
        <v>0</v>
      </c>
      <c r="N102" s="87">
        <f t="shared" si="7"/>
        <v>1</v>
      </c>
      <c r="O102" s="88">
        <f t="shared" si="8"/>
        <v>14467.41</v>
      </c>
      <c r="P102" s="278">
        <f t="shared" si="9"/>
        <v>14467.41</v>
      </c>
    </row>
    <row r="103" spans="1:17" s="109" customFormat="1" ht="6.95" customHeight="1" x14ac:dyDescent="0.2">
      <c r="A103" s="97"/>
      <c r="B103" s="97"/>
      <c r="C103" s="97"/>
      <c r="D103" s="97"/>
      <c r="E103" s="97"/>
      <c r="F103" s="97"/>
      <c r="G103" s="97"/>
      <c r="H103" s="97"/>
      <c r="I103" s="97"/>
      <c r="J103" s="97"/>
    </row>
    <row r="104" spans="1:17" ht="18" customHeight="1" x14ac:dyDescent="0.2">
      <c r="D104" s="89"/>
      <c r="E104" s="141" t="str">
        <f>CONCATENATE("CELKEM ",C$12)</f>
        <v>CELKEM 01 - SO 02.A - ČSOV 1 - stavební část</v>
      </c>
      <c r="F104" s="90"/>
      <c r="G104" s="90"/>
      <c r="H104" s="91"/>
      <c r="I104" s="90"/>
      <c r="J104" s="92">
        <v>1281541.97</v>
      </c>
      <c r="K104" s="94"/>
      <c r="L104" s="92"/>
      <c r="M104" s="147">
        <f>M91+M89+M82+M75+M73+M63+M58+M43+M34+M14</f>
        <v>0</v>
      </c>
      <c r="N104" s="147"/>
      <c r="O104" s="147"/>
      <c r="P104" s="147">
        <f t="shared" ref="P104" si="10">P91+P89+P82+P75+P73+P63+P58+P43+P34+P14</f>
        <v>1281541.9136900001</v>
      </c>
    </row>
    <row r="105" spans="1:17" x14ac:dyDescent="0.2">
      <c r="I105" s="95"/>
    </row>
    <row r="106" spans="1:17" ht="14.25" x14ac:dyDescent="0.2">
      <c r="E106" s="58" t="s">
        <v>994</v>
      </c>
      <c r="F106" s="58"/>
      <c r="H106" s="96"/>
      <c r="J106" s="161"/>
      <c r="K106" s="58" t="s">
        <v>995</v>
      </c>
    </row>
  </sheetData>
  <protectedRanges>
    <protectedRange password="CCAA" sqref="K8" name="Oblast1_1_1_1_1_1"/>
    <protectedRange password="CCAA" sqref="D9:H10" name="Oblast1_2_1_1_1_1"/>
  </protectedRanges>
  <autoFilter ref="C10:P102" xr:uid="{00000000-0001-0000-1400-000000000000}"/>
  <mergeCells count="3">
    <mergeCell ref="T12:T14"/>
    <mergeCell ref="K9:M9"/>
    <mergeCell ref="N9:P9"/>
  </mergeCells>
  <conditionalFormatting sqref="D3:E7 H3:J7 K8:GF8 Q9:GF9 R10:GF10 D1:J2 K1:GE7 K15:L102">
    <cfRule type="cellIs" dxfId="172" priority="83" operator="lessThan">
      <formula>0</formula>
    </cfRule>
  </conditionalFormatting>
  <conditionalFormatting sqref="G4">
    <cfRule type="cellIs" dxfId="171" priority="82" operator="lessThan">
      <formula>0</formula>
    </cfRule>
  </conditionalFormatting>
  <conditionalFormatting sqref="G3">
    <cfRule type="cellIs" dxfId="170" priority="81" operator="lessThan">
      <formula>0</formula>
    </cfRule>
  </conditionalFormatting>
  <conditionalFormatting sqref="D9:J10 D8:E8 H8:J8">
    <cfRule type="cellIs" dxfId="169" priority="80" operator="lessThan">
      <formula>0</formula>
    </cfRule>
  </conditionalFormatting>
  <conditionalFormatting sqref="K9:L10 N9:O9">
    <cfRule type="cellIs" dxfId="168" priority="36" operator="lessThan">
      <formula>0</formula>
    </cfRule>
  </conditionalFormatting>
  <conditionalFormatting sqref="M10:P10">
    <cfRule type="cellIs" dxfId="167" priority="35" operator="lessThan">
      <formula>0</formula>
    </cfRule>
  </conditionalFormatting>
  <conditionalFormatting sqref="N15:O102">
    <cfRule type="cellIs" dxfId="166" priority="31" operator="lessThan">
      <formula>0</formula>
    </cfRule>
  </conditionalFormatting>
  <conditionalFormatting sqref="N15:O102">
    <cfRule type="cellIs" dxfId="165" priority="30" operator="lessThan">
      <formula>0</formula>
    </cfRule>
  </conditionalFormatting>
  <conditionalFormatting sqref="K104 Q104:GP104">
    <cfRule type="cellIs" dxfId="164" priority="29" operator="lessThan">
      <formula>0</formula>
    </cfRule>
  </conditionalFormatting>
  <conditionalFormatting sqref="D104:J104">
    <cfRule type="cellIs" dxfId="163" priority="27" operator="lessThan">
      <formula>0</formula>
    </cfRule>
  </conditionalFormatting>
  <conditionalFormatting sqref="L106:HS106 D106 G106:I106">
    <cfRule type="cellIs" dxfId="162" priority="17" operator="lessThan">
      <formula>0</formula>
    </cfRule>
  </conditionalFormatting>
  <conditionalFormatting sqref="G106:I106 L106:M106">
    <cfRule type="cellIs" dxfId="161" priority="16" operator="lessThan">
      <formula>0</formula>
    </cfRule>
  </conditionalFormatting>
  <conditionalFormatting sqref="G106:I106">
    <cfRule type="cellIs" dxfId="160" priority="15" operator="lessThan">
      <formula>0</formula>
    </cfRule>
  </conditionalFormatting>
  <conditionalFormatting sqref="G106:I106">
    <cfRule type="cellIs" dxfId="159" priority="14" operator="lessThan">
      <formula>0</formula>
    </cfRule>
  </conditionalFormatting>
  <conditionalFormatting sqref="M104:P104">
    <cfRule type="cellIs" dxfId="158" priority="4" operator="lessThan">
      <formula>0</formula>
    </cfRule>
  </conditionalFormatting>
  <conditionalFormatting sqref="L104">
    <cfRule type="cellIs" dxfId="157" priority="2" operator="lessThan">
      <formula>0</formula>
    </cfRule>
  </conditionalFormatting>
  <conditionalFormatting sqref="Q10">
    <cfRule type="cellIs" dxfId="156" priority="1" operator="lessThan">
      <formula>0</formula>
    </cfRule>
  </conditionalFormatting>
  <pageMargins left="0.39370078740157483" right="0.39370078740157483" top="0.39370078740157483" bottom="0.39370078740157483" header="0" footer="0"/>
  <pageSetup paperSize="9" scale="68" fitToHeight="0" orientation="landscape" r:id="rId1"/>
  <headerFooter>
    <oddFooter>&amp;CStrana &amp;P z &amp;N</oddFooter>
  </headerFooter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>
    <pageSetUpPr fitToPage="1"/>
  </sheetPr>
  <dimension ref="A1:AA97"/>
  <sheetViews>
    <sheetView showGridLines="0" view="pageBreakPreview" topLeftCell="A81" zoomScale="85" zoomScaleNormal="85" zoomScaleSheetLayoutView="85" workbookViewId="0">
      <selection activeCell="J97" sqref="J97"/>
    </sheetView>
  </sheetViews>
  <sheetFormatPr defaultColWidth="9.33203125" defaultRowHeight="11.25" x14ac:dyDescent="0.2"/>
  <cols>
    <col min="1" max="1" width="8.33203125" style="60" customWidth="1"/>
    <col min="2" max="2" width="1.6640625" style="60" customWidth="1"/>
    <col min="3" max="3" width="4.1640625" style="60" customWidth="1"/>
    <col min="4" max="4" width="4.33203125" style="60" customWidth="1"/>
    <col min="5" max="5" width="17.1640625" style="60" customWidth="1"/>
    <col min="6" max="6" width="50.83203125" style="60" customWidth="1"/>
    <col min="7" max="7" width="7" style="60" customWidth="1"/>
    <col min="8" max="8" width="11.5" style="60" customWidth="1"/>
    <col min="9" max="10" width="20.1640625" style="60" customWidth="1"/>
    <col min="11" max="15" width="16.1640625" style="60" customWidth="1"/>
    <col min="16" max="16" width="18.83203125" style="60" customWidth="1"/>
    <col min="17" max="18" width="16.1640625" style="60" customWidth="1"/>
    <col min="19" max="19" width="37.1640625" style="164" bestFit="1" customWidth="1"/>
    <col min="20" max="20" width="94.6640625" style="164" bestFit="1" customWidth="1"/>
    <col min="21" max="21" width="27.6640625" style="60" bestFit="1" customWidth="1"/>
    <col min="22" max="22" width="40.1640625" style="60" bestFit="1" customWidth="1"/>
    <col min="23" max="23" width="28.83203125" style="60" bestFit="1" customWidth="1"/>
    <col min="24" max="24" width="9.83203125" style="60" bestFit="1" customWidth="1"/>
    <col min="25" max="25" width="0" style="60" hidden="1" customWidth="1"/>
    <col min="26" max="26" width="29" style="60" bestFit="1" customWidth="1"/>
    <col min="27" max="27" width="9" style="60" bestFit="1" customWidth="1"/>
    <col min="28" max="16384" width="9.33203125" style="60"/>
  </cols>
  <sheetData>
    <row r="1" spans="1:27" ht="18.95" customHeight="1" x14ac:dyDescent="0.2">
      <c r="F1" s="3"/>
      <c r="G1" s="4"/>
      <c r="H1" s="1"/>
      <c r="J1" s="61"/>
    </row>
    <row r="2" spans="1:27" s="1" customFormat="1" ht="18" customHeight="1" x14ac:dyDescent="0.2">
      <c r="E2" s="2"/>
      <c r="F2" s="3" t="s">
        <v>979</v>
      </c>
      <c r="G2" s="4" t="s">
        <v>1058</v>
      </c>
      <c r="I2" s="5"/>
      <c r="J2" s="63"/>
      <c r="K2" s="10"/>
      <c r="L2" s="11"/>
      <c r="M2" s="11"/>
      <c r="N2" s="64"/>
      <c r="S2" s="165"/>
      <c r="T2" s="165"/>
    </row>
    <row r="3" spans="1:27" s="1" customFormat="1" ht="18" customHeight="1" x14ac:dyDescent="0.2">
      <c r="E3" s="2"/>
      <c r="F3" s="3" t="s">
        <v>980</v>
      </c>
      <c r="G3" s="4" t="str">
        <f>+'Rekapitulace stavby'!D2</f>
        <v>ÚHERCE, výstavba kanalizace - UZNATELNÉ NÁKLADY - doměrky</v>
      </c>
      <c r="H3" s="2"/>
      <c r="I3" s="5"/>
      <c r="J3" s="63"/>
      <c r="K3" s="10"/>
      <c r="L3" s="11"/>
      <c r="M3" s="11"/>
      <c r="N3" s="64"/>
      <c r="S3" s="165"/>
      <c r="T3" s="165"/>
    </row>
    <row r="4" spans="1:27" s="2" customFormat="1" ht="18" customHeight="1" x14ac:dyDescent="0.2">
      <c r="F4" s="12" t="s">
        <v>981</v>
      </c>
      <c r="G4" s="13" t="str">
        <f>'[1]VRN 01'!G5</f>
        <v>VRI/SOD/2020/Ži</v>
      </c>
      <c r="I4" s="5"/>
      <c r="J4" s="65"/>
      <c r="K4" s="18"/>
      <c r="L4" s="19"/>
      <c r="M4" s="19"/>
      <c r="N4" s="66"/>
      <c r="S4" s="166"/>
      <c r="T4" s="166"/>
    </row>
    <row r="5" spans="1:27" s="2" customFormat="1" ht="18" customHeight="1" x14ac:dyDescent="0.2">
      <c r="F5" s="12" t="s">
        <v>983</v>
      </c>
      <c r="G5" s="13" t="s">
        <v>1001</v>
      </c>
      <c r="I5" s="5"/>
      <c r="J5" s="65"/>
      <c r="K5" s="18"/>
      <c r="L5" s="19"/>
      <c r="M5" s="19"/>
      <c r="N5" s="66"/>
      <c r="S5" s="166"/>
      <c r="T5" s="166"/>
    </row>
    <row r="6" spans="1:27" s="2" customFormat="1" ht="18" customHeight="1" x14ac:dyDescent="0.2">
      <c r="F6" s="3" t="s">
        <v>984</v>
      </c>
      <c r="G6" s="13" t="str">
        <f>'[1]VRN 01'!G7</f>
        <v>Vododvody a kanalizace Mladá Boleslav, a.s.</v>
      </c>
      <c r="I6" s="5"/>
      <c r="J6" s="65"/>
      <c r="K6" s="18"/>
      <c r="L6" s="19"/>
      <c r="M6" s="19"/>
      <c r="N6" s="66"/>
      <c r="S6" s="166"/>
      <c r="T6" s="166"/>
    </row>
    <row r="7" spans="1:27" s="2" customFormat="1" ht="18" customHeight="1" x14ac:dyDescent="0.2">
      <c r="F7" s="3" t="s">
        <v>986</v>
      </c>
      <c r="G7" s="20" t="str">
        <f>'[1]VRN 01'!G8</f>
        <v>VCES a.s.</v>
      </c>
      <c r="H7" s="67"/>
      <c r="I7" s="5"/>
      <c r="J7" s="65"/>
      <c r="K7" s="18"/>
      <c r="L7" s="19"/>
      <c r="M7" s="19"/>
      <c r="N7" s="66"/>
      <c r="S7" s="166"/>
      <c r="T7" s="166"/>
    </row>
    <row r="8" spans="1:27" s="68" customFormat="1" ht="18" customHeight="1" x14ac:dyDescent="0.2">
      <c r="D8" s="69"/>
      <c r="F8" s="3"/>
      <c r="G8" s="20"/>
      <c r="H8" s="67"/>
      <c r="K8" s="72" t="s">
        <v>996</v>
      </c>
      <c r="L8" s="73" t="str">
        <f>+C12</f>
        <v>02 - SO 02.B - Výtlačný řad 1 - d110</v>
      </c>
      <c r="M8" s="73"/>
      <c r="O8" s="74"/>
      <c r="S8" s="167"/>
      <c r="T8" s="167"/>
    </row>
    <row r="9" spans="1:27" s="75" customFormat="1" ht="20.100000000000001" customHeight="1" x14ac:dyDescent="0.2">
      <c r="C9" s="76"/>
      <c r="D9" s="77"/>
      <c r="E9" s="77"/>
      <c r="F9" s="77"/>
      <c r="G9" s="77"/>
      <c r="H9" s="77"/>
      <c r="I9" s="78"/>
      <c r="J9" s="79"/>
      <c r="K9" s="332" t="s">
        <v>1266</v>
      </c>
      <c r="L9" s="332"/>
      <c r="M9" s="332"/>
      <c r="N9" s="339" t="s">
        <v>1267</v>
      </c>
      <c r="O9" s="339"/>
      <c r="P9" s="340"/>
      <c r="S9" s="168"/>
      <c r="T9" s="168"/>
    </row>
    <row r="10" spans="1:27" s="75" customFormat="1" ht="24" customHeight="1" x14ac:dyDescent="0.2">
      <c r="C10" s="80"/>
      <c r="D10" s="81" t="s">
        <v>997</v>
      </c>
      <c r="E10" s="81" t="s">
        <v>976</v>
      </c>
      <c r="F10" s="81" t="s">
        <v>977</v>
      </c>
      <c r="G10" s="81" t="s">
        <v>64</v>
      </c>
      <c r="H10" s="82" t="s">
        <v>65</v>
      </c>
      <c r="I10" s="83" t="s">
        <v>998</v>
      </c>
      <c r="J10" s="84" t="s">
        <v>978</v>
      </c>
      <c r="K10" s="218" t="s">
        <v>999</v>
      </c>
      <c r="L10" s="219" t="s">
        <v>1260</v>
      </c>
      <c r="M10" s="220" t="s">
        <v>978</v>
      </c>
      <c r="N10" s="263" t="s">
        <v>1264</v>
      </c>
      <c r="O10" s="264" t="s">
        <v>1260</v>
      </c>
      <c r="P10" s="265" t="s">
        <v>978</v>
      </c>
      <c r="Q10" s="157" t="s">
        <v>1012</v>
      </c>
      <c r="R10" s="157" t="s">
        <v>1019</v>
      </c>
      <c r="T10" s="168"/>
      <c r="U10" s="169" t="s">
        <v>1106</v>
      </c>
      <c r="W10" s="157" t="s">
        <v>1132</v>
      </c>
      <c r="Z10" s="157" t="s">
        <v>1150</v>
      </c>
    </row>
    <row r="12" spans="1:27" s="109" customFormat="1" ht="22.9" customHeight="1" x14ac:dyDescent="0.25">
      <c r="A12" s="97"/>
      <c r="B12" s="97"/>
      <c r="C12" s="98" t="s">
        <v>612</v>
      </c>
      <c r="D12" s="97"/>
      <c r="E12" s="97"/>
      <c r="F12" s="97"/>
      <c r="G12" s="97"/>
      <c r="H12" s="97"/>
      <c r="I12" s="97"/>
      <c r="J12" s="99">
        <v>4163822.2600000002</v>
      </c>
      <c r="S12" s="149"/>
      <c r="T12" s="149"/>
      <c r="Z12" s="349" t="s">
        <v>1161</v>
      </c>
      <c r="AA12" s="341" t="s">
        <v>1008</v>
      </c>
    </row>
    <row r="13" spans="1:27" s="110" customFormat="1" ht="25.9" customHeight="1" x14ac:dyDescent="0.2">
      <c r="D13" s="111" t="s">
        <v>3</v>
      </c>
      <c r="E13" s="112" t="s">
        <v>66</v>
      </c>
      <c r="F13" s="112" t="s">
        <v>67</v>
      </c>
      <c r="J13" s="113">
        <v>4163822.2600000002</v>
      </c>
      <c r="S13" s="170"/>
      <c r="T13" s="170"/>
      <c r="U13" s="153"/>
      <c r="Z13" s="349"/>
      <c r="AA13" s="341"/>
    </row>
    <row r="14" spans="1:27" s="110" customFormat="1" ht="22.9" customHeight="1" x14ac:dyDescent="0.2">
      <c r="C14" s="252"/>
      <c r="D14" s="253" t="s">
        <v>3</v>
      </c>
      <c r="E14" s="254" t="s">
        <v>7</v>
      </c>
      <c r="F14" s="254" t="s">
        <v>68</v>
      </c>
      <c r="G14" s="252"/>
      <c r="H14" s="252"/>
      <c r="I14" s="252"/>
      <c r="J14" s="255">
        <v>1865912.4000000001</v>
      </c>
      <c r="K14" s="252"/>
      <c r="L14" s="252"/>
      <c r="M14" s="258">
        <f>SUM(M15:M45)</f>
        <v>-1863.0058999999997</v>
      </c>
      <c r="N14" s="252"/>
      <c r="O14" s="252"/>
      <c r="P14" s="258">
        <f>SUM(P15:P45)</f>
        <v>1864049.3736600003</v>
      </c>
      <c r="Q14" s="176" t="s">
        <v>1003</v>
      </c>
      <c r="S14" s="170"/>
      <c r="T14" s="170"/>
      <c r="Z14" s="349"/>
      <c r="AA14" s="341"/>
    </row>
    <row r="15" spans="1:27" s="109" customFormat="1" ht="55.5" customHeight="1" x14ac:dyDescent="0.2">
      <c r="A15" s="97"/>
      <c r="B15" s="116"/>
      <c r="C15" s="117" t="s">
        <v>7</v>
      </c>
      <c r="D15" s="117" t="s">
        <v>69</v>
      </c>
      <c r="E15" s="118" t="s">
        <v>79</v>
      </c>
      <c r="F15" s="119" t="s">
        <v>80</v>
      </c>
      <c r="G15" s="120" t="s">
        <v>72</v>
      </c>
      <c r="H15" s="121">
        <v>643.39</v>
      </c>
      <c r="I15" s="122">
        <v>26.3</v>
      </c>
      <c r="J15" s="122">
        <v>16921.16</v>
      </c>
      <c r="K15" s="85">
        <v>0</v>
      </c>
      <c r="L15" s="86">
        <f>I15</f>
        <v>26.3</v>
      </c>
      <c r="M15" s="277">
        <f>K15*L15</f>
        <v>0</v>
      </c>
      <c r="N15" s="87">
        <f>H15+K15</f>
        <v>643.39</v>
      </c>
      <c r="O15" s="88">
        <f>I15</f>
        <v>26.3</v>
      </c>
      <c r="P15" s="278">
        <f>N15*O15</f>
        <v>16921.156999999999</v>
      </c>
      <c r="S15" s="149"/>
      <c r="T15" s="149"/>
      <c r="AA15" s="177"/>
    </row>
    <row r="16" spans="1:27" s="109" customFormat="1" ht="55.5" customHeight="1" x14ac:dyDescent="0.2">
      <c r="A16" s="97"/>
      <c r="B16" s="116"/>
      <c r="C16" s="117" t="s">
        <v>8</v>
      </c>
      <c r="D16" s="117" t="s">
        <v>69</v>
      </c>
      <c r="E16" s="118" t="s">
        <v>74</v>
      </c>
      <c r="F16" s="119" t="s">
        <v>75</v>
      </c>
      <c r="G16" s="120" t="s">
        <v>72</v>
      </c>
      <c r="H16" s="121">
        <v>319.68200000000002</v>
      </c>
      <c r="I16" s="122">
        <v>40.770000000000003</v>
      </c>
      <c r="J16" s="122">
        <v>13033.44</v>
      </c>
      <c r="K16" s="85">
        <v>0</v>
      </c>
      <c r="L16" s="86">
        <f t="shared" ref="L16:L78" si="0">I16</f>
        <v>40.770000000000003</v>
      </c>
      <c r="M16" s="277">
        <f t="shared" ref="M16:M78" si="1">K16*L16</f>
        <v>0</v>
      </c>
      <c r="N16" s="87">
        <f t="shared" ref="N16:N78" si="2">H16+K16</f>
        <v>319.68200000000002</v>
      </c>
      <c r="O16" s="88">
        <f t="shared" ref="O16:O78" si="3">I16</f>
        <v>40.770000000000003</v>
      </c>
      <c r="P16" s="278">
        <f t="shared" ref="P16:P78" si="4">N16*O16</f>
        <v>13033.435140000001</v>
      </c>
      <c r="S16" s="149"/>
      <c r="T16" s="149"/>
      <c r="AA16" s="177"/>
    </row>
    <row r="17" spans="1:27" s="109" customFormat="1" ht="55.5" customHeight="1" x14ac:dyDescent="0.2">
      <c r="A17" s="97"/>
      <c r="B17" s="116"/>
      <c r="C17" s="117" t="s">
        <v>76</v>
      </c>
      <c r="D17" s="117" t="s">
        <v>69</v>
      </c>
      <c r="E17" s="118" t="s">
        <v>314</v>
      </c>
      <c r="F17" s="119" t="s">
        <v>315</v>
      </c>
      <c r="G17" s="120" t="s">
        <v>72</v>
      </c>
      <c r="H17" s="121">
        <v>323.70800000000003</v>
      </c>
      <c r="I17" s="122">
        <v>519.33000000000004</v>
      </c>
      <c r="J17" s="122">
        <v>168111.28</v>
      </c>
      <c r="K17" s="85">
        <v>0</v>
      </c>
      <c r="L17" s="86">
        <f t="shared" si="0"/>
        <v>519.33000000000004</v>
      </c>
      <c r="M17" s="277">
        <f t="shared" si="1"/>
        <v>0</v>
      </c>
      <c r="N17" s="87">
        <f t="shared" si="2"/>
        <v>323.70800000000003</v>
      </c>
      <c r="O17" s="88">
        <f t="shared" si="3"/>
        <v>519.33000000000004</v>
      </c>
      <c r="P17" s="278">
        <f t="shared" si="4"/>
        <v>168111.27564000004</v>
      </c>
      <c r="S17" s="149"/>
      <c r="T17" s="149"/>
      <c r="AA17" s="177"/>
    </row>
    <row r="18" spans="1:27" s="109" customFormat="1" ht="44.25" customHeight="1" x14ac:dyDescent="0.2">
      <c r="A18" s="97"/>
      <c r="B18" s="116"/>
      <c r="C18" s="117" t="s">
        <v>73</v>
      </c>
      <c r="D18" s="117" t="s">
        <v>69</v>
      </c>
      <c r="E18" s="118" t="s">
        <v>82</v>
      </c>
      <c r="F18" s="119" t="s">
        <v>83</v>
      </c>
      <c r="G18" s="120" t="s">
        <v>72</v>
      </c>
      <c r="H18" s="121">
        <v>319.68200000000002</v>
      </c>
      <c r="I18" s="122">
        <v>39.46</v>
      </c>
      <c r="J18" s="122">
        <v>12614.65</v>
      </c>
      <c r="K18" s="85">
        <v>0</v>
      </c>
      <c r="L18" s="86">
        <f t="shared" si="0"/>
        <v>39.46</v>
      </c>
      <c r="M18" s="277">
        <f t="shared" si="1"/>
        <v>0</v>
      </c>
      <c r="N18" s="87">
        <f t="shared" si="2"/>
        <v>319.68200000000002</v>
      </c>
      <c r="O18" s="88">
        <f t="shared" si="3"/>
        <v>39.46</v>
      </c>
      <c r="P18" s="278">
        <f t="shared" si="4"/>
        <v>12614.651720000002</v>
      </c>
      <c r="S18" s="149"/>
      <c r="T18" s="149"/>
      <c r="AA18" s="177"/>
    </row>
    <row r="19" spans="1:27" s="109" customFormat="1" ht="44.25" customHeight="1" x14ac:dyDescent="0.2">
      <c r="A19" s="97"/>
      <c r="B19" s="116"/>
      <c r="C19" s="117" t="s">
        <v>81</v>
      </c>
      <c r="D19" s="117" t="s">
        <v>69</v>
      </c>
      <c r="E19" s="118" t="s">
        <v>316</v>
      </c>
      <c r="F19" s="119" t="s">
        <v>317</v>
      </c>
      <c r="G19" s="120" t="s">
        <v>72</v>
      </c>
      <c r="H19" s="121">
        <v>323.70800000000003</v>
      </c>
      <c r="I19" s="122">
        <v>77.599999999999994</v>
      </c>
      <c r="J19" s="122">
        <v>25119.74</v>
      </c>
      <c r="K19" s="85">
        <v>0</v>
      </c>
      <c r="L19" s="86">
        <f t="shared" si="0"/>
        <v>77.599999999999994</v>
      </c>
      <c r="M19" s="277">
        <f t="shared" si="1"/>
        <v>0</v>
      </c>
      <c r="N19" s="87">
        <f t="shared" si="2"/>
        <v>323.70800000000003</v>
      </c>
      <c r="O19" s="88">
        <f t="shared" si="3"/>
        <v>77.599999999999994</v>
      </c>
      <c r="P19" s="278">
        <f t="shared" si="4"/>
        <v>25119.7408</v>
      </c>
      <c r="S19" s="149"/>
      <c r="T19" s="149"/>
      <c r="AA19" s="177"/>
    </row>
    <row r="20" spans="1:27" s="109" customFormat="1" ht="44.25" customHeight="1" x14ac:dyDescent="0.2">
      <c r="A20" s="97"/>
      <c r="B20" s="116"/>
      <c r="C20" s="117" t="s">
        <v>84</v>
      </c>
      <c r="D20" s="117" t="s">
        <v>69</v>
      </c>
      <c r="E20" s="118" t="s">
        <v>85</v>
      </c>
      <c r="F20" s="119" t="s">
        <v>86</v>
      </c>
      <c r="G20" s="120" t="s">
        <v>72</v>
      </c>
      <c r="H20" s="121">
        <v>1112.0419999999999</v>
      </c>
      <c r="I20" s="122">
        <v>55.24</v>
      </c>
      <c r="J20" s="122">
        <v>61429.2</v>
      </c>
      <c r="K20" s="85">
        <v>0</v>
      </c>
      <c r="L20" s="86">
        <f t="shared" si="0"/>
        <v>55.24</v>
      </c>
      <c r="M20" s="277">
        <f t="shared" si="1"/>
        <v>0</v>
      </c>
      <c r="N20" s="87">
        <f t="shared" si="2"/>
        <v>1112.0419999999999</v>
      </c>
      <c r="O20" s="88">
        <f t="shared" si="3"/>
        <v>55.24</v>
      </c>
      <c r="P20" s="278">
        <f t="shared" si="4"/>
        <v>61429.200079999995</v>
      </c>
      <c r="Q20" s="152"/>
      <c r="S20" s="149"/>
      <c r="T20" s="149"/>
      <c r="AA20" s="177"/>
    </row>
    <row r="21" spans="1:27" s="109" customFormat="1" ht="78" customHeight="1" x14ac:dyDescent="0.2">
      <c r="A21" s="97"/>
      <c r="B21" s="116"/>
      <c r="C21" s="117" t="s">
        <v>87</v>
      </c>
      <c r="D21" s="117" t="s">
        <v>69</v>
      </c>
      <c r="E21" s="118" t="s">
        <v>88</v>
      </c>
      <c r="F21" s="119" t="s">
        <v>89</v>
      </c>
      <c r="G21" s="120" t="s">
        <v>61</v>
      </c>
      <c r="H21" s="121">
        <v>23.1</v>
      </c>
      <c r="I21" s="122">
        <v>170.98</v>
      </c>
      <c r="J21" s="122">
        <v>3949.64</v>
      </c>
      <c r="K21" s="85">
        <f>ROUND(589.4/590.1*H21-H21,2)</f>
        <v>-0.03</v>
      </c>
      <c r="L21" s="86">
        <f t="shared" si="0"/>
        <v>170.98</v>
      </c>
      <c r="M21" s="277">
        <f t="shared" si="1"/>
        <v>-5.1293999999999995</v>
      </c>
      <c r="N21" s="87">
        <f t="shared" si="2"/>
        <v>23.07</v>
      </c>
      <c r="O21" s="88">
        <f t="shared" si="3"/>
        <v>170.98</v>
      </c>
      <c r="P21" s="278">
        <f t="shared" si="4"/>
        <v>3944.5085999999997</v>
      </c>
      <c r="S21" s="149"/>
      <c r="T21" s="149"/>
      <c r="AA21" s="177"/>
    </row>
    <row r="22" spans="1:27" s="109" customFormat="1" ht="39.75" customHeight="1" x14ac:dyDescent="0.2">
      <c r="A22" s="97"/>
      <c r="B22" s="116"/>
      <c r="C22" s="117" t="s">
        <v>90</v>
      </c>
      <c r="D22" s="117" t="s">
        <v>69</v>
      </c>
      <c r="E22" s="118" t="s">
        <v>318</v>
      </c>
      <c r="F22" s="119" t="s">
        <v>319</v>
      </c>
      <c r="G22" s="120" t="s">
        <v>61</v>
      </c>
      <c r="H22" s="121">
        <v>4.4000000000000004</v>
      </c>
      <c r="I22" s="122">
        <v>257.77999999999997</v>
      </c>
      <c r="J22" s="122">
        <v>1134.23</v>
      </c>
      <c r="K22" s="85">
        <f t="shared" ref="K22:K49" si="5">ROUND(589.4/590.1*H22-H22,2)</f>
        <v>-0.01</v>
      </c>
      <c r="L22" s="86">
        <f t="shared" si="0"/>
        <v>257.77999999999997</v>
      </c>
      <c r="M22" s="277">
        <f t="shared" si="1"/>
        <v>-2.5777999999999999</v>
      </c>
      <c r="N22" s="87">
        <f t="shared" si="2"/>
        <v>4.3900000000000006</v>
      </c>
      <c r="O22" s="88">
        <f t="shared" si="3"/>
        <v>257.77999999999997</v>
      </c>
      <c r="P22" s="278">
        <f t="shared" si="4"/>
        <v>1131.6541999999999</v>
      </c>
      <c r="S22" s="149"/>
      <c r="T22" s="149"/>
      <c r="AA22" s="177"/>
    </row>
    <row r="23" spans="1:27" s="109" customFormat="1" ht="87.75" customHeight="1" x14ac:dyDescent="0.2">
      <c r="A23" s="97"/>
      <c r="B23" s="116"/>
      <c r="C23" s="117" t="s">
        <v>93</v>
      </c>
      <c r="D23" s="117" t="s">
        <v>69</v>
      </c>
      <c r="E23" s="118" t="s">
        <v>91</v>
      </c>
      <c r="F23" s="119" t="s">
        <v>92</v>
      </c>
      <c r="G23" s="120" t="s">
        <v>61</v>
      </c>
      <c r="H23" s="121">
        <v>11</v>
      </c>
      <c r="I23" s="122">
        <v>147.30000000000001</v>
      </c>
      <c r="J23" s="122">
        <v>1620.3</v>
      </c>
      <c r="K23" s="85">
        <f t="shared" si="5"/>
        <v>-0.01</v>
      </c>
      <c r="L23" s="86">
        <f t="shared" si="0"/>
        <v>147.30000000000001</v>
      </c>
      <c r="M23" s="277">
        <f t="shared" si="1"/>
        <v>-1.4730000000000001</v>
      </c>
      <c r="N23" s="87">
        <f t="shared" si="2"/>
        <v>10.99</v>
      </c>
      <c r="O23" s="88">
        <f t="shared" si="3"/>
        <v>147.30000000000001</v>
      </c>
      <c r="P23" s="278">
        <f t="shared" si="4"/>
        <v>1618.8270000000002</v>
      </c>
      <c r="S23" s="149"/>
      <c r="T23" s="149"/>
      <c r="AA23" s="177"/>
    </row>
    <row r="24" spans="1:27" s="109" customFormat="1" ht="44.25" customHeight="1" x14ac:dyDescent="0.2">
      <c r="A24" s="97"/>
      <c r="B24" s="116"/>
      <c r="C24" s="117" t="s">
        <v>26</v>
      </c>
      <c r="D24" s="117" t="s">
        <v>69</v>
      </c>
      <c r="E24" s="118" t="s">
        <v>297</v>
      </c>
      <c r="F24" s="119" t="s">
        <v>298</v>
      </c>
      <c r="G24" s="120" t="s">
        <v>62</v>
      </c>
      <c r="H24" s="121">
        <v>0.68300000000000005</v>
      </c>
      <c r="I24" s="122">
        <v>57.87</v>
      </c>
      <c r="J24" s="122">
        <v>39.53</v>
      </c>
      <c r="K24" s="85">
        <f t="shared" si="5"/>
        <v>0</v>
      </c>
      <c r="L24" s="86">
        <f t="shared" si="0"/>
        <v>57.87</v>
      </c>
      <c r="M24" s="277">
        <f t="shared" si="1"/>
        <v>0</v>
      </c>
      <c r="N24" s="87">
        <f t="shared" si="2"/>
        <v>0.68300000000000005</v>
      </c>
      <c r="O24" s="88">
        <f t="shared" si="3"/>
        <v>57.87</v>
      </c>
      <c r="P24" s="278">
        <f t="shared" si="4"/>
        <v>39.525210000000001</v>
      </c>
      <c r="S24" s="149"/>
      <c r="T24" s="149"/>
      <c r="AA24" s="177"/>
    </row>
    <row r="25" spans="1:27" s="109" customFormat="1" ht="41.25" customHeight="1" x14ac:dyDescent="0.2">
      <c r="A25" s="97"/>
      <c r="B25" s="116"/>
      <c r="C25" s="117" t="s">
        <v>28</v>
      </c>
      <c r="D25" s="117" t="s">
        <v>69</v>
      </c>
      <c r="E25" s="118" t="s">
        <v>94</v>
      </c>
      <c r="F25" s="119" t="s">
        <v>95</v>
      </c>
      <c r="G25" s="120" t="s">
        <v>62</v>
      </c>
      <c r="H25" s="121">
        <v>123.01</v>
      </c>
      <c r="I25" s="122">
        <v>257.77999999999997</v>
      </c>
      <c r="J25" s="122">
        <v>31709.52</v>
      </c>
      <c r="K25" s="85">
        <f t="shared" si="5"/>
        <v>-0.15</v>
      </c>
      <c r="L25" s="86">
        <f t="shared" si="0"/>
        <v>257.77999999999997</v>
      </c>
      <c r="M25" s="277">
        <f t="shared" si="1"/>
        <v>-38.666999999999994</v>
      </c>
      <c r="N25" s="87">
        <f t="shared" si="2"/>
        <v>122.86</v>
      </c>
      <c r="O25" s="88">
        <f t="shared" si="3"/>
        <v>257.77999999999997</v>
      </c>
      <c r="P25" s="278">
        <f t="shared" si="4"/>
        <v>31670.850799999997</v>
      </c>
      <c r="S25" s="149"/>
      <c r="T25" s="149"/>
      <c r="AA25" s="177"/>
    </row>
    <row r="26" spans="1:27" s="109" customFormat="1" ht="33" customHeight="1" x14ac:dyDescent="0.2">
      <c r="A26" s="97"/>
      <c r="B26" s="116"/>
      <c r="C26" s="117" t="s">
        <v>30</v>
      </c>
      <c r="D26" s="117" t="s">
        <v>69</v>
      </c>
      <c r="E26" s="118" t="s">
        <v>613</v>
      </c>
      <c r="F26" s="119" t="s">
        <v>614</v>
      </c>
      <c r="G26" s="120" t="s">
        <v>72</v>
      </c>
      <c r="H26" s="121">
        <v>2.64</v>
      </c>
      <c r="I26" s="122">
        <v>26.3</v>
      </c>
      <c r="J26" s="122">
        <v>69.430000000000007</v>
      </c>
      <c r="K26" s="85">
        <f t="shared" si="5"/>
        <v>0</v>
      </c>
      <c r="L26" s="86">
        <f t="shared" si="0"/>
        <v>26.3</v>
      </c>
      <c r="M26" s="277">
        <f t="shared" si="1"/>
        <v>0</v>
      </c>
      <c r="N26" s="87">
        <f t="shared" si="2"/>
        <v>2.64</v>
      </c>
      <c r="O26" s="88">
        <f t="shared" si="3"/>
        <v>26.3</v>
      </c>
      <c r="P26" s="278">
        <f t="shared" si="4"/>
        <v>69.432000000000002</v>
      </c>
      <c r="S26" s="149"/>
      <c r="T26" s="149"/>
      <c r="AA26" s="177"/>
    </row>
    <row r="27" spans="1:27" s="109" customFormat="1" ht="33" customHeight="1" x14ac:dyDescent="0.2">
      <c r="A27" s="97"/>
      <c r="B27" s="116"/>
      <c r="C27" s="117" t="s">
        <v>32</v>
      </c>
      <c r="D27" s="117" t="s">
        <v>69</v>
      </c>
      <c r="E27" s="118" t="s">
        <v>299</v>
      </c>
      <c r="F27" s="119" t="s">
        <v>300</v>
      </c>
      <c r="G27" s="120" t="s">
        <v>72</v>
      </c>
      <c r="H27" s="121">
        <v>1.5509999999999999</v>
      </c>
      <c r="I27" s="122">
        <v>18.41</v>
      </c>
      <c r="J27" s="122">
        <v>28.55</v>
      </c>
      <c r="K27" s="85">
        <f t="shared" si="5"/>
        <v>0</v>
      </c>
      <c r="L27" s="86">
        <f t="shared" si="0"/>
        <v>18.41</v>
      </c>
      <c r="M27" s="277">
        <f t="shared" si="1"/>
        <v>0</v>
      </c>
      <c r="N27" s="87">
        <f t="shared" si="2"/>
        <v>1.5509999999999999</v>
      </c>
      <c r="O27" s="88">
        <f t="shared" si="3"/>
        <v>18.41</v>
      </c>
      <c r="P27" s="278">
        <f t="shared" si="4"/>
        <v>28.553909999999998</v>
      </c>
      <c r="S27" s="149"/>
      <c r="T27" s="149"/>
      <c r="AA27" s="177"/>
    </row>
    <row r="28" spans="1:27" s="109" customFormat="1" ht="21.75" customHeight="1" x14ac:dyDescent="0.2">
      <c r="A28" s="97"/>
      <c r="B28" s="116"/>
      <c r="C28" s="117" t="s">
        <v>34</v>
      </c>
      <c r="D28" s="117" t="s">
        <v>69</v>
      </c>
      <c r="E28" s="118" t="s">
        <v>301</v>
      </c>
      <c r="F28" s="119" t="s">
        <v>302</v>
      </c>
      <c r="G28" s="120" t="s">
        <v>72</v>
      </c>
      <c r="H28" s="121">
        <v>1.5509999999999999</v>
      </c>
      <c r="I28" s="122">
        <v>27.62</v>
      </c>
      <c r="J28" s="122">
        <v>42.84</v>
      </c>
      <c r="K28" s="85">
        <f t="shared" si="5"/>
        <v>0</v>
      </c>
      <c r="L28" s="86">
        <f t="shared" si="0"/>
        <v>27.62</v>
      </c>
      <c r="M28" s="277">
        <f t="shared" si="1"/>
        <v>0</v>
      </c>
      <c r="N28" s="87">
        <f t="shared" si="2"/>
        <v>1.5509999999999999</v>
      </c>
      <c r="O28" s="88">
        <f t="shared" si="3"/>
        <v>27.62</v>
      </c>
      <c r="P28" s="278">
        <f t="shared" si="4"/>
        <v>42.838619999999999</v>
      </c>
      <c r="S28" s="149"/>
      <c r="T28" s="149"/>
      <c r="AA28" s="177"/>
    </row>
    <row r="29" spans="1:27" s="109" customFormat="1" ht="16.5" customHeight="1" x14ac:dyDescent="0.2">
      <c r="A29" s="97"/>
      <c r="B29" s="116"/>
      <c r="C29" s="117" t="s">
        <v>1</v>
      </c>
      <c r="D29" s="117" t="s">
        <v>69</v>
      </c>
      <c r="E29" s="118" t="s">
        <v>303</v>
      </c>
      <c r="F29" s="119" t="s">
        <v>304</v>
      </c>
      <c r="G29" s="120" t="s">
        <v>72</v>
      </c>
      <c r="H29" s="121">
        <v>1.5509999999999999</v>
      </c>
      <c r="I29" s="122">
        <v>11.84</v>
      </c>
      <c r="J29" s="122">
        <v>18.36</v>
      </c>
      <c r="K29" s="85">
        <f t="shared" si="5"/>
        <v>0</v>
      </c>
      <c r="L29" s="86">
        <f t="shared" si="0"/>
        <v>11.84</v>
      </c>
      <c r="M29" s="277">
        <f t="shared" si="1"/>
        <v>0</v>
      </c>
      <c r="N29" s="87">
        <f t="shared" si="2"/>
        <v>1.5509999999999999</v>
      </c>
      <c r="O29" s="88">
        <f t="shared" si="3"/>
        <v>11.84</v>
      </c>
      <c r="P29" s="278">
        <f t="shared" si="4"/>
        <v>18.36384</v>
      </c>
      <c r="S29" s="149"/>
      <c r="T29" s="149"/>
      <c r="AA29" s="177"/>
    </row>
    <row r="30" spans="1:27" s="109" customFormat="1" ht="16.5" customHeight="1" x14ac:dyDescent="0.2">
      <c r="A30" s="97"/>
      <c r="B30" s="116"/>
      <c r="C30" s="123" t="s">
        <v>37</v>
      </c>
      <c r="D30" s="123" t="s">
        <v>127</v>
      </c>
      <c r="E30" s="124" t="s">
        <v>305</v>
      </c>
      <c r="F30" s="125" t="s">
        <v>306</v>
      </c>
      <c r="G30" s="126" t="s">
        <v>307</v>
      </c>
      <c r="H30" s="127">
        <v>2.3E-2</v>
      </c>
      <c r="I30" s="128">
        <v>170.98</v>
      </c>
      <c r="J30" s="128">
        <v>3.93</v>
      </c>
      <c r="K30" s="85">
        <f t="shared" si="5"/>
        <v>0</v>
      </c>
      <c r="L30" s="86">
        <f t="shared" si="0"/>
        <v>170.98</v>
      </c>
      <c r="M30" s="277">
        <f t="shared" si="1"/>
        <v>0</v>
      </c>
      <c r="N30" s="87">
        <f t="shared" si="2"/>
        <v>2.3E-2</v>
      </c>
      <c r="O30" s="88">
        <f t="shared" si="3"/>
        <v>170.98</v>
      </c>
      <c r="P30" s="278">
        <f t="shared" si="4"/>
        <v>3.9325399999999995</v>
      </c>
      <c r="S30" s="149"/>
      <c r="T30" s="149"/>
      <c r="AA30" s="177"/>
    </row>
    <row r="31" spans="1:27" s="109" customFormat="1" ht="21.75" customHeight="1" x14ac:dyDescent="0.2">
      <c r="A31" s="97"/>
      <c r="B31" s="116"/>
      <c r="C31" s="117" t="s">
        <v>39</v>
      </c>
      <c r="D31" s="117" t="s">
        <v>69</v>
      </c>
      <c r="E31" s="118" t="s">
        <v>308</v>
      </c>
      <c r="F31" s="119" t="s">
        <v>309</v>
      </c>
      <c r="G31" s="120" t="s">
        <v>72</v>
      </c>
      <c r="H31" s="121">
        <v>1.5509999999999999</v>
      </c>
      <c r="I31" s="122">
        <v>5.26</v>
      </c>
      <c r="J31" s="122">
        <v>8.16</v>
      </c>
      <c r="K31" s="85">
        <f t="shared" si="5"/>
        <v>0</v>
      </c>
      <c r="L31" s="86">
        <f t="shared" si="0"/>
        <v>5.26</v>
      </c>
      <c r="M31" s="277">
        <f t="shared" si="1"/>
        <v>0</v>
      </c>
      <c r="N31" s="87">
        <f t="shared" si="2"/>
        <v>1.5509999999999999</v>
      </c>
      <c r="O31" s="88">
        <f t="shared" si="3"/>
        <v>5.26</v>
      </c>
      <c r="P31" s="278">
        <f t="shared" si="4"/>
        <v>8.1582599999999985</v>
      </c>
      <c r="S31" s="149"/>
      <c r="T31" s="149"/>
      <c r="AA31" s="177"/>
    </row>
    <row r="32" spans="1:27" s="109" customFormat="1" ht="33" customHeight="1" x14ac:dyDescent="0.2">
      <c r="A32" s="97"/>
      <c r="B32" s="116"/>
      <c r="C32" s="117" t="s">
        <v>41</v>
      </c>
      <c r="D32" s="117" t="s">
        <v>69</v>
      </c>
      <c r="E32" s="118" t="s">
        <v>96</v>
      </c>
      <c r="F32" s="119" t="s">
        <v>97</v>
      </c>
      <c r="G32" s="120" t="s">
        <v>62</v>
      </c>
      <c r="H32" s="121">
        <v>369.04</v>
      </c>
      <c r="I32" s="122">
        <v>234.11</v>
      </c>
      <c r="J32" s="122">
        <v>86395.95</v>
      </c>
      <c r="K32" s="85">
        <f t="shared" si="5"/>
        <v>-0.44</v>
      </c>
      <c r="L32" s="86">
        <f t="shared" si="0"/>
        <v>234.11</v>
      </c>
      <c r="M32" s="277">
        <f t="shared" si="1"/>
        <v>-103.00840000000001</v>
      </c>
      <c r="N32" s="87">
        <f t="shared" si="2"/>
        <v>368.6</v>
      </c>
      <c r="O32" s="88">
        <f t="shared" si="3"/>
        <v>234.11</v>
      </c>
      <c r="P32" s="278">
        <f t="shared" si="4"/>
        <v>86292.946000000011</v>
      </c>
      <c r="S32" s="149"/>
      <c r="T32" s="149"/>
      <c r="AA32" s="177"/>
    </row>
    <row r="33" spans="1:27" s="109" customFormat="1" ht="33" customHeight="1" x14ac:dyDescent="0.2">
      <c r="A33" s="97"/>
      <c r="B33" s="116"/>
      <c r="C33" s="117" t="s">
        <v>114</v>
      </c>
      <c r="D33" s="117" t="s">
        <v>69</v>
      </c>
      <c r="E33" s="118" t="s">
        <v>98</v>
      </c>
      <c r="F33" s="119" t="s">
        <v>99</v>
      </c>
      <c r="G33" s="120" t="s">
        <v>62</v>
      </c>
      <c r="H33" s="121">
        <v>512.55999999999995</v>
      </c>
      <c r="I33" s="122">
        <v>257.77999999999997</v>
      </c>
      <c r="J33" s="122">
        <v>132127.72</v>
      </c>
      <c r="K33" s="85">
        <f t="shared" si="5"/>
        <v>-0.61</v>
      </c>
      <c r="L33" s="86">
        <f t="shared" si="0"/>
        <v>257.77999999999997</v>
      </c>
      <c r="M33" s="277">
        <f t="shared" si="1"/>
        <v>-157.24579999999997</v>
      </c>
      <c r="N33" s="87">
        <f t="shared" si="2"/>
        <v>511.94999999999993</v>
      </c>
      <c r="O33" s="88">
        <f t="shared" si="3"/>
        <v>257.77999999999997</v>
      </c>
      <c r="P33" s="278">
        <f t="shared" si="4"/>
        <v>131970.47099999996</v>
      </c>
      <c r="S33" s="149"/>
      <c r="T33" s="149"/>
      <c r="AA33" s="177"/>
    </row>
    <row r="34" spans="1:27" s="109" customFormat="1" ht="33" customHeight="1" x14ac:dyDescent="0.2">
      <c r="A34" s="97"/>
      <c r="B34" s="116"/>
      <c r="C34" s="117" t="s">
        <v>117</v>
      </c>
      <c r="D34" s="117" t="s">
        <v>69</v>
      </c>
      <c r="E34" s="118" t="s">
        <v>100</v>
      </c>
      <c r="F34" s="119" t="s">
        <v>101</v>
      </c>
      <c r="G34" s="120" t="s">
        <v>62</v>
      </c>
      <c r="H34" s="121">
        <v>143.52000000000001</v>
      </c>
      <c r="I34" s="122">
        <v>315.64999999999998</v>
      </c>
      <c r="J34" s="122">
        <v>45302.09</v>
      </c>
      <c r="K34" s="85">
        <f t="shared" si="5"/>
        <v>-0.17</v>
      </c>
      <c r="L34" s="86">
        <f t="shared" si="0"/>
        <v>315.64999999999998</v>
      </c>
      <c r="M34" s="277">
        <f t="shared" si="1"/>
        <v>-53.660499999999999</v>
      </c>
      <c r="N34" s="87">
        <f t="shared" si="2"/>
        <v>143.35000000000002</v>
      </c>
      <c r="O34" s="88">
        <f t="shared" si="3"/>
        <v>315.64999999999998</v>
      </c>
      <c r="P34" s="278">
        <f t="shared" si="4"/>
        <v>45248.427500000005</v>
      </c>
      <c r="S34" s="149"/>
      <c r="T34" s="149"/>
      <c r="AA34" s="177"/>
    </row>
    <row r="35" spans="1:27" s="109" customFormat="1" ht="33" customHeight="1" x14ac:dyDescent="0.2">
      <c r="A35" s="97"/>
      <c r="B35" s="116"/>
      <c r="C35" s="117" t="s">
        <v>0</v>
      </c>
      <c r="D35" s="117" t="s">
        <v>69</v>
      </c>
      <c r="E35" s="118" t="s">
        <v>102</v>
      </c>
      <c r="F35" s="119" t="s">
        <v>103</v>
      </c>
      <c r="G35" s="120" t="s">
        <v>72</v>
      </c>
      <c r="H35" s="121">
        <v>2481.14</v>
      </c>
      <c r="I35" s="122">
        <v>69.709999999999994</v>
      </c>
      <c r="J35" s="122">
        <v>172960.27</v>
      </c>
      <c r="K35" s="85">
        <f t="shared" si="5"/>
        <v>-2.94</v>
      </c>
      <c r="L35" s="86">
        <f t="shared" si="0"/>
        <v>69.709999999999994</v>
      </c>
      <c r="M35" s="277">
        <f t="shared" si="1"/>
        <v>-204.94739999999999</v>
      </c>
      <c r="N35" s="87">
        <f t="shared" si="2"/>
        <v>2478.1999999999998</v>
      </c>
      <c r="O35" s="88">
        <f t="shared" si="3"/>
        <v>69.709999999999994</v>
      </c>
      <c r="P35" s="278">
        <f t="shared" si="4"/>
        <v>172755.32199999999</v>
      </c>
      <c r="Q35" s="178" t="s">
        <v>1014</v>
      </c>
      <c r="S35" s="149"/>
      <c r="T35" s="149"/>
      <c r="AA35" s="177"/>
    </row>
    <row r="36" spans="1:27" s="109" customFormat="1" ht="33" customHeight="1" x14ac:dyDescent="0.2">
      <c r="A36" s="97"/>
      <c r="B36" s="116"/>
      <c r="C36" s="117" t="s">
        <v>123</v>
      </c>
      <c r="D36" s="117" t="s">
        <v>69</v>
      </c>
      <c r="E36" s="118" t="s">
        <v>104</v>
      </c>
      <c r="F36" s="119" t="s">
        <v>105</v>
      </c>
      <c r="G36" s="120" t="s">
        <v>72</v>
      </c>
      <c r="H36" s="121">
        <v>2481.14</v>
      </c>
      <c r="I36" s="122">
        <v>80.23</v>
      </c>
      <c r="J36" s="122">
        <v>199061.86</v>
      </c>
      <c r="K36" s="85">
        <f t="shared" si="5"/>
        <v>-2.94</v>
      </c>
      <c r="L36" s="86">
        <f t="shared" si="0"/>
        <v>80.23</v>
      </c>
      <c r="M36" s="277">
        <f t="shared" si="1"/>
        <v>-235.87620000000001</v>
      </c>
      <c r="N36" s="87">
        <f t="shared" si="2"/>
        <v>2478.1999999999998</v>
      </c>
      <c r="O36" s="88">
        <f t="shared" si="3"/>
        <v>80.23</v>
      </c>
      <c r="P36" s="278">
        <f t="shared" si="4"/>
        <v>198825.986</v>
      </c>
      <c r="Q36" s="178" t="s">
        <v>1014</v>
      </c>
      <c r="S36" s="149"/>
      <c r="T36" s="149"/>
      <c r="AA36" s="177"/>
    </row>
    <row r="37" spans="1:27" s="109" customFormat="1" ht="44.25" customHeight="1" x14ac:dyDescent="0.2">
      <c r="A37" s="97"/>
      <c r="B37" s="116"/>
      <c r="C37" s="117" t="s">
        <v>126</v>
      </c>
      <c r="D37" s="117" t="s">
        <v>69</v>
      </c>
      <c r="E37" s="118" t="s">
        <v>106</v>
      </c>
      <c r="F37" s="119" t="s">
        <v>107</v>
      </c>
      <c r="G37" s="120" t="s">
        <v>62</v>
      </c>
      <c r="H37" s="121">
        <v>615.072</v>
      </c>
      <c r="I37" s="122">
        <v>13.15</v>
      </c>
      <c r="J37" s="122">
        <v>8088.2</v>
      </c>
      <c r="K37" s="85">
        <f t="shared" si="5"/>
        <v>-0.73</v>
      </c>
      <c r="L37" s="86">
        <f t="shared" si="0"/>
        <v>13.15</v>
      </c>
      <c r="M37" s="277">
        <f t="shared" si="1"/>
        <v>-9.5995000000000008</v>
      </c>
      <c r="N37" s="87">
        <f t="shared" si="2"/>
        <v>614.34199999999998</v>
      </c>
      <c r="O37" s="88">
        <f t="shared" si="3"/>
        <v>13.15</v>
      </c>
      <c r="P37" s="278">
        <f t="shared" si="4"/>
        <v>8078.5973000000004</v>
      </c>
      <c r="S37" s="149"/>
      <c r="T37" s="149"/>
      <c r="AA37" s="177"/>
    </row>
    <row r="38" spans="1:27" s="109" customFormat="1" ht="44.25" customHeight="1" x14ac:dyDescent="0.2">
      <c r="A38" s="97"/>
      <c r="B38" s="116"/>
      <c r="C38" s="117" t="s">
        <v>131</v>
      </c>
      <c r="D38" s="117" t="s">
        <v>69</v>
      </c>
      <c r="E38" s="118" t="s">
        <v>108</v>
      </c>
      <c r="F38" s="119" t="s">
        <v>109</v>
      </c>
      <c r="G38" s="120" t="s">
        <v>62</v>
      </c>
      <c r="H38" s="121">
        <v>1718.78</v>
      </c>
      <c r="I38" s="122">
        <v>187</v>
      </c>
      <c r="J38" s="122">
        <v>321411.86</v>
      </c>
      <c r="K38" s="85">
        <f t="shared" si="5"/>
        <v>-2.04</v>
      </c>
      <c r="L38" s="86">
        <f t="shared" si="0"/>
        <v>187</v>
      </c>
      <c r="M38" s="277">
        <f t="shared" si="1"/>
        <v>-381.48</v>
      </c>
      <c r="N38" s="87">
        <f t="shared" si="2"/>
        <v>1716.74</v>
      </c>
      <c r="O38" s="88">
        <f t="shared" si="3"/>
        <v>187</v>
      </c>
      <c r="P38" s="278">
        <f t="shared" si="4"/>
        <v>321030.38</v>
      </c>
      <c r="S38" s="149"/>
      <c r="T38" s="149"/>
      <c r="AA38" s="177"/>
    </row>
    <row r="39" spans="1:27" s="109" customFormat="1" ht="33" customHeight="1" x14ac:dyDescent="0.2">
      <c r="A39" s="97"/>
      <c r="B39" s="116"/>
      <c r="C39" s="117" t="s">
        <v>135</v>
      </c>
      <c r="D39" s="117" t="s">
        <v>69</v>
      </c>
      <c r="E39" s="118" t="s">
        <v>110</v>
      </c>
      <c r="F39" s="119" t="s">
        <v>111</v>
      </c>
      <c r="G39" s="120" t="s">
        <v>62</v>
      </c>
      <c r="H39" s="121">
        <v>1025.1199999999999</v>
      </c>
      <c r="I39" s="122">
        <v>44.72</v>
      </c>
      <c r="J39" s="122">
        <v>45843.37</v>
      </c>
      <c r="K39" s="85">
        <f t="shared" si="5"/>
        <v>-1.22</v>
      </c>
      <c r="L39" s="86">
        <f t="shared" si="0"/>
        <v>44.72</v>
      </c>
      <c r="M39" s="277">
        <f t="shared" si="1"/>
        <v>-54.558399999999999</v>
      </c>
      <c r="N39" s="87">
        <f t="shared" si="2"/>
        <v>1023.8999999999999</v>
      </c>
      <c r="O39" s="88">
        <f t="shared" si="3"/>
        <v>44.72</v>
      </c>
      <c r="P39" s="278">
        <f t="shared" si="4"/>
        <v>45788.80799999999</v>
      </c>
      <c r="S39" s="149"/>
      <c r="T39" s="149"/>
      <c r="U39" s="327" t="s">
        <v>1116</v>
      </c>
      <c r="V39" s="341" t="s">
        <v>1117</v>
      </c>
      <c r="W39" s="327" t="s">
        <v>1139</v>
      </c>
      <c r="X39" s="341" t="s">
        <v>1147</v>
      </c>
      <c r="AA39" s="177"/>
    </row>
    <row r="40" spans="1:27" s="109" customFormat="1" ht="44.25" customHeight="1" x14ac:dyDescent="0.2">
      <c r="A40" s="97"/>
      <c r="B40" s="116"/>
      <c r="C40" s="117" t="s">
        <v>139</v>
      </c>
      <c r="D40" s="117" t="s">
        <v>69</v>
      </c>
      <c r="E40" s="118" t="s">
        <v>112</v>
      </c>
      <c r="F40" s="119" t="s">
        <v>113</v>
      </c>
      <c r="G40" s="120" t="s">
        <v>62</v>
      </c>
      <c r="H40" s="121">
        <v>331.5</v>
      </c>
      <c r="I40" s="122">
        <v>247.39</v>
      </c>
      <c r="J40" s="122">
        <v>82009.789999999994</v>
      </c>
      <c r="K40" s="85">
        <f t="shared" si="5"/>
        <v>-0.39</v>
      </c>
      <c r="L40" s="86">
        <f t="shared" si="0"/>
        <v>247.39</v>
      </c>
      <c r="M40" s="277">
        <f t="shared" si="1"/>
        <v>-96.482100000000003</v>
      </c>
      <c r="N40" s="87">
        <f t="shared" si="2"/>
        <v>331.11</v>
      </c>
      <c r="O40" s="88">
        <f t="shared" si="3"/>
        <v>247.39</v>
      </c>
      <c r="P40" s="278">
        <f t="shared" si="4"/>
        <v>81913.302899999995</v>
      </c>
      <c r="S40" s="149"/>
      <c r="T40" s="149"/>
      <c r="U40" s="327"/>
      <c r="V40" s="341"/>
      <c r="W40" s="327"/>
      <c r="X40" s="341"/>
      <c r="AA40" s="177"/>
    </row>
    <row r="41" spans="1:27" s="109" customFormat="1" ht="16.5" customHeight="1" x14ac:dyDescent="0.2">
      <c r="A41" s="97"/>
      <c r="B41" s="116"/>
      <c r="C41" s="117" t="s">
        <v>142</v>
      </c>
      <c r="D41" s="117" t="s">
        <v>69</v>
      </c>
      <c r="E41" s="118" t="s">
        <v>115</v>
      </c>
      <c r="F41" s="119" t="s">
        <v>116</v>
      </c>
      <c r="G41" s="120" t="s">
        <v>62</v>
      </c>
      <c r="H41" s="121">
        <v>331.5</v>
      </c>
      <c r="I41" s="122">
        <v>11.84</v>
      </c>
      <c r="J41" s="122">
        <v>3924.96</v>
      </c>
      <c r="K41" s="85">
        <f t="shared" si="5"/>
        <v>-0.39</v>
      </c>
      <c r="L41" s="86">
        <f t="shared" si="0"/>
        <v>11.84</v>
      </c>
      <c r="M41" s="277">
        <f t="shared" si="1"/>
        <v>-4.6176000000000004</v>
      </c>
      <c r="N41" s="87">
        <f t="shared" si="2"/>
        <v>331.11</v>
      </c>
      <c r="O41" s="88">
        <f t="shared" si="3"/>
        <v>11.84</v>
      </c>
      <c r="P41" s="278">
        <f t="shared" si="4"/>
        <v>3920.3424</v>
      </c>
      <c r="S41" s="149"/>
      <c r="T41" s="149"/>
      <c r="U41" s="327"/>
      <c r="V41" s="341"/>
      <c r="W41" s="327"/>
      <c r="X41" s="341"/>
      <c r="AA41" s="177"/>
    </row>
    <row r="42" spans="1:27" s="109" customFormat="1" ht="33" customHeight="1" x14ac:dyDescent="0.2">
      <c r="A42" s="97"/>
      <c r="B42" s="116"/>
      <c r="C42" s="117" t="s">
        <v>145</v>
      </c>
      <c r="D42" s="117" t="s">
        <v>69</v>
      </c>
      <c r="E42" s="118" t="s">
        <v>118</v>
      </c>
      <c r="F42" s="119" t="s">
        <v>119</v>
      </c>
      <c r="G42" s="120" t="s">
        <v>120</v>
      </c>
      <c r="H42" s="121">
        <v>529.78700000000003</v>
      </c>
      <c r="I42" s="122">
        <v>116</v>
      </c>
      <c r="J42" s="122">
        <v>61455.29</v>
      </c>
      <c r="K42" s="85">
        <f t="shared" si="5"/>
        <v>-0.63</v>
      </c>
      <c r="L42" s="86">
        <f t="shared" si="0"/>
        <v>116</v>
      </c>
      <c r="M42" s="277">
        <f t="shared" si="1"/>
        <v>-73.08</v>
      </c>
      <c r="N42" s="87">
        <f t="shared" si="2"/>
        <v>529.15700000000004</v>
      </c>
      <c r="O42" s="88">
        <f t="shared" si="3"/>
        <v>116</v>
      </c>
      <c r="P42" s="278">
        <f t="shared" si="4"/>
        <v>61382.212000000007</v>
      </c>
      <c r="S42" s="149"/>
      <c r="T42" s="149"/>
      <c r="U42" s="327"/>
      <c r="V42" s="341"/>
      <c r="AA42" s="177"/>
    </row>
    <row r="43" spans="1:27" s="109" customFormat="1" ht="33" customHeight="1" x14ac:dyDescent="0.2">
      <c r="A43" s="97"/>
      <c r="B43" s="116"/>
      <c r="C43" s="117" t="s">
        <v>148</v>
      </c>
      <c r="D43" s="117" t="s">
        <v>69</v>
      </c>
      <c r="E43" s="118" t="s">
        <v>121</v>
      </c>
      <c r="F43" s="119" t="s">
        <v>122</v>
      </c>
      <c r="G43" s="120" t="s">
        <v>62</v>
      </c>
      <c r="H43" s="121">
        <v>693.66</v>
      </c>
      <c r="I43" s="122">
        <v>286.72000000000003</v>
      </c>
      <c r="J43" s="122">
        <v>198886.2</v>
      </c>
      <c r="K43" s="85">
        <f t="shared" si="5"/>
        <v>-0.82</v>
      </c>
      <c r="L43" s="86">
        <f t="shared" si="0"/>
        <v>286.72000000000003</v>
      </c>
      <c r="M43" s="277">
        <f t="shared" si="1"/>
        <v>-235.1104</v>
      </c>
      <c r="N43" s="87">
        <f t="shared" si="2"/>
        <v>692.83999999999992</v>
      </c>
      <c r="O43" s="88">
        <f t="shared" si="3"/>
        <v>286.72000000000003</v>
      </c>
      <c r="P43" s="278">
        <f t="shared" si="4"/>
        <v>198651.08479999998</v>
      </c>
      <c r="S43" s="149"/>
      <c r="T43" s="149"/>
      <c r="AA43" s="177"/>
    </row>
    <row r="44" spans="1:27" s="109" customFormat="1" ht="55.5" customHeight="1" x14ac:dyDescent="0.2">
      <c r="A44" s="97"/>
      <c r="B44" s="116"/>
      <c r="C44" s="117" t="s">
        <v>151</v>
      </c>
      <c r="D44" s="117" t="s">
        <v>69</v>
      </c>
      <c r="E44" s="118" t="s">
        <v>124</v>
      </c>
      <c r="F44" s="119" t="s">
        <v>125</v>
      </c>
      <c r="G44" s="120" t="s">
        <v>62</v>
      </c>
      <c r="H44" s="121">
        <v>260.85000000000002</v>
      </c>
      <c r="I44" s="122">
        <v>318.27999999999997</v>
      </c>
      <c r="J44" s="122">
        <v>83023.34</v>
      </c>
      <c r="K44" s="85">
        <f t="shared" si="5"/>
        <v>-0.31</v>
      </c>
      <c r="L44" s="86">
        <f t="shared" si="0"/>
        <v>318.27999999999997</v>
      </c>
      <c r="M44" s="277">
        <f t="shared" si="1"/>
        <v>-98.666799999999995</v>
      </c>
      <c r="N44" s="87">
        <f t="shared" si="2"/>
        <v>260.54000000000002</v>
      </c>
      <c r="O44" s="88">
        <f t="shared" si="3"/>
        <v>318.27999999999997</v>
      </c>
      <c r="P44" s="278">
        <f t="shared" si="4"/>
        <v>82924.671199999997</v>
      </c>
      <c r="S44" s="149"/>
      <c r="T44" s="149"/>
      <c r="AA44" s="177"/>
    </row>
    <row r="45" spans="1:27" s="109" customFormat="1" ht="16.5" customHeight="1" x14ac:dyDescent="0.2">
      <c r="A45" s="97"/>
      <c r="B45" s="116"/>
      <c r="C45" s="123" t="s">
        <v>155</v>
      </c>
      <c r="D45" s="123" t="s">
        <v>127</v>
      </c>
      <c r="E45" s="124" t="s">
        <v>128</v>
      </c>
      <c r="F45" s="125" t="s">
        <v>129</v>
      </c>
      <c r="G45" s="126" t="s">
        <v>120</v>
      </c>
      <c r="H45" s="127">
        <v>469.53</v>
      </c>
      <c r="I45" s="128">
        <v>190.76</v>
      </c>
      <c r="J45" s="128">
        <v>89567.54</v>
      </c>
      <c r="K45" s="85">
        <f t="shared" si="5"/>
        <v>-0.56000000000000005</v>
      </c>
      <c r="L45" s="86">
        <f t="shared" si="0"/>
        <v>190.76</v>
      </c>
      <c r="M45" s="277">
        <f t="shared" si="1"/>
        <v>-106.82560000000001</v>
      </c>
      <c r="N45" s="87">
        <f t="shared" si="2"/>
        <v>468.96999999999997</v>
      </c>
      <c r="O45" s="88">
        <f t="shared" si="3"/>
        <v>190.76</v>
      </c>
      <c r="P45" s="278">
        <f t="shared" si="4"/>
        <v>89460.717199999985</v>
      </c>
      <c r="S45" s="149"/>
      <c r="T45" s="149"/>
      <c r="AA45" s="177"/>
    </row>
    <row r="46" spans="1:27" s="110" customFormat="1" ht="22.9" customHeight="1" x14ac:dyDescent="0.2">
      <c r="C46" s="245"/>
      <c r="D46" s="246" t="s">
        <v>3</v>
      </c>
      <c r="E46" s="247" t="s">
        <v>76</v>
      </c>
      <c r="F46" s="247" t="s">
        <v>130</v>
      </c>
      <c r="G46" s="245"/>
      <c r="H46" s="245"/>
      <c r="I46" s="245"/>
      <c r="J46" s="248">
        <v>19402.490000000002</v>
      </c>
      <c r="K46" s="243"/>
      <c r="L46" s="244"/>
      <c r="M46" s="279">
        <f>M47</f>
        <v>-23.016000000000002</v>
      </c>
      <c r="N46" s="280"/>
      <c r="O46" s="244"/>
      <c r="P46" s="279">
        <f>P47</f>
        <v>19379.472000000002</v>
      </c>
      <c r="S46" s="170"/>
      <c r="T46" s="170"/>
      <c r="Z46" s="109"/>
      <c r="AA46" s="177"/>
    </row>
    <row r="47" spans="1:27" s="109" customFormat="1" ht="16.5" customHeight="1" x14ac:dyDescent="0.2">
      <c r="A47" s="97"/>
      <c r="B47" s="116"/>
      <c r="C47" s="117" t="s">
        <v>158</v>
      </c>
      <c r="D47" s="117" t="s">
        <v>69</v>
      </c>
      <c r="E47" s="118" t="s">
        <v>132</v>
      </c>
      <c r="F47" s="119" t="s">
        <v>133</v>
      </c>
      <c r="G47" s="120" t="s">
        <v>61</v>
      </c>
      <c r="H47" s="121">
        <v>590.1</v>
      </c>
      <c r="I47" s="122">
        <v>32.880000000000003</v>
      </c>
      <c r="J47" s="122">
        <v>19402.490000000002</v>
      </c>
      <c r="K47" s="85">
        <f t="shared" si="5"/>
        <v>-0.7</v>
      </c>
      <c r="L47" s="86">
        <f t="shared" si="0"/>
        <v>32.880000000000003</v>
      </c>
      <c r="M47" s="277">
        <f t="shared" si="1"/>
        <v>-23.016000000000002</v>
      </c>
      <c r="N47" s="87">
        <f t="shared" si="2"/>
        <v>589.4</v>
      </c>
      <c r="O47" s="88">
        <f t="shared" si="3"/>
        <v>32.880000000000003</v>
      </c>
      <c r="P47" s="278">
        <f t="shared" si="4"/>
        <v>19379.472000000002</v>
      </c>
      <c r="S47" s="149"/>
      <c r="T47" s="149"/>
      <c r="AA47" s="177"/>
    </row>
    <row r="48" spans="1:27" s="110" customFormat="1" ht="22.9" customHeight="1" x14ac:dyDescent="0.2">
      <c r="C48" s="245"/>
      <c r="D48" s="246" t="s">
        <v>3</v>
      </c>
      <c r="E48" s="247" t="s">
        <v>73</v>
      </c>
      <c r="F48" s="247" t="s">
        <v>134</v>
      </c>
      <c r="G48" s="245"/>
      <c r="H48" s="245"/>
      <c r="I48" s="245"/>
      <c r="J48" s="248">
        <v>44116.51</v>
      </c>
      <c r="K48" s="243"/>
      <c r="L48" s="244"/>
      <c r="M48" s="279">
        <f>M49</f>
        <v>-54.305600000000005</v>
      </c>
      <c r="N48" s="280"/>
      <c r="O48" s="244"/>
      <c r="P48" s="279">
        <f>P49</f>
        <v>44062.206200000001</v>
      </c>
      <c r="S48" s="170"/>
      <c r="T48" s="170"/>
      <c r="Z48" s="109"/>
      <c r="AA48" s="177"/>
    </row>
    <row r="49" spans="1:27" s="109" customFormat="1" ht="21.75" customHeight="1" x14ac:dyDescent="0.2">
      <c r="A49" s="97"/>
      <c r="B49" s="116"/>
      <c r="C49" s="117" t="s">
        <v>161</v>
      </c>
      <c r="D49" s="117" t="s">
        <v>69</v>
      </c>
      <c r="E49" s="118" t="s">
        <v>398</v>
      </c>
      <c r="F49" s="119" t="s">
        <v>399</v>
      </c>
      <c r="G49" s="120" t="s">
        <v>62</v>
      </c>
      <c r="H49" s="121">
        <v>64.989999999999995</v>
      </c>
      <c r="I49" s="122">
        <v>678.82</v>
      </c>
      <c r="J49" s="122">
        <v>44116.51</v>
      </c>
      <c r="K49" s="85">
        <f t="shared" si="5"/>
        <v>-0.08</v>
      </c>
      <c r="L49" s="86">
        <f t="shared" si="0"/>
        <v>678.82</v>
      </c>
      <c r="M49" s="277">
        <f t="shared" si="1"/>
        <v>-54.305600000000005</v>
      </c>
      <c r="N49" s="87">
        <f t="shared" si="2"/>
        <v>64.91</v>
      </c>
      <c r="O49" s="88">
        <f t="shared" si="3"/>
        <v>678.82</v>
      </c>
      <c r="P49" s="278">
        <f t="shared" si="4"/>
        <v>44062.206200000001</v>
      </c>
      <c r="S49" s="149"/>
      <c r="T49" s="149"/>
      <c r="AA49" s="177"/>
    </row>
    <row r="50" spans="1:27" s="110" customFormat="1" ht="22.9" customHeight="1" x14ac:dyDescent="0.2">
      <c r="C50" s="245"/>
      <c r="D50" s="246" t="s">
        <v>3</v>
      </c>
      <c r="E50" s="247" t="s">
        <v>81</v>
      </c>
      <c r="F50" s="247" t="s">
        <v>154</v>
      </c>
      <c r="G50" s="245"/>
      <c r="H50" s="245"/>
      <c r="I50" s="245"/>
      <c r="J50" s="248">
        <v>1182954.1200000001</v>
      </c>
      <c r="K50" s="243"/>
      <c r="L50" s="244"/>
      <c r="M50" s="279">
        <f>SUM(M51:M59)</f>
        <v>0</v>
      </c>
      <c r="N50" s="280"/>
      <c r="O50" s="244"/>
      <c r="P50" s="279">
        <f>SUM(P51:P59)</f>
        <v>1182954.12176</v>
      </c>
      <c r="S50" s="170"/>
      <c r="T50" s="170"/>
      <c r="Z50" s="109"/>
      <c r="AA50" s="177"/>
    </row>
    <row r="51" spans="1:27" s="109" customFormat="1" ht="33" customHeight="1" x14ac:dyDescent="0.2">
      <c r="A51" s="97"/>
      <c r="B51" s="116"/>
      <c r="C51" s="117" t="s">
        <v>164</v>
      </c>
      <c r="D51" s="117" t="s">
        <v>69</v>
      </c>
      <c r="E51" s="118" t="s">
        <v>156</v>
      </c>
      <c r="F51" s="119" t="s">
        <v>157</v>
      </c>
      <c r="G51" s="120" t="s">
        <v>72</v>
      </c>
      <c r="H51" s="121">
        <v>319.68200000000002</v>
      </c>
      <c r="I51" s="122">
        <v>319.88</v>
      </c>
      <c r="J51" s="122">
        <v>102259.88</v>
      </c>
      <c r="K51" s="85">
        <v>0</v>
      </c>
      <c r="L51" s="86">
        <f t="shared" si="0"/>
        <v>319.88</v>
      </c>
      <c r="M51" s="277">
        <f t="shared" si="1"/>
        <v>0</v>
      </c>
      <c r="N51" s="87">
        <f t="shared" si="2"/>
        <v>319.68200000000002</v>
      </c>
      <c r="O51" s="88">
        <f t="shared" si="3"/>
        <v>319.88</v>
      </c>
      <c r="P51" s="278">
        <f t="shared" si="4"/>
        <v>102259.87816000001</v>
      </c>
      <c r="S51" s="149"/>
      <c r="T51" s="149"/>
      <c r="AA51" s="177"/>
    </row>
    <row r="52" spans="1:27" s="109" customFormat="1" ht="21.75" customHeight="1" x14ac:dyDescent="0.2">
      <c r="A52" s="97"/>
      <c r="B52" s="116"/>
      <c r="C52" s="117" t="s">
        <v>167</v>
      </c>
      <c r="D52" s="117" t="s">
        <v>69</v>
      </c>
      <c r="E52" s="118" t="s">
        <v>162</v>
      </c>
      <c r="F52" s="119" t="s">
        <v>163</v>
      </c>
      <c r="G52" s="120" t="s">
        <v>72</v>
      </c>
      <c r="H52" s="121">
        <v>643.39</v>
      </c>
      <c r="I52" s="122">
        <v>155.66999999999999</v>
      </c>
      <c r="J52" s="122">
        <v>100156.52</v>
      </c>
      <c r="K52" s="85">
        <v>0</v>
      </c>
      <c r="L52" s="86">
        <f t="shared" si="0"/>
        <v>155.66999999999999</v>
      </c>
      <c r="M52" s="277">
        <f t="shared" si="1"/>
        <v>0</v>
      </c>
      <c r="N52" s="87">
        <f t="shared" si="2"/>
        <v>643.39</v>
      </c>
      <c r="O52" s="88">
        <f t="shared" si="3"/>
        <v>155.66999999999999</v>
      </c>
      <c r="P52" s="278">
        <f t="shared" si="4"/>
        <v>100156.52129999999</v>
      </c>
      <c r="S52" s="149"/>
      <c r="T52" s="149"/>
      <c r="AA52" s="177"/>
    </row>
    <row r="53" spans="1:27" s="109" customFormat="1" ht="33" customHeight="1" x14ac:dyDescent="0.2">
      <c r="A53" s="97"/>
      <c r="B53" s="116"/>
      <c r="C53" s="117" t="s">
        <v>170</v>
      </c>
      <c r="D53" s="117" t="s">
        <v>69</v>
      </c>
      <c r="E53" s="118" t="s">
        <v>325</v>
      </c>
      <c r="F53" s="119" t="s">
        <v>326</v>
      </c>
      <c r="G53" s="120" t="s">
        <v>72</v>
      </c>
      <c r="H53" s="121">
        <v>323.70800000000003</v>
      </c>
      <c r="I53" s="122">
        <v>420.19</v>
      </c>
      <c r="J53" s="122">
        <v>136018.85999999999</v>
      </c>
      <c r="K53" s="85">
        <v>0</v>
      </c>
      <c r="L53" s="86">
        <f t="shared" si="0"/>
        <v>420.19</v>
      </c>
      <c r="M53" s="277">
        <f t="shared" si="1"/>
        <v>0</v>
      </c>
      <c r="N53" s="87">
        <f t="shared" si="2"/>
        <v>323.70800000000003</v>
      </c>
      <c r="O53" s="88">
        <f t="shared" si="3"/>
        <v>420.19</v>
      </c>
      <c r="P53" s="278">
        <f t="shared" si="4"/>
        <v>136018.86452</v>
      </c>
      <c r="R53" s="150" t="s">
        <v>1028</v>
      </c>
      <c r="S53" s="150" t="s">
        <v>1036</v>
      </c>
      <c r="T53" s="149" t="s">
        <v>1043</v>
      </c>
      <c r="AA53" s="177"/>
    </row>
    <row r="54" spans="1:27" s="109" customFormat="1" ht="33" customHeight="1" x14ac:dyDescent="0.2">
      <c r="A54" s="97"/>
      <c r="B54" s="116"/>
      <c r="C54" s="117" t="s">
        <v>173</v>
      </c>
      <c r="D54" s="117" t="s">
        <v>69</v>
      </c>
      <c r="E54" s="118" t="s">
        <v>327</v>
      </c>
      <c r="F54" s="119" t="s">
        <v>328</v>
      </c>
      <c r="G54" s="120" t="s">
        <v>72</v>
      </c>
      <c r="H54" s="121">
        <v>323.70800000000003</v>
      </c>
      <c r="I54" s="122">
        <v>315.11</v>
      </c>
      <c r="J54" s="122">
        <v>102003.63</v>
      </c>
      <c r="K54" s="85">
        <v>0</v>
      </c>
      <c r="L54" s="86">
        <f t="shared" si="0"/>
        <v>315.11</v>
      </c>
      <c r="M54" s="277">
        <f t="shared" si="1"/>
        <v>0</v>
      </c>
      <c r="N54" s="87">
        <f t="shared" si="2"/>
        <v>323.70800000000003</v>
      </c>
      <c r="O54" s="88">
        <f t="shared" si="3"/>
        <v>315.11</v>
      </c>
      <c r="P54" s="278">
        <f t="shared" si="4"/>
        <v>102003.62788000001</v>
      </c>
      <c r="R54" s="178" t="s">
        <v>1014</v>
      </c>
      <c r="S54" s="149"/>
      <c r="T54" s="149"/>
      <c r="AA54" s="177"/>
    </row>
    <row r="55" spans="1:27" s="109" customFormat="1" ht="21.75" customHeight="1" x14ac:dyDescent="0.2">
      <c r="A55" s="97"/>
      <c r="B55" s="116"/>
      <c r="C55" s="117" t="s">
        <v>176</v>
      </c>
      <c r="D55" s="117" t="s">
        <v>69</v>
      </c>
      <c r="E55" s="118" t="s">
        <v>168</v>
      </c>
      <c r="F55" s="119" t="s">
        <v>169</v>
      </c>
      <c r="G55" s="120" t="s">
        <v>72</v>
      </c>
      <c r="H55" s="121">
        <v>1112.0419999999999</v>
      </c>
      <c r="I55" s="122">
        <v>18.04</v>
      </c>
      <c r="J55" s="122">
        <v>20061.240000000002</v>
      </c>
      <c r="K55" s="85">
        <v>0</v>
      </c>
      <c r="L55" s="86">
        <f t="shared" si="0"/>
        <v>18.04</v>
      </c>
      <c r="M55" s="277">
        <f t="shared" si="1"/>
        <v>0</v>
      </c>
      <c r="N55" s="87">
        <f t="shared" si="2"/>
        <v>1112.0419999999999</v>
      </c>
      <c r="O55" s="88">
        <f t="shared" si="3"/>
        <v>18.04</v>
      </c>
      <c r="P55" s="278">
        <f t="shared" si="4"/>
        <v>20061.237679999998</v>
      </c>
      <c r="R55" s="150" t="s">
        <v>1028</v>
      </c>
      <c r="S55" s="150" t="s">
        <v>1036</v>
      </c>
      <c r="T55" s="149"/>
      <c r="AA55" s="177"/>
    </row>
    <row r="56" spans="1:27" s="109" customFormat="1" ht="33" customHeight="1" x14ac:dyDescent="0.2">
      <c r="A56" s="97"/>
      <c r="B56" s="116"/>
      <c r="C56" s="117" t="s">
        <v>179</v>
      </c>
      <c r="D56" s="117" t="s">
        <v>69</v>
      </c>
      <c r="E56" s="118" t="s">
        <v>171</v>
      </c>
      <c r="F56" s="119" t="s">
        <v>172</v>
      </c>
      <c r="G56" s="120" t="s">
        <v>72</v>
      </c>
      <c r="H56" s="121">
        <v>494.05399999999997</v>
      </c>
      <c r="I56" s="122">
        <v>396.71</v>
      </c>
      <c r="J56" s="122">
        <v>195996.16</v>
      </c>
      <c r="K56" s="85">
        <v>0</v>
      </c>
      <c r="L56" s="86">
        <f t="shared" si="0"/>
        <v>396.71</v>
      </c>
      <c r="M56" s="277">
        <f t="shared" si="1"/>
        <v>0</v>
      </c>
      <c r="N56" s="87">
        <f t="shared" si="2"/>
        <v>494.05399999999997</v>
      </c>
      <c r="O56" s="88">
        <f t="shared" si="3"/>
        <v>396.71</v>
      </c>
      <c r="P56" s="278">
        <f t="shared" si="4"/>
        <v>195996.16233999998</v>
      </c>
      <c r="S56" s="149"/>
      <c r="T56" s="149"/>
      <c r="AA56" s="177"/>
    </row>
    <row r="57" spans="1:27" s="109" customFormat="1" ht="44.25" customHeight="1" x14ac:dyDescent="0.2">
      <c r="A57" s="97"/>
      <c r="B57" s="116"/>
      <c r="C57" s="117" t="s">
        <v>183</v>
      </c>
      <c r="D57" s="117" t="s">
        <v>69</v>
      </c>
      <c r="E57" s="118" t="s">
        <v>329</v>
      </c>
      <c r="F57" s="119" t="s">
        <v>330</v>
      </c>
      <c r="G57" s="120" t="s">
        <v>72</v>
      </c>
      <c r="H57" s="121">
        <v>617.98800000000006</v>
      </c>
      <c r="I57" s="122">
        <v>396.71</v>
      </c>
      <c r="J57" s="122">
        <v>245162.02</v>
      </c>
      <c r="K57" s="85">
        <v>0</v>
      </c>
      <c r="L57" s="86">
        <f t="shared" si="0"/>
        <v>396.71</v>
      </c>
      <c r="M57" s="277">
        <f t="shared" si="1"/>
        <v>0</v>
      </c>
      <c r="N57" s="87">
        <f t="shared" si="2"/>
        <v>617.98800000000006</v>
      </c>
      <c r="O57" s="88">
        <f t="shared" si="3"/>
        <v>396.71</v>
      </c>
      <c r="P57" s="278">
        <f t="shared" si="4"/>
        <v>245162.01948000002</v>
      </c>
      <c r="S57" s="149"/>
      <c r="T57" s="149"/>
      <c r="AA57" s="177"/>
    </row>
    <row r="58" spans="1:27" s="109" customFormat="1" ht="33" customHeight="1" x14ac:dyDescent="0.2">
      <c r="A58" s="97"/>
      <c r="B58" s="116"/>
      <c r="C58" s="117" t="s">
        <v>186</v>
      </c>
      <c r="D58" s="117" t="s">
        <v>69</v>
      </c>
      <c r="E58" s="118" t="s">
        <v>174</v>
      </c>
      <c r="F58" s="119" t="s">
        <v>175</v>
      </c>
      <c r="G58" s="120" t="s">
        <v>72</v>
      </c>
      <c r="H58" s="121">
        <v>319.68200000000002</v>
      </c>
      <c r="I58" s="122">
        <v>443.02</v>
      </c>
      <c r="J58" s="122">
        <v>141625.51999999999</v>
      </c>
      <c r="K58" s="85">
        <v>0</v>
      </c>
      <c r="L58" s="86">
        <f t="shared" si="0"/>
        <v>443.02</v>
      </c>
      <c r="M58" s="277">
        <f t="shared" si="1"/>
        <v>0</v>
      </c>
      <c r="N58" s="87">
        <f t="shared" si="2"/>
        <v>319.68200000000002</v>
      </c>
      <c r="O58" s="88">
        <f t="shared" si="3"/>
        <v>443.02</v>
      </c>
      <c r="P58" s="278">
        <f t="shared" si="4"/>
        <v>141625.51964000001</v>
      </c>
      <c r="R58" s="150" t="s">
        <v>1028</v>
      </c>
      <c r="S58" s="150" t="s">
        <v>1036</v>
      </c>
      <c r="T58" s="149" t="s">
        <v>1044</v>
      </c>
      <c r="AA58" s="177"/>
    </row>
    <row r="59" spans="1:27" s="109" customFormat="1" ht="33" customHeight="1" x14ac:dyDescent="0.2">
      <c r="A59" s="97"/>
      <c r="B59" s="116"/>
      <c r="C59" s="117" t="s">
        <v>189</v>
      </c>
      <c r="D59" s="117" t="s">
        <v>69</v>
      </c>
      <c r="E59" s="118" t="s">
        <v>331</v>
      </c>
      <c r="F59" s="119" t="s">
        <v>332</v>
      </c>
      <c r="G59" s="120" t="s">
        <v>72</v>
      </c>
      <c r="H59" s="121">
        <v>323.70800000000003</v>
      </c>
      <c r="I59" s="122">
        <v>431.47</v>
      </c>
      <c r="J59" s="122">
        <v>139670.29</v>
      </c>
      <c r="K59" s="85">
        <v>0</v>
      </c>
      <c r="L59" s="86">
        <f t="shared" si="0"/>
        <v>431.47</v>
      </c>
      <c r="M59" s="277">
        <f t="shared" si="1"/>
        <v>0</v>
      </c>
      <c r="N59" s="87">
        <f t="shared" si="2"/>
        <v>323.70800000000003</v>
      </c>
      <c r="O59" s="88">
        <f t="shared" si="3"/>
        <v>431.47</v>
      </c>
      <c r="P59" s="278">
        <f t="shared" si="4"/>
        <v>139670.29076000003</v>
      </c>
      <c r="R59" s="150" t="s">
        <v>1028</v>
      </c>
      <c r="S59" s="150" t="s">
        <v>1036</v>
      </c>
      <c r="T59" s="149" t="s">
        <v>1044</v>
      </c>
      <c r="AA59" s="177"/>
    </row>
    <row r="60" spans="1:27" s="110" customFormat="1" ht="22.9" customHeight="1" x14ac:dyDescent="0.2">
      <c r="C60" s="245"/>
      <c r="D60" s="246" t="s">
        <v>3</v>
      </c>
      <c r="E60" s="247" t="s">
        <v>90</v>
      </c>
      <c r="F60" s="247" t="s">
        <v>182</v>
      </c>
      <c r="G60" s="245"/>
      <c r="H60" s="245"/>
      <c r="I60" s="245"/>
      <c r="J60" s="248">
        <v>544098.39999999979</v>
      </c>
      <c r="K60" s="243"/>
      <c r="L60" s="244"/>
      <c r="M60" s="279">
        <f>SUM(M61:M78)</f>
        <v>-596.66799999999989</v>
      </c>
      <c r="N60" s="280"/>
      <c r="O60" s="244"/>
      <c r="P60" s="279">
        <f>SUM(P61:P78)</f>
        <v>543501.73851999978</v>
      </c>
      <c r="S60" s="170"/>
      <c r="T60" s="170"/>
    </row>
    <row r="61" spans="1:27" s="109" customFormat="1" ht="33" customHeight="1" x14ac:dyDescent="0.2">
      <c r="A61" s="97"/>
      <c r="B61" s="116"/>
      <c r="C61" s="117" t="s">
        <v>192</v>
      </c>
      <c r="D61" s="117" t="s">
        <v>69</v>
      </c>
      <c r="E61" s="118" t="s">
        <v>615</v>
      </c>
      <c r="F61" s="119" t="s">
        <v>616</v>
      </c>
      <c r="G61" s="120" t="s">
        <v>61</v>
      </c>
      <c r="H61" s="121">
        <v>590.1</v>
      </c>
      <c r="I61" s="122">
        <v>122.32</v>
      </c>
      <c r="J61" s="122">
        <v>72181.03</v>
      </c>
      <c r="K61" s="85">
        <f t="shared" ref="K61:K62" si="6">ROUND(589.4/590.1*H61-H61,2)</f>
        <v>-0.7</v>
      </c>
      <c r="L61" s="86">
        <f t="shared" si="0"/>
        <v>122.32</v>
      </c>
      <c r="M61" s="277">
        <f t="shared" si="1"/>
        <v>-85.623999999999995</v>
      </c>
      <c r="N61" s="87">
        <f t="shared" si="2"/>
        <v>589.4</v>
      </c>
      <c r="O61" s="88">
        <f t="shared" si="3"/>
        <v>122.32</v>
      </c>
      <c r="P61" s="278">
        <f t="shared" si="4"/>
        <v>72095.407999999996</v>
      </c>
      <c r="S61" s="149"/>
      <c r="T61" s="149"/>
    </row>
    <row r="62" spans="1:27" s="109" customFormat="1" ht="21.75" customHeight="1" x14ac:dyDescent="0.2">
      <c r="A62" s="97"/>
      <c r="B62" s="116"/>
      <c r="C62" s="123" t="s">
        <v>195</v>
      </c>
      <c r="D62" s="123" t="s">
        <v>127</v>
      </c>
      <c r="E62" s="124" t="s">
        <v>617</v>
      </c>
      <c r="F62" s="125" t="s">
        <v>618</v>
      </c>
      <c r="G62" s="126" t="s">
        <v>61</v>
      </c>
      <c r="H62" s="127">
        <v>598.952</v>
      </c>
      <c r="I62" s="128">
        <v>621.26</v>
      </c>
      <c r="J62" s="128">
        <v>372104.92</v>
      </c>
      <c r="K62" s="85">
        <f t="shared" si="6"/>
        <v>-0.71</v>
      </c>
      <c r="L62" s="86">
        <f t="shared" si="0"/>
        <v>621.26</v>
      </c>
      <c r="M62" s="277">
        <f t="shared" si="1"/>
        <v>-441.09459999999996</v>
      </c>
      <c r="N62" s="87">
        <f t="shared" si="2"/>
        <v>598.24199999999996</v>
      </c>
      <c r="O62" s="88">
        <f t="shared" si="3"/>
        <v>621.26</v>
      </c>
      <c r="P62" s="278">
        <f t="shared" si="4"/>
        <v>371663.82491999998</v>
      </c>
      <c r="S62" s="149"/>
      <c r="T62" s="149"/>
    </row>
    <row r="63" spans="1:27" s="109" customFormat="1" ht="36" x14ac:dyDescent="0.2">
      <c r="A63" s="97"/>
      <c r="B63" s="116"/>
      <c r="C63" s="117" t="s">
        <v>198</v>
      </c>
      <c r="D63" s="117" t="s">
        <v>69</v>
      </c>
      <c r="E63" s="118" t="s">
        <v>619</v>
      </c>
      <c r="F63" s="119" t="s">
        <v>620</v>
      </c>
      <c r="G63" s="120" t="s">
        <v>138</v>
      </c>
      <c r="H63" s="121">
        <v>9</v>
      </c>
      <c r="I63" s="122">
        <v>735.21</v>
      </c>
      <c r="J63" s="122">
        <v>6616.89</v>
      </c>
      <c r="K63" s="85">
        <v>0</v>
      </c>
      <c r="L63" s="86">
        <f t="shared" si="0"/>
        <v>735.21</v>
      </c>
      <c r="M63" s="277">
        <f t="shared" si="1"/>
        <v>0</v>
      </c>
      <c r="N63" s="87">
        <f t="shared" si="2"/>
        <v>9</v>
      </c>
      <c r="O63" s="88">
        <f t="shared" si="3"/>
        <v>735.21</v>
      </c>
      <c r="P63" s="278">
        <f t="shared" si="4"/>
        <v>6616.89</v>
      </c>
      <c r="Q63" s="152"/>
      <c r="R63" s="149"/>
      <c r="S63" s="152"/>
      <c r="T63" s="149"/>
    </row>
    <row r="64" spans="1:27" s="109" customFormat="1" ht="12" x14ac:dyDescent="0.2">
      <c r="A64" s="97"/>
      <c r="B64" s="116"/>
      <c r="C64" s="123" t="s">
        <v>201</v>
      </c>
      <c r="D64" s="123" t="s">
        <v>127</v>
      </c>
      <c r="E64" s="124" t="s">
        <v>621</v>
      </c>
      <c r="F64" s="125" t="s">
        <v>622</v>
      </c>
      <c r="G64" s="126" t="s">
        <v>138</v>
      </c>
      <c r="H64" s="127">
        <v>4</v>
      </c>
      <c r="I64" s="128">
        <v>322.23</v>
      </c>
      <c r="J64" s="128">
        <v>1288.92</v>
      </c>
      <c r="K64" s="85">
        <v>0</v>
      </c>
      <c r="L64" s="86">
        <f t="shared" si="0"/>
        <v>322.23</v>
      </c>
      <c r="M64" s="277">
        <f t="shared" si="1"/>
        <v>0</v>
      </c>
      <c r="N64" s="87">
        <f t="shared" si="2"/>
        <v>4</v>
      </c>
      <c r="O64" s="88">
        <f t="shared" si="3"/>
        <v>322.23</v>
      </c>
      <c r="P64" s="278">
        <f t="shared" si="4"/>
        <v>1288.92</v>
      </c>
      <c r="Q64" s="152"/>
      <c r="S64" s="149"/>
      <c r="T64" s="149"/>
    </row>
    <row r="65" spans="1:20" s="109" customFormat="1" ht="16.5" customHeight="1" x14ac:dyDescent="0.2">
      <c r="A65" s="97"/>
      <c r="B65" s="116"/>
      <c r="C65" s="123" t="s">
        <v>204</v>
      </c>
      <c r="D65" s="123" t="s">
        <v>127</v>
      </c>
      <c r="E65" s="124" t="s">
        <v>623</v>
      </c>
      <c r="F65" s="125" t="s">
        <v>624</v>
      </c>
      <c r="G65" s="126" t="s">
        <v>138</v>
      </c>
      <c r="H65" s="127">
        <v>1</v>
      </c>
      <c r="I65" s="128">
        <v>268.3</v>
      </c>
      <c r="J65" s="128">
        <v>268.3</v>
      </c>
      <c r="K65" s="85">
        <v>0</v>
      </c>
      <c r="L65" s="86">
        <f t="shared" si="0"/>
        <v>268.3</v>
      </c>
      <c r="M65" s="277">
        <f t="shared" si="1"/>
        <v>0</v>
      </c>
      <c r="N65" s="87">
        <f t="shared" si="2"/>
        <v>1</v>
      </c>
      <c r="O65" s="88">
        <f t="shared" si="3"/>
        <v>268.3</v>
      </c>
      <c r="P65" s="278">
        <f t="shared" si="4"/>
        <v>268.3</v>
      </c>
      <c r="S65" s="149"/>
      <c r="T65" s="149"/>
    </row>
    <row r="66" spans="1:20" s="109" customFormat="1" ht="21.75" customHeight="1" x14ac:dyDescent="0.2">
      <c r="A66" s="97"/>
      <c r="B66" s="116"/>
      <c r="C66" s="123" t="s">
        <v>207</v>
      </c>
      <c r="D66" s="123" t="s">
        <v>127</v>
      </c>
      <c r="E66" s="124" t="s">
        <v>625</v>
      </c>
      <c r="F66" s="125" t="s">
        <v>626</v>
      </c>
      <c r="G66" s="126" t="s">
        <v>138</v>
      </c>
      <c r="H66" s="127">
        <v>1</v>
      </c>
      <c r="I66" s="128">
        <v>502.41</v>
      </c>
      <c r="J66" s="128">
        <v>502.41</v>
      </c>
      <c r="K66" s="85">
        <v>0</v>
      </c>
      <c r="L66" s="86">
        <f t="shared" si="0"/>
        <v>502.41</v>
      </c>
      <c r="M66" s="277">
        <f t="shared" si="1"/>
        <v>0</v>
      </c>
      <c r="N66" s="87">
        <f t="shared" si="2"/>
        <v>1</v>
      </c>
      <c r="O66" s="88">
        <f t="shared" si="3"/>
        <v>502.41</v>
      </c>
      <c r="P66" s="278">
        <f t="shared" si="4"/>
        <v>502.41</v>
      </c>
      <c r="S66" s="149"/>
      <c r="T66" s="149"/>
    </row>
    <row r="67" spans="1:20" s="109" customFormat="1" ht="16.5" customHeight="1" x14ac:dyDescent="0.2">
      <c r="A67" s="97"/>
      <c r="B67" s="116"/>
      <c r="C67" s="123" t="s">
        <v>210</v>
      </c>
      <c r="D67" s="123" t="s">
        <v>127</v>
      </c>
      <c r="E67" s="124" t="s">
        <v>627</v>
      </c>
      <c r="F67" s="125" t="s">
        <v>628</v>
      </c>
      <c r="G67" s="126" t="s">
        <v>138</v>
      </c>
      <c r="H67" s="127">
        <v>1</v>
      </c>
      <c r="I67" s="128">
        <v>883.83</v>
      </c>
      <c r="J67" s="128">
        <v>883.83</v>
      </c>
      <c r="K67" s="85">
        <v>0</v>
      </c>
      <c r="L67" s="86">
        <f t="shared" si="0"/>
        <v>883.83</v>
      </c>
      <c r="M67" s="277">
        <f t="shared" si="1"/>
        <v>0</v>
      </c>
      <c r="N67" s="87">
        <f t="shared" si="2"/>
        <v>1</v>
      </c>
      <c r="O67" s="88">
        <f t="shared" si="3"/>
        <v>883.83</v>
      </c>
      <c r="P67" s="278">
        <f t="shared" si="4"/>
        <v>883.83</v>
      </c>
      <c r="S67" s="149"/>
      <c r="T67" s="149"/>
    </row>
    <row r="68" spans="1:20" s="109" customFormat="1" ht="16.5" customHeight="1" x14ac:dyDescent="0.2">
      <c r="A68" s="97"/>
      <c r="B68" s="116"/>
      <c r="C68" s="123" t="s">
        <v>214</v>
      </c>
      <c r="D68" s="123" t="s">
        <v>127</v>
      </c>
      <c r="E68" s="124" t="s">
        <v>629</v>
      </c>
      <c r="F68" s="125" t="s">
        <v>630</v>
      </c>
      <c r="G68" s="126" t="s">
        <v>138</v>
      </c>
      <c r="H68" s="127">
        <v>1</v>
      </c>
      <c r="I68" s="128">
        <v>928.54</v>
      </c>
      <c r="J68" s="128">
        <v>928.54</v>
      </c>
      <c r="K68" s="85">
        <v>0</v>
      </c>
      <c r="L68" s="86">
        <f t="shared" si="0"/>
        <v>928.54</v>
      </c>
      <c r="M68" s="277">
        <f t="shared" si="1"/>
        <v>0</v>
      </c>
      <c r="N68" s="87">
        <f t="shared" si="2"/>
        <v>1</v>
      </c>
      <c r="O68" s="88">
        <f t="shared" si="3"/>
        <v>928.54</v>
      </c>
      <c r="P68" s="278">
        <f t="shared" si="4"/>
        <v>928.54</v>
      </c>
      <c r="S68" s="149"/>
      <c r="T68" s="149"/>
    </row>
    <row r="69" spans="1:20" s="109" customFormat="1" ht="21.75" customHeight="1" x14ac:dyDescent="0.2">
      <c r="A69" s="97"/>
      <c r="B69" s="116"/>
      <c r="C69" s="123" t="s">
        <v>217</v>
      </c>
      <c r="D69" s="123" t="s">
        <v>127</v>
      </c>
      <c r="E69" s="124" t="s">
        <v>631</v>
      </c>
      <c r="F69" s="125" t="s">
        <v>632</v>
      </c>
      <c r="G69" s="126" t="s">
        <v>138</v>
      </c>
      <c r="H69" s="127">
        <v>1</v>
      </c>
      <c r="I69" s="128">
        <v>7003.54</v>
      </c>
      <c r="J69" s="128">
        <v>7003.54</v>
      </c>
      <c r="K69" s="85">
        <v>0</v>
      </c>
      <c r="L69" s="86">
        <f t="shared" si="0"/>
        <v>7003.54</v>
      </c>
      <c r="M69" s="277">
        <f t="shared" si="1"/>
        <v>0</v>
      </c>
      <c r="N69" s="87">
        <f t="shared" si="2"/>
        <v>1</v>
      </c>
      <c r="O69" s="88">
        <f t="shared" si="3"/>
        <v>7003.54</v>
      </c>
      <c r="P69" s="278">
        <f t="shared" si="4"/>
        <v>7003.54</v>
      </c>
      <c r="S69" s="149"/>
      <c r="T69" s="149"/>
    </row>
    <row r="70" spans="1:20" s="109" customFormat="1" ht="33" customHeight="1" x14ac:dyDescent="0.2">
      <c r="A70" s="97"/>
      <c r="B70" s="116"/>
      <c r="C70" s="117" t="s">
        <v>220</v>
      </c>
      <c r="D70" s="117" t="s">
        <v>69</v>
      </c>
      <c r="E70" s="118" t="s">
        <v>633</v>
      </c>
      <c r="F70" s="119" t="s">
        <v>634</v>
      </c>
      <c r="G70" s="120" t="s">
        <v>138</v>
      </c>
      <c r="H70" s="121">
        <v>2</v>
      </c>
      <c r="I70" s="122">
        <v>840.43</v>
      </c>
      <c r="J70" s="122">
        <v>1680.86</v>
      </c>
      <c r="K70" s="85">
        <v>0</v>
      </c>
      <c r="L70" s="86">
        <f t="shared" si="0"/>
        <v>840.43</v>
      </c>
      <c r="M70" s="277">
        <f t="shared" si="1"/>
        <v>0</v>
      </c>
      <c r="N70" s="87">
        <f t="shared" si="2"/>
        <v>2</v>
      </c>
      <c r="O70" s="88">
        <f t="shared" si="3"/>
        <v>840.43</v>
      </c>
      <c r="P70" s="278">
        <f t="shared" si="4"/>
        <v>1680.86</v>
      </c>
      <c r="S70" s="149"/>
      <c r="T70" s="149"/>
    </row>
    <row r="71" spans="1:20" s="109" customFormat="1" ht="16.5" customHeight="1" x14ac:dyDescent="0.2">
      <c r="A71" s="97"/>
      <c r="B71" s="116"/>
      <c r="C71" s="123" t="s">
        <v>223</v>
      </c>
      <c r="D71" s="123" t="s">
        <v>127</v>
      </c>
      <c r="E71" s="124" t="s">
        <v>635</v>
      </c>
      <c r="F71" s="125" t="s">
        <v>636</v>
      </c>
      <c r="G71" s="126" t="s">
        <v>138</v>
      </c>
      <c r="H71" s="127">
        <v>2</v>
      </c>
      <c r="I71" s="128">
        <v>414.29</v>
      </c>
      <c r="J71" s="128">
        <v>828.58</v>
      </c>
      <c r="K71" s="85">
        <v>0</v>
      </c>
      <c r="L71" s="86">
        <f t="shared" si="0"/>
        <v>414.29</v>
      </c>
      <c r="M71" s="277">
        <f t="shared" si="1"/>
        <v>0</v>
      </c>
      <c r="N71" s="87">
        <f t="shared" si="2"/>
        <v>2</v>
      </c>
      <c r="O71" s="88">
        <f t="shared" si="3"/>
        <v>414.29</v>
      </c>
      <c r="P71" s="278">
        <f t="shared" si="4"/>
        <v>828.58</v>
      </c>
      <c r="S71" s="149"/>
      <c r="T71" s="149"/>
    </row>
    <row r="72" spans="1:20" s="109" customFormat="1" ht="33" customHeight="1" x14ac:dyDescent="0.2">
      <c r="A72" s="97"/>
      <c r="B72" s="116"/>
      <c r="C72" s="117" t="s">
        <v>226</v>
      </c>
      <c r="D72" s="117" t="s">
        <v>69</v>
      </c>
      <c r="E72" s="118" t="s">
        <v>637</v>
      </c>
      <c r="F72" s="119" t="s">
        <v>638</v>
      </c>
      <c r="G72" s="120" t="s">
        <v>138</v>
      </c>
      <c r="H72" s="121">
        <v>1</v>
      </c>
      <c r="I72" s="122">
        <v>541.87</v>
      </c>
      <c r="J72" s="122">
        <v>541.87</v>
      </c>
      <c r="K72" s="85">
        <v>0</v>
      </c>
      <c r="L72" s="86">
        <f t="shared" si="0"/>
        <v>541.87</v>
      </c>
      <c r="M72" s="277">
        <f t="shared" si="1"/>
        <v>0</v>
      </c>
      <c r="N72" s="87">
        <f t="shared" si="2"/>
        <v>1</v>
      </c>
      <c r="O72" s="88">
        <f t="shared" si="3"/>
        <v>541.87</v>
      </c>
      <c r="P72" s="278">
        <f t="shared" si="4"/>
        <v>541.87</v>
      </c>
      <c r="S72" s="149"/>
      <c r="T72" s="149"/>
    </row>
    <row r="73" spans="1:20" s="109" customFormat="1" ht="21.75" customHeight="1" x14ac:dyDescent="0.2">
      <c r="A73" s="97"/>
      <c r="B73" s="116"/>
      <c r="C73" s="123" t="s">
        <v>229</v>
      </c>
      <c r="D73" s="123" t="s">
        <v>127</v>
      </c>
      <c r="E73" s="124" t="s">
        <v>639</v>
      </c>
      <c r="F73" s="125" t="s">
        <v>640</v>
      </c>
      <c r="G73" s="126" t="s">
        <v>138</v>
      </c>
      <c r="H73" s="127">
        <v>1</v>
      </c>
      <c r="I73" s="128">
        <v>14526.6</v>
      </c>
      <c r="J73" s="128">
        <v>14526.6</v>
      </c>
      <c r="K73" s="85">
        <v>0</v>
      </c>
      <c r="L73" s="86">
        <f t="shared" si="0"/>
        <v>14526.6</v>
      </c>
      <c r="M73" s="277">
        <f t="shared" si="1"/>
        <v>0</v>
      </c>
      <c r="N73" s="87">
        <f t="shared" si="2"/>
        <v>1</v>
      </c>
      <c r="O73" s="88">
        <f t="shared" si="3"/>
        <v>14526.6</v>
      </c>
      <c r="P73" s="278">
        <f t="shared" si="4"/>
        <v>14526.6</v>
      </c>
      <c r="S73" s="149"/>
      <c r="T73" s="149"/>
    </row>
    <row r="74" spans="1:20" s="109" customFormat="1" ht="21.75" customHeight="1" x14ac:dyDescent="0.2">
      <c r="A74" s="97"/>
      <c r="B74" s="116"/>
      <c r="C74" s="123" t="s">
        <v>232</v>
      </c>
      <c r="D74" s="123" t="s">
        <v>127</v>
      </c>
      <c r="E74" s="124" t="s">
        <v>641</v>
      </c>
      <c r="F74" s="125" t="s">
        <v>642</v>
      </c>
      <c r="G74" s="126" t="s">
        <v>138</v>
      </c>
      <c r="H74" s="127">
        <v>1</v>
      </c>
      <c r="I74" s="128">
        <v>2525.2199999999998</v>
      </c>
      <c r="J74" s="128">
        <v>2525.2199999999998</v>
      </c>
      <c r="K74" s="85">
        <v>0</v>
      </c>
      <c r="L74" s="86">
        <f t="shared" si="0"/>
        <v>2525.2199999999998</v>
      </c>
      <c r="M74" s="277">
        <f t="shared" si="1"/>
        <v>0</v>
      </c>
      <c r="N74" s="87">
        <f t="shared" si="2"/>
        <v>1</v>
      </c>
      <c r="O74" s="88">
        <f t="shared" si="3"/>
        <v>2525.2199999999998</v>
      </c>
      <c r="P74" s="278">
        <f t="shared" si="4"/>
        <v>2525.2199999999998</v>
      </c>
      <c r="S74" s="149"/>
      <c r="T74" s="149"/>
    </row>
    <row r="75" spans="1:20" s="109" customFormat="1" ht="21.75" customHeight="1" x14ac:dyDescent="0.2">
      <c r="A75" s="97"/>
      <c r="B75" s="116"/>
      <c r="C75" s="123" t="s">
        <v>235</v>
      </c>
      <c r="D75" s="123" t="s">
        <v>127</v>
      </c>
      <c r="E75" s="124" t="s">
        <v>643</v>
      </c>
      <c r="F75" s="125" t="s">
        <v>644</v>
      </c>
      <c r="G75" s="126" t="s">
        <v>138</v>
      </c>
      <c r="H75" s="127">
        <v>1</v>
      </c>
      <c r="I75" s="128">
        <v>1498.03</v>
      </c>
      <c r="J75" s="128">
        <v>1498.03</v>
      </c>
      <c r="K75" s="85">
        <v>0</v>
      </c>
      <c r="L75" s="86">
        <f t="shared" si="0"/>
        <v>1498.03</v>
      </c>
      <c r="M75" s="277">
        <f t="shared" si="1"/>
        <v>0</v>
      </c>
      <c r="N75" s="87">
        <f t="shared" si="2"/>
        <v>1</v>
      </c>
      <c r="O75" s="88">
        <f t="shared" si="3"/>
        <v>1498.03</v>
      </c>
      <c r="P75" s="278">
        <f t="shared" si="4"/>
        <v>1498.03</v>
      </c>
      <c r="S75" s="149"/>
      <c r="T75" s="149"/>
    </row>
    <row r="76" spans="1:20" s="109" customFormat="1" ht="21.75" customHeight="1" x14ac:dyDescent="0.2">
      <c r="A76" s="97"/>
      <c r="B76" s="116"/>
      <c r="C76" s="117" t="s">
        <v>238</v>
      </c>
      <c r="D76" s="117" t="s">
        <v>69</v>
      </c>
      <c r="E76" s="118" t="s">
        <v>467</v>
      </c>
      <c r="F76" s="119" t="s">
        <v>468</v>
      </c>
      <c r="G76" s="120" t="s">
        <v>138</v>
      </c>
      <c r="H76" s="121">
        <v>5</v>
      </c>
      <c r="I76" s="122">
        <v>322.22000000000003</v>
      </c>
      <c r="J76" s="122">
        <v>1611.1</v>
      </c>
      <c r="K76" s="85">
        <v>0</v>
      </c>
      <c r="L76" s="86">
        <f t="shared" si="0"/>
        <v>322.22000000000003</v>
      </c>
      <c r="M76" s="277">
        <f t="shared" si="1"/>
        <v>0</v>
      </c>
      <c r="N76" s="87">
        <f t="shared" si="2"/>
        <v>5</v>
      </c>
      <c r="O76" s="88">
        <f t="shared" si="3"/>
        <v>322.22000000000003</v>
      </c>
      <c r="P76" s="278">
        <f t="shared" si="4"/>
        <v>1611.1000000000001</v>
      </c>
      <c r="S76" s="149"/>
      <c r="T76" s="149"/>
    </row>
    <row r="77" spans="1:20" s="109" customFormat="1" ht="16.5" customHeight="1" x14ac:dyDescent="0.2">
      <c r="A77" s="97"/>
      <c r="B77" s="116"/>
      <c r="C77" s="117" t="s">
        <v>241</v>
      </c>
      <c r="D77" s="117" t="s">
        <v>69</v>
      </c>
      <c r="E77" s="118" t="s">
        <v>469</v>
      </c>
      <c r="F77" s="119" t="s">
        <v>470</v>
      </c>
      <c r="G77" s="120" t="s">
        <v>61</v>
      </c>
      <c r="H77" s="121">
        <v>1200.2</v>
      </c>
      <c r="I77" s="122">
        <v>44.72</v>
      </c>
      <c r="J77" s="122">
        <v>53672.94</v>
      </c>
      <c r="K77" s="85">
        <f t="shared" ref="K77:K78" si="7">ROUND(589.4/590.1*H77-H77,2)</f>
        <v>-1.42</v>
      </c>
      <c r="L77" s="86">
        <f t="shared" si="0"/>
        <v>44.72</v>
      </c>
      <c r="M77" s="277">
        <f t="shared" si="1"/>
        <v>-63.502399999999994</v>
      </c>
      <c r="N77" s="87">
        <f t="shared" si="2"/>
        <v>1198.78</v>
      </c>
      <c r="O77" s="88">
        <f t="shared" si="3"/>
        <v>44.72</v>
      </c>
      <c r="P77" s="278">
        <f t="shared" si="4"/>
        <v>53609.441599999998</v>
      </c>
      <c r="S77" s="149"/>
      <c r="T77" s="149"/>
    </row>
    <row r="78" spans="1:20" s="109" customFormat="1" ht="16.5" customHeight="1" x14ac:dyDescent="0.2">
      <c r="A78" s="97"/>
      <c r="B78" s="116"/>
      <c r="C78" s="117" t="s">
        <v>244</v>
      </c>
      <c r="D78" s="117" t="s">
        <v>69</v>
      </c>
      <c r="E78" s="118" t="s">
        <v>471</v>
      </c>
      <c r="F78" s="119" t="s">
        <v>472</v>
      </c>
      <c r="G78" s="120" t="s">
        <v>61</v>
      </c>
      <c r="H78" s="121">
        <v>590.1</v>
      </c>
      <c r="I78" s="122">
        <v>9.2100000000000009</v>
      </c>
      <c r="J78" s="122">
        <v>5434.82</v>
      </c>
      <c r="K78" s="85">
        <f t="shared" si="7"/>
        <v>-0.7</v>
      </c>
      <c r="L78" s="86">
        <f t="shared" si="0"/>
        <v>9.2100000000000009</v>
      </c>
      <c r="M78" s="277">
        <f t="shared" si="1"/>
        <v>-6.4470000000000001</v>
      </c>
      <c r="N78" s="87">
        <f t="shared" si="2"/>
        <v>589.4</v>
      </c>
      <c r="O78" s="88">
        <f t="shared" si="3"/>
        <v>9.2100000000000009</v>
      </c>
      <c r="P78" s="278">
        <f t="shared" si="4"/>
        <v>5428.3740000000007</v>
      </c>
      <c r="S78" s="149"/>
      <c r="T78" s="149"/>
    </row>
    <row r="79" spans="1:20" s="110" customFormat="1" ht="22.9" customHeight="1" x14ac:dyDescent="0.2">
      <c r="C79" s="245"/>
      <c r="D79" s="246" t="s">
        <v>3</v>
      </c>
      <c r="E79" s="247" t="s">
        <v>93</v>
      </c>
      <c r="F79" s="247" t="s">
        <v>268</v>
      </c>
      <c r="G79" s="245"/>
      <c r="H79" s="245"/>
      <c r="I79" s="245"/>
      <c r="J79" s="248">
        <v>250966.16</v>
      </c>
      <c r="K79" s="243"/>
      <c r="L79" s="244"/>
      <c r="M79" s="279">
        <f>SUM(M80:M85)</f>
        <v>0</v>
      </c>
      <c r="N79" s="280"/>
      <c r="O79" s="244"/>
      <c r="P79" s="279">
        <f>SUM(P80:P85)</f>
        <v>250966.16</v>
      </c>
      <c r="S79" s="170"/>
      <c r="T79" s="170"/>
    </row>
    <row r="80" spans="1:20" s="109" customFormat="1" ht="44.25" customHeight="1" x14ac:dyDescent="0.2">
      <c r="A80" s="97"/>
      <c r="B80" s="116"/>
      <c r="C80" s="117" t="s">
        <v>247</v>
      </c>
      <c r="D80" s="117" t="s">
        <v>69</v>
      </c>
      <c r="E80" s="118" t="s">
        <v>270</v>
      </c>
      <c r="F80" s="119" t="s">
        <v>271</v>
      </c>
      <c r="G80" s="120" t="s">
        <v>61</v>
      </c>
      <c r="H80" s="121">
        <v>592.24</v>
      </c>
      <c r="I80" s="122">
        <v>87.65</v>
      </c>
      <c r="J80" s="122">
        <v>51909.84</v>
      </c>
      <c r="K80" s="85">
        <v>0</v>
      </c>
      <c r="L80" s="86">
        <f t="shared" ref="L80:L93" si="8">I80</f>
        <v>87.65</v>
      </c>
      <c r="M80" s="277">
        <f t="shared" ref="M80:M93" si="9">K80*L80</f>
        <v>0</v>
      </c>
      <c r="N80" s="87">
        <f t="shared" ref="N80:N93" si="10">H80+K80</f>
        <v>592.24</v>
      </c>
      <c r="O80" s="88">
        <f t="shared" ref="O80:O93" si="11">I80</f>
        <v>87.65</v>
      </c>
      <c r="P80" s="278">
        <f t="shared" ref="P80:P93" si="12">N80*O80</f>
        <v>51909.836000000003</v>
      </c>
      <c r="S80" s="149"/>
      <c r="T80" s="149"/>
    </row>
    <row r="81" spans="1:23" s="109" customFormat="1" ht="33" customHeight="1" x14ac:dyDescent="0.2">
      <c r="A81" s="97"/>
      <c r="B81" s="116"/>
      <c r="C81" s="117" t="s">
        <v>250</v>
      </c>
      <c r="D81" s="117" t="s">
        <v>69</v>
      </c>
      <c r="E81" s="118" t="s">
        <v>273</v>
      </c>
      <c r="F81" s="119" t="s">
        <v>274</v>
      </c>
      <c r="G81" s="120" t="s">
        <v>61</v>
      </c>
      <c r="H81" s="121">
        <v>1173.48</v>
      </c>
      <c r="I81" s="122">
        <v>32.22</v>
      </c>
      <c r="J81" s="122">
        <v>37809.53</v>
      </c>
      <c r="K81" s="85">
        <v>0</v>
      </c>
      <c r="L81" s="86">
        <f t="shared" si="8"/>
        <v>32.22</v>
      </c>
      <c r="M81" s="277">
        <f t="shared" si="9"/>
        <v>0</v>
      </c>
      <c r="N81" s="87">
        <f t="shared" si="10"/>
        <v>1173.48</v>
      </c>
      <c r="O81" s="88">
        <f t="shared" si="11"/>
        <v>32.22</v>
      </c>
      <c r="P81" s="278">
        <f t="shared" si="12"/>
        <v>37809.525600000001</v>
      </c>
      <c r="S81" s="149"/>
      <c r="T81" s="149"/>
    </row>
    <row r="82" spans="1:23" s="109" customFormat="1" ht="33" customHeight="1" x14ac:dyDescent="0.2">
      <c r="A82" s="97"/>
      <c r="B82" s="116"/>
      <c r="C82" s="117" t="s">
        <v>253</v>
      </c>
      <c r="D82" s="117" t="s">
        <v>69</v>
      </c>
      <c r="E82" s="118" t="s">
        <v>350</v>
      </c>
      <c r="F82" s="119" t="s">
        <v>351</v>
      </c>
      <c r="G82" s="120" t="s">
        <v>61</v>
      </c>
      <c r="H82" s="121">
        <v>588.55999999999995</v>
      </c>
      <c r="I82" s="122">
        <v>32.22</v>
      </c>
      <c r="J82" s="122">
        <v>18963.400000000001</v>
      </c>
      <c r="K82" s="85">
        <v>0</v>
      </c>
      <c r="L82" s="86">
        <f t="shared" si="8"/>
        <v>32.22</v>
      </c>
      <c r="M82" s="277">
        <f t="shared" si="9"/>
        <v>0</v>
      </c>
      <c r="N82" s="87">
        <f t="shared" si="10"/>
        <v>588.55999999999995</v>
      </c>
      <c r="O82" s="88">
        <f t="shared" si="11"/>
        <v>32.22</v>
      </c>
      <c r="P82" s="278">
        <f t="shared" si="12"/>
        <v>18963.403199999997</v>
      </c>
      <c r="S82" s="149"/>
      <c r="T82" s="149"/>
    </row>
    <row r="83" spans="1:23" s="109" customFormat="1" ht="21.75" customHeight="1" x14ac:dyDescent="0.2">
      <c r="A83" s="97"/>
      <c r="B83" s="116"/>
      <c r="C83" s="117" t="s">
        <v>256</v>
      </c>
      <c r="D83" s="117" t="s">
        <v>69</v>
      </c>
      <c r="E83" s="118" t="s">
        <v>276</v>
      </c>
      <c r="F83" s="119" t="s">
        <v>277</v>
      </c>
      <c r="G83" s="120" t="s">
        <v>61</v>
      </c>
      <c r="H83" s="121">
        <v>1173.48</v>
      </c>
      <c r="I83" s="122">
        <v>72.34</v>
      </c>
      <c r="J83" s="122">
        <v>84889.54</v>
      </c>
      <c r="K83" s="85">
        <v>0</v>
      </c>
      <c r="L83" s="86">
        <f t="shared" si="8"/>
        <v>72.34</v>
      </c>
      <c r="M83" s="277">
        <f t="shared" si="9"/>
        <v>0</v>
      </c>
      <c r="N83" s="87">
        <f t="shared" si="10"/>
        <v>1173.48</v>
      </c>
      <c r="O83" s="88">
        <f t="shared" si="11"/>
        <v>72.34</v>
      </c>
      <c r="P83" s="278">
        <f t="shared" si="12"/>
        <v>84889.5432</v>
      </c>
      <c r="S83" s="149"/>
      <c r="T83" s="149"/>
    </row>
    <row r="84" spans="1:23" s="109" customFormat="1" ht="21.75" customHeight="1" x14ac:dyDescent="0.2">
      <c r="A84" s="97"/>
      <c r="B84" s="116"/>
      <c r="C84" s="117" t="s">
        <v>259</v>
      </c>
      <c r="D84" s="117" t="s">
        <v>69</v>
      </c>
      <c r="E84" s="118" t="s">
        <v>354</v>
      </c>
      <c r="F84" s="119" t="s">
        <v>355</v>
      </c>
      <c r="G84" s="120" t="s">
        <v>61</v>
      </c>
      <c r="H84" s="121">
        <v>588.55999999999995</v>
      </c>
      <c r="I84" s="122">
        <v>94.7</v>
      </c>
      <c r="J84" s="122">
        <v>55736.63</v>
      </c>
      <c r="K84" s="85">
        <v>0</v>
      </c>
      <c r="L84" s="86">
        <f t="shared" si="8"/>
        <v>94.7</v>
      </c>
      <c r="M84" s="277">
        <f t="shared" si="9"/>
        <v>0</v>
      </c>
      <c r="N84" s="87">
        <f t="shared" si="10"/>
        <v>588.55999999999995</v>
      </c>
      <c r="O84" s="88">
        <f t="shared" si="11"/>
        <v>94.7</v>
      </c>
      <c r="P84" s="278">
        <f t="shared" si="12"/>
        <v>55736.631999999998</v>
      </c>
      <c r="S84" s="149"/>
      <c r="T84" s="149"/>
    </row>
    <row r="85" spans="1:23" s="109" customFormat="1" ht="33" customHeight="1" x14ac:dyDescent="0.2">
      <c r="A85" s="97"/>
      <c r="B85" s="116"/>
      <c r="C85" s="117" t="s">
        <v>262</v>
      </c>
      <c r="D85" s="117" t="s">
        <v>69</v>
      </c>
      <c r="E85" s="118" t="s">
        <v>279</v>
      </c>
      <c r="F85" s="119" t="s">
        <v>280</v>
      </c>
      <c r="G85" s="120" t="s">
        <v>138</v>
      </c>
      <c r="H85" s="121">
        <v>1</v>
      </c>
      <c r="I85" s="122">
        <v>1657.22</v>
      </c>
      <c r="J85" s="122">
        <v>1657.22</v>
      </c>
      <c r="K85" s="85">
        <v>0</v>
      </c>
      <c r="L85" s="86">
        <f t="shared" si="8"/>
        <v>1657.22</v>
      </c>
      <c r="M85" s="277">
        <f t="shared" si="9"/>
        <v>0</v>
      </c>
      <c r="N85" s="87">
        <f t="shared" si="10"/>
        <v>1</v>
      </c>
      <c r="O85" s="88">
        <f t="shared" si="11"/>
        <v>1657.22</v>
      </c>
      <c r="P85" s="278">
        <f t="shared" si="12"/>
        <v>1657.22</v>
      </c>
      <c r="S85" s="149"/>
      <c r="T85" s="149"/>
    </row>
    <row r="86" spans="1:23" s="110" customFormat="1" ht="22.9" customHeight="1" x14ac:dyDescent="0.2">
      <c r="C86" s="245"/>
      <c r="D86" s="246" t="s">
        <v>3</v>
      </c>
      <c r="E86" s="247" t="s">
        <v>281</v>
      </c>
      <c r="F86" s="247" t="s">
        <v>282</v>
      </c>
      <c r="G86" s="245"/>
      <c r="H86" s="245"/>
      <c r="I86" s="245"/>
      <c r="J86" s="248">
        <v>254837.58000000002</v>
      </c>
      <c r="K86" s="243"/>
      <c r="L86" s="244"/>
      <c r="M86" s="279">
        <f>SUM(M87:M91)</f>
        <v>-227.91130000000001</v>
      </c>
      <c r="N86" s="280"/>
      <c r="O86" s="244"/>
      <c r="P86" s="279">
        <f>SUM(P87:P91)</f>
        <v>254609.67274000004</v>
      </c>
      <c r="S86" s="170"/>
      <c r="T86" s="170"/>
    </row>
    <row r="87" spans="1:23" s="109" customFormat="1" ht="21.75" customHeight="1" x14ac:dyDescent="0.2">
      <c r="A87" s="97"/>
      <c r="B87" s="116"/>
      <c r="C87" s="117" t="s">
        <v>265</v>
      </c>
      <c r="D87" s="117" t="s">
        <v>69</v>
      </c>
      <c r="E87" s="118" t="s">
        <v>284</v>
      </c>
      <c r="F87" s="119" t="s">
        <v>285</v>
      </c>
      <c r="G87" s="120" t="s">
        <v>120</v>
      </c>
      <c r="H87" s="121">
        <v>572.12900000000002</v>
      </c>
      <c r="I87" s="122">
        <v>163.55000000000001</v>
      </c>
      <c r="J87" s="122">
        <v>93571.7</v>
      </c>
      <c r="K87" s="85">
        <f t="shared" ref="K87" si="13">ROUND(589.4/590.1*H87-H87,2)</f>
        <v>-0.68</v>
      </c>
      <c r="L87" s="86">
        <f t="shared" si="8"/>
        <v>163.55000000000001</v>
      </c>
      <c r="M87" s="277">
        <f t="shared" si="9"/>
        <v>-111.21400000000001</v>
      </c>
      <c r="N87" s="87">
        <f t="shared" si="10"/>
        <v>571.44900000000007</v>
      </c>
      <c r="O87" s="88">
        <f t="shared" si="11"/>
        <v>163.55000000000001</v>
      </c>
      <c r="P87" s="278">
        <f t="shared" si="12"/>
        <v>93460.483950000023</v>
      </c>
      <c r="S87" s="149"/>
      <c r="T87" s="149"/>
    </row>
    <row r="88" spans="1:23" s="109" customFormat="1" ht="33" customHeight="1" x14ac:dyDescent="0.2">
      <c r="A88" s="97"/>
      <c r="B88" s="116"/>
      <c r="C88" s="117" t="s">
        <v>269</v>
      </c>
      <c r="D88" s="117" t="s">
        <v>69</v>
      </c>
      <c r="E88" s="118" t="s">
        <v>287</v>
      </c>
      <c r="F88" s="119" t="s">
        <v>288</v>
      </c>
      <c r="G88" s="120" t="s">
        <v>120</v>
      </c>
      <c r="H88" s="121">
        <v>244.886</v>
      </c>
      <c r="I88" s="122">
        <v>257.77999999999997</v>
      </c>
      <c r="J88" s="122">
        <v>63126.71</v>
      </c>
      <c r="K88" s="85">
        <v>0</v>
      </c>
      <c r="L88" s="86">
        <f t="shared" si="8"/>
        <v>257.77999999999997</v>
      </c>
      <c r="M88" s="277">
        <f t="shared" si="9"/>
        <v>0</v>
      </c>
      <c r="N88" s="87">
        <f t="shared" si="10"/>
        <v>244.886</v>
      </c>
      <c r="O88" s="88">
        <f t="shared" si="11"/>
        <v>257.77999999999997</v>
      </c>
      <c r="P88" s="278">
        <f t="shared" si="12"/>
        <v>63126.713079999994</v>
      </c>
      <c r="S88" s="149"/>
      <c r="T88" s="149"/>
      <c r="W88" s="148" t="s">
        <v>1137</v>
      </c>
    </row>
    <row r="89" spans="1:23" s="109" customFormat="1" ht="33" customHeight="1" x14ac:dyDescent="0.2">
      <c r="A89" s="97"/>
      <c r="B89" s="116"/>
      <c r="C89" s="117" t="s">
        <v>272</v>
      </c>
      <c r="D89" s="117" t="s">
        <v>69</v>
      </c>
      <c r="E89" s="118" t="s">
        <v>290</v>
      </c>
      <c r="F89" s="119" t="s">
        <v>119</v>
      </c>
      <c r="G89" s="120" t="s">
        <v>120</v>
      </c>
      <c r="H89" s="121">
        <v>327.24299999999999</v>
      </c>
      <c r="I89" s="122">
        <v>154.66999999999999</v>
      </c>
      <c r="J89" s="122">
        <v>50614.67</v>
      </c>
      <c r="K89" s="85">
        <f t="shared" ref="K89:K91" si="14">ROUND(589.4/590.1*H89-H89,2)</f>
        <v>-0.39</v>
      </c>
      <c r="L89" s="86">
        <f t="shared" si="8"/>
        <v>154.66999999999999</v>
      </c>
      <c r="M89" s="277">
        <f t="shared" si="9"/>
        <v>-60.321299999999994</v>
      </c>
      <c r="N89" s="87">
        <f t="shared" si="10"/>
        <v>326.85300000000001</v>
      </c>
      <c r="O89" s="88">
        <f t="shared" si="11"/>
        <v>154.66999999999999</v>
      </c>
      <c r="P89" s="278">
        <f t="shared" si="12"/>
        <v>50554.353510000001</v>
      </c>
      <c r="S89" s="149"/>
      <c r="T89" s="149"/>
      <c r="W89" s="148" t="s">
        <v>1137</v>
      </c>
    </row>
    <row r="90" spans="1:23" s="109" customFormat="1" ht="21.75" customHeight="1" x14ac:dyDescent="0.2">
      <c r="A90" s="97"/>
      <c r="B90" s="116"/>
      <c r="C90" s="117" t="s">
        <v>275</v>
      </c>
      <c r="D90" s="117" t="s">
        <v>69</v>
      </c>
      <c r="E90" s="118" t="s">
        <v>361</v>
      </c>
      <c r="F90" s="119" t="s">
        <v>362</v>
      </c>
      <c r="G90" s="120" t="s">
        <v>120</v>
      </c>
      <c r="H90" s="121">
        <v>202.31800000000001</v>
      </c>
      <c r="I90" s="122">
        <v>80.23</v>
      </c>
      <c r="J90" s="122">
        <v>16231.97</v>
      </c>
      <c r="K90" s="85">
        <f t="shared" si="14"/>
        <v>-0.24</v>
      </c>
      <c r="L90" s="86">
        <f t="shared" si="8"/>
        <v>80.23</v>
      </c>
      <c r="M90" s="277">
        <f t="shared" si="9"/>
        <v>-19.255199999999999</v>
      </c>
      <c r="N90" s="87">
        <f t="shared" si="10"/>
        <v>202.078</v>
      </c>
      <c r="O90" s="88">
        <f t="shared" si="11"/>
        <v>80.23</v>
      </c>
      <c r="P90" s="278">
        <f t="shared" si="12"/>
        <v>16212.71794</v>
      </c>
      <c r="S90" s="149"/>
      <c r="T90" s="149"/>
    </row>
    <row r="91" spans="1:23" s="109" customFormat="1" ht="33" customHeight="1" x14ac:dyDescent="0.2">
      <c r="A91" s="97"/>
      <c r="B91" s="116"/>
      <c r="C91" s="117" t="s">
        <v>278</v>
      </c>
      <c r="D91" s="117" t="s">
        <v>69</v>
      </c>
      <c r="E91" s="118" t="s">
        <v>364</v>
      </c>
      <c r="F91" s="119" t="s">
        <v>365</v>
      </c>
      <c r="G91" s="120" t="s">
        <v>120</v>
      </c>
      <c r="H91" s="121">
        <v>202.31800000000001</v>
      </c>
      <c r="I91" s="122">
        <v>154.66999999999999</v>
      </c>
      <c r="J91" s="122">
        <v>31292.53</v>
      </c>
      <c r="K91" s="85">
        <f t="shared" si="14"/>
        <v>-0.24</v>
      </c>
      <c r="L91" s="86">
        <f t="shared" si="8"/>
        <v>154.66999999999999</v>
      </c>
      <c r="M91" s="277">
        <f t="shared" si="9"/>
        <v>-37.120799999999996</v>
      </c>
      <c r="N91" s="87">
        <f t="shared" si="10"/>
        <v>202.078</v>
      </c>
      <c r="O91" s="88">
        <f t="shared" si="11"/>
        <v>154.66999999999999</v>
      </c>
      <c r="P91" s="278">
        <f t="shared" si="12"/>
        <v>31255.404259999999</v>
      </c>
      <c r="S91" s="149"/>
      <c r="T91" s="149"/>
    </row>
    <row r="92" spans="1:23" s="110" customFormat="1" ht="22.9" customHeight="1" x14ac:dyDescent="0.2">
      <c r="C92" s="245"/>
      <c r="D92" s="246" t="s">
        <v>3</v>
      </c>
      <c r="E92" s="247" t="s">
        <v>291</v>
      </c>
      <c r="F92" s="247" t="s">
        <v>292</v>
      </c>
      <c r="G92" s="245"/>
      <c r="H92" s="245"/>
      <c r="I92" s="245"/>
      <c r="J92" s="248">
        <v>1534.6</v>
      </c>
      <c r="K92" s="243">
        <v>0</v>
      </c>
      <c r="L92" s="244">
        <f t="shared" si="8"/>
        <v>0</v>
      </c>
      <c r="M92" s="279">
        <f>M93</f>
        <v>-2.2884000000000002</v>
      </c>
      <c r="N92" s="280">
        <f t="shared" si="10"/>
        <v>0</v>
      </c>
      <c r="O92" s="244">
        <f t="shared" si="11"/>
        <v>0</v>
      </c>
      <c r="P92" s="279">
        <f>P93</f>
        <v>1532.3126400000001</v>
      </c>
      <c r="S92" s="170"/>
      <c r="T92" s="170"/>
    </row>
    <row r="93" spans="1:23" s="109" customFormat="1" ht="44.25" customHeight="1" x14ac:dyDescent="0.2">
      <c r="A93" s="97"/>
      <c r="B93" s="116"/>
      <c r="C93" s="117" t="s">
        <v>283</v>
      </c>
      <c r="D93" s="117" t="s">
        <v>69</v>
      </c>
      <c r="E93" s="118" t="s">
        <v>473</v>
      </c>
      <c r="F93" s="119" t="s">
        <v>474</v>
      </c>
      <c r="G93" s="120" t="s">
        <v>120</v>
      </c>
      <c r="H93" s="121">
        <v>13.412000000000001</v>
      </c>
      <c r="I93" s="122">
        <v>114.42</v>
      </c>
      <c r="J93" s="122">
        <v>1534.6</v>
      </c>
      <c r="K93" s="85">
        <f t="shared" ref="K93" si="15">ROUND(589.4/590.1*H93-H93,2)</f>
        <v>-0.02</v>
      </c>
      <c r="L93" s="86">
        <f t="shared" si="8"/>
        <v>114.42</v>
      </c>
      <c r="M93" s="277">
        <f t="shared" si="9"/>
        <v>-2.2884000000000002</v>
      </c>
      <c r="N93" s="87">
        <f t="shared" si="10"/>
        <v>13.392000000000001</v>
      </c>
      <c r="O93" s="88">
        <f t="shared" si="11"/>
        <v>114.42</v>
      </c>
      <c r="P93" s="278">
        <f t="shared" si="12"/>
        <v>1532.3126400000001</v>
      </c>
      <c r="S93" s="149"/>
      <c r="T93" s="149"/>
    </row>
    <row r="94" spans="1:23" s="109" customFormat="1" ht="6.95" customHeight="1" x14ac:dyDescent="0.2">
      <c r="A94" s="97"/>
      <c r="B94" s="97"/>
      <c r="C94" s="97"/>
      <c r="D94" s="97"/>
      <c r="E94" s="97"/>
      <c r="F94" s="97"/>
      <c r="G94" s="97"/>
      <c r="H94" s="97"/>
      <c r="I94" s="97"/>
      <c r="J94" s="97"/>
      <c r="S94" s="149"/>
      <c r="T94" s="149"/>
    </row>
    <row r="95" spans="1:23" ht="18" customHeight="1" x14ac:dyDescent="0.2">
      <c r="D95" s="89"/>
      <c r="E95" s="141" t="str">
        <f>CONCATENATE("CELKEM ",C$12)</f>
        <v>CELKEM 02 - SO 02.B - Výtlačný řad 1 - d110</v>
      </c>
      <c r="F95" s="90"/>
      <c r="G95" s="90"/>
      <c r="H95" s="91"/>
      <c r="I95" s="90"/>
      <c r="J95" s="92">
        <v>4163822.26</v>
      </c>
      <c r="K95" s="94"/>
      <c r="L95" s="92"/>
      <c r="M95" s="147">
        <f>M92+M86+M79+M60+M50+M48+M46+M14</f>
        <v>-2767.1951999999997</v>
      </c>
      <c r="N95" s="147"/>
      <c r="O95" s="147"/>
      <c r="P95" s="147">
        <f t="shared" ref="P95" si="16">P92+P86+P79+P60+P50+P48+P46+P14</f>
        <v>4161055.0575200003</v>
      </c>
    </row>
    <row r="96" spans="1:23" x14ac:dyDescent="0.2">
      <c r="I96" s="95"/>
    </row>
    <row r="97" spans="5:11" ht="14.25" x14ac:dyDescent="0.2">
      <c r="E97" s="58" t="s">
        <v>994</v>
      </c>
      <c r="F97" s="58"/>
      <c r="H97" s="96"/>
      <c r="J97" s="161"/>
      <c r="K97" s="58" t="s">
        <v>995</v>
      </c>
    </row>
  </sheetData>
  <protectedRanges>
    <protectedRange password="CCAA" sqref="K8" name="Oblast1_1_1_1_1_1"/>
    <protectedRange password="CCAA" sqref="D9:H10" name="Oblast1_2_1_1_1_1"/>
  </protectedRanges>
  <autoFilter ref="C10:P93" xr:uid="{A4D1E333-B948-46CF-8003-CF71B1679391}"/>
  <mergeCells count="8">
    <mergeCell ref="AA12:AA14"/>
    <mergeCell ref="K9:M9"/>
    <mergeCell ref="N9:P9"/>
    <mergeCell ref="Z12:Z14"/>
    <mergeCell ref="X39:X41"/>
    <mergeCell ref="W39:W41"/>
    <mergeCell ref="V39:V42"/>
    <mergeCell ref="U39:U42"/>
  </mergeCells>
  <pageMargins left="0.39370078740157483" right="0.39370078740157483" top="0.39370078740157483" bottom="0.39370078740157483" header="0" footer="0"/>
  <pageSetup paperSize="9" scale="51" fitToHeight="0" orientation="portrait" r:id="rId1"/>
  <headerFooter>
    <oddFooter>&amp;CStrana &amp;P z &amp;N</oddFooter>
  </headerFooter>
  <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>
    <pageSetUpPr fitToPage="1"/>
  </sheetPr>
  <dimension ref="A1:R25"/>
  <sheetViews>
    <sheetView showGridLines="0" view="pageBreakPreview" zoomScale="60" zoomScaleNormal="100" workbookViewId="0">
      <selection activeCell="J25" sqref="J25"/>
    </sheetView>
  </sheetViews>
  <sheetFormatPr defaultColWidth="9.33203125" defaultRowHeight="11.25" x14ac:dyDescent="0.2"/>
  <cols>
    <col min="1" max="1" width="8.33203125" style="60" customWidth="1"/>
    <col min="2" max="2" width="1.6640625" style="60" customWidth="1"/>
    <col min="3" max="3" width="4.1640625" style="60" customWidth="1"/>
    <col min="4" max="4" width="4.33203125" style="60" customWidth="1"/>
    <col min="5" max="5" width="17.1640625" style="60" customWidth="1"/>
    <col min="6" max="6" width="50.83203125" style="60" customWidth="1"/>
    <col min="7" max="7" width="7" style="60" customWidth="1"/>
    <col min="8" max="8" width="11.5" style="60" customWidth="1"/>
    <col min="9" max="10" width="20.1640625" style="60" customWidth="1"/>
    <col min="11" max="11" width="17.5" style="60" customWidth="1"/>
    <col min="12" max="12" width="22.33203125" style="60" customWidth="1"/>
    <col min="13" max="13" width="11.5" style="60" customWidth="1"/>
    <col min="14" max="14" width="11" style="60" bestFit="1" customWidth="1"/>
    <col min="15" max="15" width="16.1640625" style="60" bestFit="1" customWidth="1"/>
    <col min="16" max="16" width="16.5" style="60" bestFit="1" customWidth="1"/>
    <col min="17" max="17" width="21.33203125" style="60" bestFit="1" customWidth="1"/>
    <col min="18" max="18" width="9.33203125" style="60" hidden="1" customWidth="1"/>
    <col min="19" max="16384" width="9.33203125" style="60"/>
  </cols>
  <sheetData>
    <row r="1" spans="1:17" ht="15" x14ac:dyDescent="0.2">
      <c r="F1" s="3"/>
      <c r="G1" s="4"/>
      <c r="H1" s="1"/>
      <c r="J1" s="61"/>
    </row>
    <row r="2" spans="1:17" s="1" customFormat="1" ht="15" x14ac:dyDescent="0.2">
      <c r="E2" s="2"/>
      <c r="F2" s="3" t="s">
        <v>979</v>
      </c>
      <c r="G2" s="4" t="str">
        <f>'[1]VRN 01'!G3</f>
        <v>Odkanalizování povodí Jizery - část B</v>
      </c>
      <c r="I2" s="5"/>
      <c r="J2" s="63"/>
      <c r="K2" s="10"/>
      <c r="L2" s="11"/>
      <c r="M2" s="11"/>
      <c r="N2" s="64"/>
    </row>
    <row r="3" spans="1:17" s="1" customFormat="1" ht="15" x14ac:dyDescent="0.2">
      <c r="E3" s="2"/>
      <c r="F3" s="3" t="s">
        <v>980</v>
      </c>
      <c r="G3" s="4" t="str">
        <f>+'Rekapitulace stavby'!D2</f>
        <v>ÚHERCE, výstavba kanalizace - UZNATELNÉ NÁKLADY - doměrky</v>
      </c>
      <c r="H3" s="2"/>
      <c r="I3" s="5"/>
      <c r="J3" s="63"/>
      <c r="K3" s="10"/>
      <c r="L3" s="11"/>
      <c r="M3" s="11"/>
      <c r="N3" s="64"/>
    </row>
    <row r="4" spans="1:17" s="2" customFormat="1" ht="15" x14ac:dyDescent="0.2">
      <c r="F4" s="12" t="s">
        <v>981</v>
      </c>
      <c r="G4" s="13" t="str">
        <f>'[1]VRN 01'!G5</f>
        <v>VRI/SOD/2020/Ži</v>
      </c>
      <c r="I4" s="5"/>
      <c r="J4" s="65"/>
      <c r="K4" s="18"/>
      <c r="L4" s="19"/>
      <c r="M4" s="19"/>
      <c r="N4" s="66"/>
    </row>
    <row r="5" spans="1:17" s="2" customFormat="1" ht="15" x14ac:dyDescent="0.2">
      <c r="F5" s="12" t="s">
        <v>983</v>
      </c>
      <c r="G5" s="13" t="s">
        <v>1001</v>
      </c>
      <c r="I5" s="5"/>
      <c r="J5" s="65"/>
      <c r="K5" s="18"/>
      <c r="L5" s="19"/>
      <c r="M5" s="19"/>
      <c r="N5" s="66"/>
    </row>
    <row r="6" spans="1:17" s="2" customFormat="1" ht="15" x14ac:dyDescent="0.2">
      <c r="F6" s="3" t="s">
        <v>984</v>
      </c>
      <c r="G6" s="13" t="str">
        <f>'[1]VRN 01'!G7</f>
        <v>Vododvody a kanalizace Mladá Boleslav, a.s.</v>
      </c>
      <c r="I6" s="5"/>
      <c r="J6" s="65"/>
      <c r="K6" s="18"/>
      <c r="L6" s="19"/>
      <c r="M6" s="19"/>
      <c r="N6" s="66"/>
    </row>
    <row r="7" spans="1:17" s="2" customFormat="1" ht="15" x14ac:dyDescent="0.2">
      <c r="F7" s="3" t="s">
        <v>986</v>
      </c>
      <c r="G7" s="20" t="str">
        <f>'[1]VRN 01'!G8</f>
        <v>VCES a.s.</v>
      </c>
      <c r="H7" s="67"/>
      <c r="I7" s="5"/>
      <c r="J7" s="65"/>
      <c r="K7" s="18"/>
      <c r="L7" s="19"/>
      <c r="M7" s="19"/>
      <c r="N7" s="66"/>
    </row>
    <row r="8" spans="1:17" s="68" customFormat="1" ht="12.75" x14ac:dyDescent="0.2">
      <c r="D8" s="69"/>
      <c r="F8" s="3"/>
      <c r="G8" s="20"/>
      <c r="H8" s="67"/>
      <c r="K8" s="72" t="s">
        <v>996</v>
      </c>
      <c r="L8" s="73" t="str">
        <f>+C12</f>
        <v>03 - PS 02.1 - Strojně technologická část</v>
      </c>
      <c r="M8" s="73"/>
      <c r="O8" s="74"/>
    </row>
    <row r="9" spans="1:17" s="75" customFormat="1" ht="12.75" x14ac:dyDescent="0.2">
      <c r="C9" s="76"/>
      <c r="D9" s="77"/>
      <c r="E9" s="77"/>
      <c r="F9" s="77"/>
      <c r="G9" s="77"/>
      <c r="H9" s="77"/>
      <c r="I9" s="78"/>
      <c r="J9" s="79"/>
      <c r="K9" s="332" t="s">
        <v>1266</v>
      </c>
      <c r="L9" s="332"/>
      <c r="M9" s="332"/>
      <c r="N9" s="339" t="s">
        <v>1267</v>
      </c>
      <c r="O9" s="339"/>
      <c r="P9" s="340"/>
    </row>
    <row r="10" spans="1:17" s="75" customFormat="1" ht="24" x14ac:dyDescent="0.2">
      <c r="C10" s="80"/>
      <c r="D10" s="81" t="s">
        <v>997</v>
      </c>
      <c r="E10" s="81" t="s">
        <v>976</v>
      </c>
      <c r="F10" s="81" t="s">
        <v>977</v>
      </c>
      <c r="G10" s="81" t="s">
        <v>64</v>
      </c>
      <c r="H10" s="82" t="s">
        <v>65</v>
      </c>
      <c r="I10" s="83" t="s">
        <v>998</v>
      </c>
      <c r="J10" s="84" t="s">
        <v>978</v>
      </c>
      <c r="K10" s="218" t="s">
        <v>999</v>
      </c>
      <c r="L10" s="219" t="s">
        <v>1260</v>
      </c>
      <c r="M10" s="220" t="s">
        <v>978</v>
      </c>
      <c r="N10" s="263" t="s">
        <v>1264</v>
      </c>
      <c r="O10" s="264" t="s">
        <v>1260</v>
      </c>
      <c r="P10" s="265" t="s">
        <v>978</v>
      </c>
      <c r="Q10" s="157" t="s">
        <v>1127</v>
      </c>
    </row>
    <row r="12" spans="1:17" s="109" customFormat="1" ht="15.75" x14ac:dyDescent="0.25">
      <c r="A12" s="97"/>
      <c r="B12" s="97"/>
      <c r="C12" s="98" t="s">
        <v>645</v>
      </c>
      <c r="D12" s="97"/>
      <c r="E12" s="97"/>
      <c r="F12" s="97"/>
      <c r="G12" s="97"/>
      <c r="H12" s="97"/>
      <c r="I12" s="97"/>
      <c r="J12" s="99">
        <v>2111387.5300000003</v>
      </c>
    </row>
    <row r="13" spans="1:17" s="110" customFormat="1" ht="15" x14ac:dyDescent="0.2">
      <c r="D13" s="111" t="s">
        <v>3</v>
      </c>
      <c r="E13" s="112" t="s">
        <v>66</v>
      </c>
      <c r="F13" s="112" t="s">
        <v>476</v>
      </c>
      <c r="J13" s="113">
        <v>1920023.1</v>
      </c>
      <c r="Q13" s="176" t="s">
        <v>1003</v>
      </c>
    </row>
    <row r="14" spans="1:17" s="110" customFormat="1" ht="12.75" x14ac:dyDescent="0.2">
      <c r="D14" s="111" t="s">
        <v>3</v>
      </c>
      <c r="E14" s="114" t="s">
        <v>76</v>
      </c>
      <c r="F14" s="114" t="s">
        <v>130</v>
      </c>
      <c r="J14" s="115">
        <v>1920023.1</v>
      </c>
      <c r="K14" s="103" t="str">
        <f>IF(ISBLANK(H14),"",SUM(#REF!+#REF!+#REF!+#REF!+#REF!+#REF!+#REF!+#REF!+#REF!+#REF!+#REF!,#REF!,#REF!,#REF!,#REF!,#REF!,#REF!,#REF!,#REF!,#REF!,#REF!,#REF!))</f>
        <v/>
      </c>
      <c r="L14" s="104" t="str">
        <f>IF(ISBLANK(H14),"",SUM(#REF!+#REF!+#REF!+#REF!+#REF!+#REF!+#REF!+#REF!+#REF!+#REF!+#REF!,#REF!,#REF!,#REF!,#REF!,#REF!,#REF!,#REF!,#REF!,#REF!,#REF!,#REF!,#REF!))</f>
        <v/>
      </c>
      <c r="M14" s="105" t="str">
        <f t="shared" ref="M14" si="0">IFERROR(IF($J14=0,0,L14/$J14),"")</f>
        <v/>
      </c>
      <c r="N14" s="106" t="str">
        <f t="shared" ref="N14:N21" si="1">IF(ISBLANK(H14),"",H14-K14)</f>
        <v/>
      </c>
      <c r="O14" s="107" t="str">
        <f>IF(ISBLANK(H14),"",J14-L14)</f>
        <v/>
      </c>
      <c r="P14" s="108" t="str">
        <f t="shared" ref="P14" si="2">IFERROR(IF($J14=0,0,O14/$J14),"")</f>
        <v/>
      </c>
    </row>
    <row r="15" spans="1:17" s="109" customFormat="1" ht="36" x14ac:dyDescent="0.2">
      <c r="A15" s="97"/>
      <c r="B15" s="116"/>
      <c r="C15" s="117" t="s">
        <v>7</v>
      </c>
      <c r="D15" s="117" t="s">
        <v>69</v>
      </c>
      <c r="E15" s="118" t="s">
        <v>646</v>
      </c>
      <c r="F15" s="119" t="s">
        <v>647</v>
      </c>
      <c r="G15" s="120" t="s">
        <v>138</v>
      </c>
      <c r="H15" s="121">
        <v>1</v>
      </c>
      <c r="I15" s="122">
        <v>1920023.1</v>
      </c>
      <c r="J15" s="122">
        <v>1920023.1</v>
      </c>
      <c r="K15" s="85">
        <v>0</v>
      </c>
      <c r="L15" s="86">
        <f>I15</f>
        <v>1920023.1</v>
      </c>
      <c r="M15" s="277">
        <f>K15*L15</f>
        <v>0</v>
      </c>
      <c r="N15" s="87">
        <f t="shared" si="1"/>
        <v>1</v>
      </c>
      <c r="O15" s="88">
        <f>I15</f>
        <v>1920023.1</v>
      </c>
      <c r="P15" s="278">
        <f>N15*O15</f>
        <v>1920023.1</v>
      </c>
    </row>
    <row r="16" spans="1:17" s="110" customFormat="1" ht="15" x14ac:dyDescent="0.2">
      <c r="C16" s="129"/>
      <c r="D16" s="130" t="s">
        <v>3</v>
      </c>
      <c r="E16" s="142" t="s">
        <v>587</v>
      </c>
      <c r="F16" s="142" t="s">
        <v>588</v>
      </c>
      <c r="G16" s="129"/>
      <c r="H16" s="129"/>
      <c r="I16" s="129"/>
      <c r="J16" s="143">
        <v>153091.54</v>
      </c>
      <c r="K16" s="85" t="str">
        <f>IF(ISBLANK(H16),"",SUM(#REF!+#REF!+#REF!+#REF!+#REF!+#REF!+#REF!+#REF!+#REF!+#REF!+#REF!,#REF!,#REF!,#REF!,#REF!,#REF!,#REF!,#REF!,#REF!,#REF!,#REF!,#REF!))</f>
        <v/>
      </c>
      <c r="L16" s="86"/>
      <c r="M16" s="277"/>
      <c r="N16" s="87" t="str">
        <f t="shared" si="1"/>
        <v/>
      </c>
      <c r="O16" s="88"/>
      <c r="P16" s="278"/>
    </row>
    <row r="17" spans="1:16" s="110" customFormat="1" ht="12.75" x14ac:dyDescent="0.2">
      <c r="C17" s="129"/>
      <c r="D17" s="130" t="s">
        <v>3</v>
      </c>
      <c r="E17" s="131" t="s">
        <v>648</v>
      </c>
      <c r="F17" s="131" t="s">
        <v>649</v>
      </c>
      <c r="G17" s="129"/>
      <c r="H17" s="129"/>
      <c r="I17" s="129"/>
      <c r="J17" s="132">
        <v>153091.54</v>
      </c>
      <c r="K17" s="85" t="str">
        <f>IF(ISBLANK(H17),"",SUM(#REF!+#REF!+#REF!+#REF!+#REF!+#REF!+#REF!+#REF!+#REF!+#REF!+#REF!,#REF!,#REF!,#REF!,#REF!,#REF!,#REF!,#REF!,#REF!,#REF!,#REF!,#REF!))</f>
        <v/>
      </c>
      <c r="L17" s="86"/>
      <c r="M17" s="277"/>
      <c r="N17" s="87" t="str">
        <f t="shared" si="1"/>
        <v/>
      </c>
      <c r="O17" s="88"/>
      <c r="P17" s="278"/>
    </row>
    <row r="18" spans="1:16" s="109" customFormat="1" ht="24" x14ac:dyDescent="0.2">
      <c r="A18" s="97"/>
      <c r="B18" s="116"/>
      <c r="C18" s="117" t="s">
        <v>8</v>
      </c>
      <c r="D18" s="117" t="s">
        <v>69</v>
      </c>
      <c r="E18" s="118" t="s">
        <v>650</v>
      </c>
      <c r="F18" s="119" t="s">
        <v>651</v>
      </c>
      <c r="G18" s="120" t="s">
        <v>652</v>
      </c>
      <c r="H18" s="121">
        <v>1</v>
      </c>
      <c r="I18" s="122">
        <v>153091.54</v>
      </c>
      <c r="J18" s="122">
        <v>153091.54</v>
      </c>
      <c r="K18" s="85">
        <v>0</v>
      </c>
      <c r="L18" s="86">
        <f t="shared" ref="L18:L21" si="3">I18</f>
        <v>153091.54</v>
      </c>
      <c r="M18" s="277">
        <f t="shared" ref="M18:M21" si="4">K18*L18</f>
        <v>0</v>
      </c>
      <c r="N18" s="87">
        <f t="shared" si="1"/>
        <v>1</v>
      </c>
      <c r="O18" s="88">
        <f t="shared" ref="O18:O21" si="5">I18</f>
        <v>153091.54</v>
      </c>
      <c r="P18" s="278">
        <f t="shared" ref="P18:P21" si="6">N18*O18</f>
        <v>153091.54</v>
      </c>
    </row>
    <row r="19" spans="1:16" s="110" customFormat="1" ht="15" x14ac:dyDescent="0.2">
      <c r="C19" s="129"/>
      <c r="D19" s="130" t="s">
        <v>3</v>
      </c>
      <c r="E19" s="142" t="s">
        <v>127</v>
      </c>
      <c r="F19" s="142" t="s">
        <v>653</v>
      </c>
      <c r="G19" s="129"/>
      <c r="H19" s="129"/>
      <c r="I19" s="129"/>
      <c r="J19" s="143">
        <v>38272.89</v>
      </c>
      <c r="K19" s="85" t="str">
        <f>IF(ISBLANK(H19),"",SUM(#REF!+#REF!+#REF!+#REF!+#REF!+#REF!+#REF!+#REF!+#REF!+#REF!+#REF!,#REF!,#REF!,#REF!,#REF!,#REF!,#REF!,#REF!,#REF!,#REF!,#REF!,#REF!))</f>
        <v/>
      </c>
      <c r="L19" s="86"/>
      <c r="M19" s="277"/>
      <c r="N19" s="87" t="str">
        <f t="shared" si="1"/>
        <v/>
      </c>
      <c r="O19" s="88"/>
      <c r="P19" s="278"/>
    </row>
    <row r="20" spans="1:16" s="110" customFormat="1" ht="12.75" x14ac:dyDescent="0.2">
      <c r="C20" s="129"/>
      <c r="D20" s="130" t="s">
        <v>3</v>
      </c>
      <c r="E20" s="131" t="s">
        <v>654</v>
      </c>
      <c r="F20" s="131" t="s">
        <v>655</v>
      </c>
      <c r="G20" s="129"/>
      <c r="H20" s="129"/>
      <c r="I20" s="129"/>
      <c r="J20" s="132">
        <v>38272.89</v>
      </c>
      <c r="K20" s="85" t="str">
        <f>IF(ISBLANK(H20),"",SUM(#REF!+#REF!+#REF!+#REF!+#REF!+#REF!+#REF!+#REF!+#REF!+#REF!+#REF!,#REF!,#REF!,#REF!,#REF!,#REF!,#REF!,#REF!,#REF!,#REF!,#REF!,#REF!))</f>
        <v/>
      </c>
      <c r="L20" s="86"/>
      <c r="M20" s="277"/>
      <c r="N20" s="87" t="str">
        <f t="shared" si="1"/>
        <v/>
      </c>
      <c r="O20" s="88"/>
      <c r="P20" s="278"/>
    </row>
    <row r="21" spans="1:16" s="109" customFormat="1" ht="12" x14ac:dyDescent="0.2">
      <c r="A21" s="97"/>
      <c r="B21" s="116"/>
      <c r="C21" s="117" t="s">
        <v>76</v>
      </c>
      <c r="D21" s="117" t="s">
        <v>69</v>
      </c>
      <c r="E21" s="118" t="s">
        <v>656</v>
      </c>
      <c r="F21" s="119" t="s">
        <v>657</v>
      </c>
      <c r="G21" s="120" t="s">
        <v>138</v>
      </c>
      <c r="H21" s="121">
        <v>1</v>
      </c>
      <c r="I21" s="122">
        <v>38272.89</v>
      </c>
      <c r="J21" s="122">
        <v>38272.89</v>
      </c>
      <c r="K21" s="85">
        <v>0</v>
      </c>
      <c r="L21" s="86">
        <f t="shared" si="3"/>
        <v>38272.89</v>
      </c>
      <c r="M21" s="277">
        <f t="shared" si="4"/>
        <v>0</v>
      </c>
      <c r="N21" s="87">
        <f t="shared" si="1"/>
        <v>1</v>
      </c>
      <c r="O21" s="88">
        <f t="shared" si="5"/>
        <v>38272.89</v>
      </c>
      <c r="P21" s="278">
        <f t="shared" si="6"/>
        <v>38272.89</v>
      </c>
    </row>
    <row r="22" spans="1:16" s="109" customFormat="1" x14ac:dyDescent="0.2">
      <c r="A22" s="97"/>
      <c r="B22" s="97"/>
      <c r="C22" s="97"/>
      <c r="D22" s="97"/>
      <c r="E22" s="97"/>
      <c r="F22" s="97"/>
      <c r="G22" s="97"/>
      <c r="H22" s="97"/>
      <c r="I22" s="97"/>
      <c r="J22" s="97"/>
    </row>
    <row r="23" spans="1:16" ht="12.75" x14ac:dyDescent="0.2">
      <c r="D23" s="89"/>
      <c r="E23" s="141" t="str">
        <f>CONCATENATE("CELKEM ",C$12)</f>
        <v>CELKEM 03 - PS 02.1 - Strojně technologická část</v>
      </c>
      <c r="F23" s="90"/>
      <c r="G23" s="90"/>
      <c r="H23" s="91"/>
      <c r="I23" s="90"/>
      <c r="J23" s="92">
        <v>2111387.5299999998</v>
      </c>
      <c r="K23" s="94"/>
      <c r="L23" s="92"/>
      <c r="M23" s="147">
        <f>M21+M18+M15</f>
        <v>0</v>
      </c>
      <c r="N23" s="94"/>
      <c r="O23" s="92"/>
      <c r="P23" s="295">
        <f>P21+P18+P15</f>
        <v>2111387.5300000003</v>
      </c>
    </row>
    <row r="24" spans="1:16" x14ac:dyDescent="0.2">
      <c r="I24" s="95"/>
    </row>
    <row r="25" spans="1:16" ht="14.25" x14ac:dyDescent="0.2">
      <c r="E25" s="58" t="s">
        <v>994</v>
      </c>
      <c r="F25" s="58"/>
      <c r="H25" s="96"/>
      <c r="J25" s="161"/>
      <c r="K25" s="58" t="s">
        <v>995</v>
      </c>
    </row>
  </sheetData>
  <protectedRanges>
    <protectedRange password="CCAA" sqref="K8" name="Oblast1_1_1_1_1_1"/>
    <protectedRange password="CCAA" sqref="D9:H10" name="Oblast1_2_1_1_1_1"/>
  </protectedRanges>
  <mergeCells count="2">
    <mergeCell ref="K9:M9"/>
    <mergeCell ref="N9:P9"/>
  </mergeCells>
  <conditionalFormatting sqref="D3:E7 H3:J7 K8:GF8 Q9:GF10 D1:J2 K1:GE7 K14:L21">
    <cfRule type="cellIs" dxfId="155" priority="85" operator="lessThan">
      <formula>0</formula>
    </cfRule>
  </conditionalFormatting>
  <conditionalFormatting sqref="G4">
    <cfRule type="cellIs" dxfId="154" priority="84" operator="lessThan">
      <formula>0</formula>
    </cfRule>
  </conditionalFormatting>
  <conditionalFormatting sqref="G3">
    <cfRule type="cellIs" dxfId="153" priority="83" operator="lessThan">
      <formula>0</formula>
    </cfRule>
  </conditionalFormatting>
  <conditionalFormatting sqref="D8:E8 H8:J8">
    <cfRule type="cellIs" dxfId="152" priority="82" operator="lessThan">
      <formula>0</formula>
    </cfRule>
  </conditionalFormatting>
  <conditionalFormatting sqref="N14:O21">
    <cfRule type="cellIs" dxfId="151" priority="33" operator="lessThan">
      <formula>0</formula>
    </cfRule>
  </conditionalFormatting>
  <conditionalFormatting sqref="N14:O21">
    <cfRule type="cellIs" dxfId="150" priority="32" operator="lessThan">
      <formula>0</formula>
    </cfRule>
  </conditionalFormatting>
  <conditionalFormatting sqref="K23 N23 P23:GP23">
    <cfRule type="cellIs" dxfId="149" priority="31" operator="lessThan">
      <formula>0</formula>
    </cfRule>
  </conditionalFormatting>
  <conditionalFormatting sqref="D23:J23">
    <cfRule type="cellIs" dxfId="148" priority="29" operator="lessThan">
      <formula>0</formula>
    </cfRule>
  </conditionalFormatting>
  <conditionalFormatting sqref="L25:HS25 D25 G25:I25">
    <cfRule type="cellIs" dxfId="147" priority="19" operator="lessThan">
      <formula>0</formula>
    </cfRule>
  </conditionalFormatting>
  <conditionalFormatting sqref="G25:I25 L25:M25">
    <cfRule type="cellIs" dxfId="146" priority="18" operator="lessThan">
      <formula>0</formula>
    </cfRule>
  </conditionalFormatting>
  <conditionalFormatting sqref="G25:I25">
    <cfRule type="cellIs" dxfId="145" priority="17" operator="lessThan">
      <formula>0</formula>
    </cfRule>
  </conditionalFormatting>
  <conditionalFormatting sqref="G25:I25">
    <cfRule type="cellIs" dxfId="144" priority="16" operator="lessThan">
      <formula>0</formula>
    </cfRule>
  </conditionalFormatting>
  <conditionalFormatting sqref="M23">
    <cfRule type="cellIs" dxfId="143" priority="6" operator="lessThan">
      <formula>0</formula>
    </cfRule>
  </conditionalFormatting>
  <conditionalFormatting sqref="L23 O23">
    <cfRule type="cellIs" dxfId="142" priority="4" operator="lessThan">
      <formula>0</formula>
    </cfRule>
  </conditionalFormatting>
  <conditionalFormatting sqref="D9:J10">
    <cfRule type="cellIs" dxfId="141" priority="3" operator="lessThan">
      <formula>0</formula>
    </cfRule>
  </conditionalFormatting>
  <conditionalFormatting sqref="K9:L10 N9:O9">
    <cfRule type="cellIs" dxfId="140" priority="2" operator="lessThan">
      <formula>0</formula>
    </cfRule>
  </conditionalFormatting>
  <conditionalFormatting sqref="M10:P10">
    <cfRule type="cellIs" dxfId="139" priority="1" operator="lessThan">
      <formula>0</formula>
    </cfRule>
  </conditionalFormatting>
  <pageMargins left="0.39370078740157483" right="0.39370078740157483" top="0.39370078740157483" bottom="0.39370078740157483" header="0" footer="0"/>
  <pageSetup paperSize="9" scale="52" fitToHeight="0" orientation="portrait" r:id="rId1"/>
  <headerFooter>
    <oddFooter>&amp;CStrana &amp;P z &amp;N</oddFooter>
  </headerFooter>
  <drawing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>
    <pageSetUpPr fitToPage="1"/>
  </sheetPr>
  <dimension ref="A1:P79"/>
  <sheetViews>
    <sheetView showGridLines="0" view="pageBreakPreview" topLeftCell="B35" zoomScale="60" zoomScaleNormal="100" workbookViewId="0">
      <selection activeCell="J79" sqref="J79"/>
    </sheetView>
  </sheetViews>
  <sheetFormatPr defaultColWidth="9.33203125" defaultRowHeight="11.25" x14ac:dyDescent="0.2"/>
  <cols>
    <col min="1" max="1" width="8.33203125" style="60" customWidth="1"/>
    <col min="2" max="2" width="1.6640625" style="60" customWidth="1"/>
    <col min="3" max="3" width="4.1640625" style="60" customWidth="1"/>
    <col min="4" max="4" width="4.33203125" style="60" customWidth="1"/>
    <col min="5" max="5" width="17.1640625" style="60" customWidth="1"/>
    <col min="6" max="6" width="50.83203125" style="60" customWidth="1"/>
    <col min="7" max="7" width="7" style="60" customWidth="1"/>
    <col min="8" max="8" width="11.5" style="60" customWidth="1"/>
    <col min="9" max="10" width="20.1640625" style="60" customWidth="1"/>
    <col min="11" max="18" width="11.5" style="60" customWidth="1"/>
    <col min="19" max="16384" width="9.33203125" style="60"/>
  </cols>
  <sheetData>
    <row r="1" spans="1:16" ht="15" x14ac:dyDescent="0.2">
      <c r="F1" s="3"/>
      <c r="G1" s="4"/>
      <c r="H1" s="1"/>
      <c r="J1" s="61"/>
    </row>
    <row r="2" spans="1:16" s="1" customFormat="1" ht="15" x14ac:dyDescent="0.2">
      <c r="E2" s="2"/>
      <c r="F2" s="3" t="s">
        <v>979</v>
      </c>
      <c r="G2" s="4" t="str">
        <f>'[1]VRN 01'!G3</f>
        <v>Odkanalizování povodí Jizery - část B</v>
      </c>
      <c r="I2" s="5"/>
      <c r="J2" s="63"/>
      <c r="K2" s="10"/>
      <c r="L2" s="11"/>
      <c r="M2" s="11"/>
      <c r="N2" s="64"/>
    </row>
    <row r="3" spans="1:16" s="1" customFormat="1" ht="15" x14ac:dyDescent="0.2">
      <c r="E3" s="2"/>
      <c r="F3" s="3" t="s">
        <v>980</v>
      </c>
      <c r="G3" s="4" t="str">
        <f>+'Rekapitulace stavby'!D2</f>
        <v>ÚHERCE, výstavba kanalizace - UZNATELNÉ NÁKLADY - doměrky</v>
      </c>
      <c r="H3" s="2"/>
      <c r="I3" s="5"/>
      <c r="J3" s="63"/>
      <c r="K3" s="10"/>
      <c r="L3" s="11"/>
      <c r="M3" s="11"/>
      <c r="N3" s="64"/>
    </row>
    <row r="4" spans="1:16" s="2" customFormat="1" ht="15" x14ac:dyDescent="0.2">
      <c r="F4" s="12" t="s">
        <v>981</v>
      </c>
      <c r="G4" s="13" t="str">
        <f>'[1]VRN 01'!G5</f>
        <v>VRI/SOD/2020/Ži</v>
      </c>
      <c r="I4" s="5"/>
      <c r="J4" s="65"/>
      <c r="K4" s="18"/>
      <c r="L4" s="19"/>
      <c r="M4" s="19"/>
      <c r="N4" s="66"/>
    </row>
    <row r="5" spans="1:16" s="2" customFormat="1" ht="15" x14ac:dyDescent="0.2">
      <c r="F5" s="12" t="s">
        <v>983</v>
      </c>
      <c r="G5" s="13" t="s">
        <v>1001</v>
      </c>
      <c r="I5" s="5"/>
      <c r="J5" s="65"/>
      <c r="K5" s="18"/>
      <c r="L5" s="19"/>
      <c r="M5" s="19"/>
      <c r="N5" s="66"/>
    </row>
    <row r="6" spans="1:16" s="2" customFormat="1" ht="15" x14ac:dyDescent="0.2">
      <c r="F6" s="3" t="s">
        <v>984</v>
      </c>
      <c r="G6" s="13" t="str">
        <f>'[1]VRN 01'!G7</f>
        <v>Vododvody a kanalizace Mladá Boleslav, a.s.</v>
      </c>
      <c r="I6" s="5"/>
      <c r="J6" s="65"/>
      <c r="K6" s="18"/>
      <c r="L6" s="19"/>
      <c r="M6" s="19"/>
      <c r="N6" s="66"/>
    </row>
    <row r="7" spans="1:16" s="2" customFormat="1" ht="15" x14ac:dyDescent="0.2">
      <c r="F7" s="3" t="s">
        <v>986</v>
      </c>
      <c r="G7" s="20" t="str">
        <f>'[1]VRN 01'!G8</f>
        <v>VCES a.s.</v>
      </c>
      <c r="H7" s="67"/>
      <c r="I7" s="5"/>
      <c r="J7" s="65"/>
      <c r="K7" s="18"/>
      <c r="L7" s="19"/>
      <c r="M7" s="19"/>
      <c r="N7" s="66"/>
    </row>
    <row r="8" spans="1:16" s="68" customFormat="1" ht="12.75" x14ac:dyDescent="0.2">
      <c r="D8" s="69"/>
      <c r="F8" s="3"/>
      <c r="G8" s="20"/>
      <c r="H8" s="67"/>
      <c r="K8" s="72" t="s">
        <v>996</v>
      </c>
      <c r="L8" s="73" t="str">
        <f>+C12</f>
        <v>04 - PS 02.2 - Elektrotechnologická část</v>
      </c>
      <c r="M8" s="73"/>
      <c r="O8" s="74"/>
    </row>
    <row r="9" spans="1:16" s="75" customFormat="1" ht="12.75" x14ac:dyDescent="0.2">
      <c r="C9" s="76"/>
      <c r="D9" s="77"/>
      <c r="E9" s="77"/>
      <c r="F9" s="77"/>
      <c r="G9" s="77"/>
      <c r="H9" s="77"/>
      <c r="I9" s="78"/>
      <c r="J9" s="79"/>
      <c r="K9" s="332" t="s">
        <v>1266</v>
      </c>
      <c r="L9" s="332"/>
      <c r="M9" s="332"/>
      <c r="N9" s="339" t="s">
        <v>1267</v>
      </c>
      <c r="O9" s="339"/>
      <c r="P9" s="340"/>
    </row>
    <row r="10" spans="1:16" s="75" customFormat="1" ht="24" x14ac:dyDescent="0.2">
      <c r="C10" s="80"/>
      <c r="D10" s="81" t="s">
        <v>997</v>
      </c>
      <c r="E10" s="81" t="s">
        <v>976</v>
      </c>
      <c r="F10" s="81" t="s">
        <v>977</v>
      </c>
      <c r="G10" s="81" t="s">
        <v>64</v>
      </c>
      <c r="H10" s="82" t="s">
        <v>65</v>
      </c>
      <c r="I10" s="83" t="s">
        <v>998</v>
      </c>
      <c r="J10" s="84" t="s">
        <v>978</v>
      </c>
      <c r="K10" s="218" t="s">
        <v>999</v>
      </c>
      <c r="L10" s="219" t="s">
        <v>1260</v>
      </c>
      <c r="M10" s="220" t="s">
        <v>978</v>
      </c>
      <c r="N10" s="263" t="s">
        <v>1264</v>
      </c>
      <c r="O10" s="264" t="s">
        <v>1260</v>
      </c>
      <c r="P10" s="265" t="s">
        <v>978</v>
      </c>
    </row>
    <row r="12" spans="1:16" s="109" customFormat="1" ht="15.75" x14ac:dyDescent="0.25">
      <c r="A12" s="97"/>
      <c r="B12" s="97"/>
      <c r="C12" s="98" t="s">
        <v>658</v>
      </c>
      <c r="D12" s="97"/>
      <c r="E12" s="97"/>
      <c r="F12" s="97"/>
      <c r="G12" s="97"/>
      <c r="H12" s="97"/>
      <c r="I12" s="97"/>
      <c r="J12" s="99">
        <v>0</v>
      </c>
    </row>
    <row r="13" spans="1:16" s="110" customFormat="1" ht="15" x14ac:dyDescent="0.2">
      <c r="D13" s="111" t="s">
        <v>3</v>
      </c>
      <c r="E13" s="112" t="s">
        <v>66</v>
      </c>
      <c r="F13" s="112" t="s">
        <v>476</v>
      </c>
      <c r="J13" s="113">
        <v>0</v>
      </c>
    </row>
    <row r="14" spans="1:16" s="110" customFormat="1" ht="12.75" x14ac:dyDescent="0.2">
      <c r="D14" s="111" t="s">
        <v>3</v>
      </c>
      <c r="E14" s="114" t="s">
        <v>4</v>
      </c>
      <c r="F14" s="114" t="s">
        <v>659</v>
      </c>
      <c r="J14" s="115">
        <v>0</v>
      </c>
    </row>
    <row r="15" spans="1:16" s="110" customFormat="1" ht="12.75" x14ac:dyDescent="0.2">
      <c r="D15" s="111" t="s">
        <v>3</v>
      </c>
      <c r="E15" s="114" t="s">
        <v>7</v>
      </c>
      <c r="F15" s="114" t="s">
        <v>660</v>
      </c>
      <c r="J15" s="115">
        <v>0</v>
      </c>
      <c r="K15" s="103" t="str">
        <f>IF(ISBLANK(H15),"",SUM(#REF!+#REF!+#REF!+#REF!+#REF!+#REF!+#REF!+#REF!+#REF!+#REF!+#REF!,#REF!,#REF!,#REF!,#REF!,#REF!,#REF!,#REF!,#REF!,#REF!,#REF!,#REF!))</f>
        <v/>
      </c>
      <c r="L15" s="104" t="str">
        <f>IF(ISBLANK(H15),"",SUM(#REF!+#REF!+#REF!+#REF!+#REF!+#REF!+#REF!+#REF!+#REF!+#REF!+#REF!,#REF!,#REF!,#REF!,#REF!,#REF!,#REF!,#REF!,#REF!,#REF!,#REF!,#REF!,#REF!))</f>
        <v/>
      </c>
      <c r="M15" s="296">
        <f>SUM(M16:M41)</f>
        <v>0</v>
      </c>
      <c r="N15" s="106" t="str">
        <f t="shared" ref="N15:N46" si="0">IF(ISBLANK(H15),"",H15-K15)</f>
        <v/>
      </c>
      <c r="O15" s="107" t="str">
        <f t="shared" ref="O15:O46" si="1">IF(ISBLANK(H15),"",J15-L15)</f>
        <v/>
      </c>
      <c r="P15" s="296">
        <f>SUM(P16:P41)</f>
        <v>0</v>
      </c>
    </row>
    <row r="16" spans="1:16" s="109" customFormat="1" ht="12" x14ac:dyDescent="0.2">
      <c r="A16" s="97"/>
      <c r="B16" s="116"/>
      <c r="C16" s="117" t="s">
        <v>7</v>
      </c>
      <c r="D16" s="117" t="s">
        <v>69</v>
      </c>
      <c r="E16" s="118" t="s">
        <v>661</v>
      </c>
      <c r="F16" s="119" t="s">
        <v>662</v>
      </c>
      <c r="G16" s="120" t="s">
        <v>61</v>
      </c>
      <c r="H16" s="121">
        <v>25</v>
      </c>
      <c r="I16" s="122">
        <v>0</v>
      </c>
      <c r="J16" s="122">
        <v>0</v>
      </c>
      <c r="K16" s="85">
        <v>0</v>
      </c>
      <c r="L16" s="86">
        <f>I16</f>
        <v>0</v>
      </c>
      <c r="M16" s="277">
        <f>K16*L16</f>
        <v>0</v>
      </c>
      <c r="N16" s="87">
        <f t="shared" si="0"/>
        <v>25</v>
      </c>
      <c r="O16" s="88">
        <f t="shared" si="1"/>
        <v>0</v>
      </c>
      <c r="P16" s="278">
        <f>N16*O16</f>
        <v>0</v>
      </c>
    </row>
    <row r="17" spans="1:16" s="109" customFormat="1" ht="12" x14ac:dyDescent="0.2">
      <c r="A17" s="97"/>
      <c r="B17" s="116"/>
      <c r="C17" s="117" t="s">
        <v>8</v>
      </c>
      <c r="D17" s="117" t="s">
        <v>69</v>
      </c>
      <c r="E17" s="118" t="s">
        <v>663</v>
      </c>
      <c r="F17" s="119" t="s">
        <v>664</v>
      </c>
      <c r="G17" s="120" t="s">
        <v>665</v>
      </c>
      <c r="H17" s="121">
        <v>3</v>
      </c>
      <c r="I17" s="122">
        <v>0</v>
      </c>
      <c r="J17" s="122">
        <v>0</v>
      </c>
      <c r="K17" s="85">
        <v>0</v>
      </c>
      <c r="L17" s="86">
        <f t="shared" ref="L17:L75" si="2">I17</f>
        <v>0</v>
      </c>
      <c r="M17" s="277">
        <f t="shared" ref="M17:M75" si="3">K17*L17</f>
        <v>0</v>
      </c>
      <c r="N17" s="87">
        <f t="shared" si="0"/>
        <v>3</v>
      </c>
      <c r="O17" s="88">
        <f t="shared" si="1"/>
        <v>0</v>
      </c>
      <c r="P17" s="278">
        <f t="shared" ref="P17:P75" si="4">N17*O17</f>
        <v>0</v>
      </c>
    </row>
    <row r="18" spans="1:16" s="109" customFormat="1" ht="12" x14ac:dyDescent="0.2">
      <c r="A18" s="97"/>
      <c r="B18" s="116"/>
      <c r="C18" s="117" t="s">
        <v>76</v>
      </c>
      <c r="D18" s="117" t="s">
        <v>69</v>
      </c>
      <c r="E18" s="118" t="s">
        <v>666</v>
      </c>
      <c r="F18" s="119" t="s">
        <v>667</v>
      </c>
      <c r="G18" s="120" t="s">
        <v>665</v>
      </c>
      <c r="H18" s="121">
        <v>55</v>
      </c>
      <c r="I18" s="122">
        <v>0</v>
      </c>
      <c r="J18" s="122">
        <v>0</v>
      </c>
      <c r="K18" s="85">
        <v>0</v>
      </c>
      <c r="L18" s="86">
        <f t="shared" si="2"/>
        <v>0</v>
      </c>
      <c r="M18" s="277">
        <f t="shared" si="3"/>
        <v>0</v>
      </c>
      <c r="N18" s="87">
        <f t="shared" si="0"/>
        <v>55</v>
      </c>
      <c r="O18" s="88">
        <f t="shared" si="1"/>
        <v>0</v>
      </c>
      <c r="P18" s="278">
        <f t="shared" si="4"/>
        <v>0</v>
      </c>
    </row>
    <row r="19" spans="1:16" s="109" customFormat="1" ht="12" x14ac:dyDescent="0.2">
      <c r="A19" s="97"/>
      <c r="B19" s="116"/>
      <c r="C19" s="117" t="s">
        <v>73</v>
      </c>
      <c r="D19" s="117" t="s">
        <v>69</v>
      </c>
      <c r="E19" s="118" t="s">
        <v>668</v>
      </c>
      <c r="F19" s="119" t="s">
        <v>669</v>
      </c>
      <c r="G19" s="120" t="s">
        <v>665</v>
      </c>
      <c r="H19" s="121">
        <v>8</v>
      </c>
      <c r="I19" s="122">
        <v>0</v>
      </c>
      <c r="J19" s="122">
        <v>0</v>
      </c>
      <c r="K19" s="85">
        <v>0</v>
      </c>
      <c r="L19" s="86">
        <f t="shared" si="2"/>
        <v>0</v>
      </c>
      <c r="M19" s="277">
        <f t="shared" si="3"/>
        <v>0</v>
      </c>
      <c r="N19" s="87">
        <f t="shared" si="0"/>
        <v>8</v>
      </c>
      <c r="O19" s="88">
        <f t="shared" si="1"/>
        <v>0</v>
      </c>
      <c r="P19" s="278">
        <f t="shared" si="4"/>
        <v>0</v>
      </c>
    </row>
    <row r="20" spans="1:16" s="109" customFormat="1" ht="12" x14ac:dyDescent="0.2">
      <c r="A20" s="97"/>
      <c r="B20" s="116"/>
      <c r="C20" s="117" t="s">
        <v>81</v>
      </c>
      <c r="D20" s="117" t="s">
        <v>69</v>
      </c>
      <c r="E20" s="118" t="s">
        <v>670</v>
      </c>
      <c r="F20" s="119" t="s">
        <v>671</v>
      </c>
      <c r="G20" s="120" t="s">
        <v>665</v>
      </c>
      <c r="H20" s="121">
        <v>1</v>
      </c>
      <c r="I20" s="122">
        <v>0</v>
      </c>
      <c r="J20" s="122">
        <v>0</v>
      </c>
      <c r="K20" s="85">
        <v>0</v>
      </c>
      <c r="L20" s="86">
        <f t="shared" si="2"/>
        <v>0</v>
      </c>
      <c r="M20" s="277">
        <f t="shared" si="3"/>
        <v>0</v>
      </c>
      <c r="N20" s="87">
        <f t="shared" si="0"/>
        <v>1</v>
      </c>
      <c r="O20" s="88">
        <f t="shared" si="1"/>
        <v>0</v>
      </c>
      <c r="P20" s="278">
        <f t="shared" si="4"/>
        <v>0</v>
      </c>
    </row>
    <row r="21" spans="1:16" s="109" customFormat="1" ht="24" x14ac:dyDescent="0.2">
      <c r="A21" s="97"/>
      <c r="B21" s="116"/>
      <c r="C21" s="117" t="s">
        <v>84</v>
      </c>
      <c r="D21" s="117" t="s">
        <v>69</v>
      </c>
      <c r="E21" s="118" t="s">
        <v>672</v>
      </c>
      <c r="F21" s="119" t="s">
        <v>673</v>
      </c>
      <c r="G21" s="120" t="s">
        <v>665</v>
      </c>
      <c r="H21" s="121">
        <v>1</v>
      </c>
      <c r="I21" s="122">
        <v>0</v>
      </c>
      <c r="J21" s="122">
        <v>0</v>
      </c>
      <c r="K21" s="85">
        <v>0</v>
      </c>
      <c r="L21" s="86">
        <f t="shared" si="2"/>
        <v>0</v>
      </c>
      <c r="M21" s="277">
        <f t="shared" si="3"/>
        <v>0</v>
      </c>
      <c r="N21" s="87">
        <f t="shared" si="0"/>
        <v>1</v>
      </c>
      <c r="O21" s="88">
        <f t="shared" si="1"/>
        <v>0</v>
      </c>
      <c r="P21" s="278">
        <f t="shared" si="4"/>
        <v>0</v>
      </c>
    </row>
    <row r="22" spans="1:16" s="109" customFormat="1" ht="12" x14ac:dyDescent="0.2">
      <c r="A22" s="97"/>
      <c r="B22" s="116"/>
      <c r="C22" s="117" t="s">
        <v>87</v>
      </c>
      <c r="D22" s="117" t="s">
        <v>69</v>
      </c>
      <c r="E22" s="118" t="s">
        <v>674</v>
      </c>
      <c r="F22" s="119" t="s">
        <v>675</v>
      </c>
      <c r="G22" s="120" t="s">
        <v>665</v>
      </c>
      <c r="H22" s="121">
        <v>1</v>
      </c>
      <c r="I22" s="122">
        <v>0</v>
      </c>
      <c r="J22" s="122">
        <v>0</v>
      </c>
      <c r="K22" s="85">
        <v>0</v>
      </c>
      <c r="L22" s="86">
        <f t="shared" si="2"/>
        <v>0</v>
      </c>
      <c r="M22" s="277">
        <f t="shared" si="3"/>
        <v>0</v>
      </c>
      <c r="N22" s="87">
        <f t="shared" si="0"/>
        <v>1</v>
      </c>
      <c r="O22" s="88">
        <f t="shared" si="1"/>
        <v>0</v>
      </c>
      <c r="P22" s="278">
        <f t="shared" si="4"/>
        <v>0</v>
      </c>
    </row>
    <row r="23" spans="1:16" s="109" customFormat="1" ht="24" x14ac:dyDescent="0.2">
      <c r="A23" s="97"/>
      <c r="B23" s="116"/>
      <c r="C23" s="117" t="s">
        <v>90</v>
      </c>
      <c r="D23" s="117" t="s">
        <v>69</v>
      </c>
      <c r="E23" s="118" t="s">
        <v>676</v>
      </c>
      <c r="F23" s="119" t="s">
        <v>677</v>
      </c>
      <c r="G23" s="120" t="s">
        <v>665</v>
      </c>
      <c r="H23" s="121">
        <v>1</v>
      </c>
      <c r="I23" s="122">
        <v>0</v>
      </c>
      <c r="J23" s="122">
        <v>0</v>
      </c>
      <c r="K23" s="85">
        <v>0</v>
      </c>
      <c r="L23" s="86">
        <f t="shared" si="2"/>
        <v>0</v>
      </c>
      <c r="M23" s="277">
        <f t="shared" si="3"/>
        <v>0</v>
      </c>
      <c r="N23" s="87">
        <f t="shared" si="0"/>
        <v>1</v>
      </c>
      <c r="O23" s="88">
        <f t="shared" si="1"/>
        <v>0</v>
      </c>
      <c r="P23" s="278">
        <f t="shared" si="4"/>
        <v>0</v>
      </c>
    </row>
    <row r="24" spans="1:16" s="109" customFormat="1" ht="12" x14ac:dyDescent="0.2">
      <c r="A24" s="97"/>
      <c r="B24" s="116"/>
      <c r="C24" s="117" t="s">
        <v>93</v>
      </c>
      <c r="D24" s="117" t="s">
        <v>69</v>
      </c>
      <c r="E24" s="118" t="s">
        <v>678</v>
      </c>
      <c r="F24" s="119" t="s">
        <v>679</v>
      </c>
      <c r="G24" s="120" t="s">
        <v>665</v>
      </c>
      <c r="H24" s="121">
        <v>1</v>
      </c>
      <c r="I24" s="122">
        <v>0</v>
      </c>
      <c r="J24" s="122">
        <v>0</v>
      </c>
      <c r="K24" s="85">
        <v>0</v>
      </c>
      <c r="L24" s="86">
        <f t="shared" si="2"/>
        <v>0</v>
      </c>
      <c r="M24" s="277">
        <f t="shared" si="3"/>
        <v>0</v>
      </c>
      <c r="N24" s="87">
        <f t="shared" si="0"/>
        <v>1</v>
      </c>
      <c r="O24" s="88">
        <f t="shared" si="1"/>
        <v>0</v>
      </c>
      <c r="P24" s="278">
        <f t="shared" si="4"/>
        <v>0</v>
      </c>
    </row>
    <row r="25" spans="1:16" s="109" customFormat="1" ht="48" x14ac:dyDescent="0.2">
      <c r="A25" s="97"/>
      <c r="B25" s="116"/>
      <c r="C25" s="117" t="s">
        <v>26</v>
      </c>
      <c r="D25" s="117" t="s">
        <v>69</v>
      </c>
      <c r="E25" s="118" t="s">
        <v>680</v>
      </c>
      <c r="F25" s="119" t="s">
        <v>681</v>
      </c>
      <c r="G25" s="120" t="s">
        <v>61</v>
      </c>
      <c r="H25" s="121">
        <v>7</v>
      </c>
      <c r="I25" s="122">
        <v>0</v>
      </c>
      <c r="J25" s="122">
        <v>0</v>
      </c>
      <c r="K25" s="85">
        <v>0</v>
      </c>
      <c r="L25" s="86">
        <f t="shared" si="2"/>
        <v>0</v>
      </c>
      <c r="M25" s="277">
        <f t="shared" si="3"/>
        <v>0</v>
      </c>
      <c r="N25" s="87">
        <f t="shared" si="0"/>
        <v>7</v>
      </c>
      <c r="O25" s="88">
        <f t="shared" si="1"/>
        <v>0</v>
      </c>
      <c r="P25" s="278">
        <f t="shared" si="4"/>
        <v>0</v>
      </c>
    </row>
    <row r="26" spans="1:16" s="109" customFormat="1" ht="12" x14ac:dyDescent="0.2">
      <c r="A26" s="97"/>
      <c r="B26" s="116"/>
      <c r="C26" s="117" t="s">
        <v>28</v>
      </c>
      <c r="D26" s="117" t="s">
        <v>69</v>
      </c>
      <c r="E26" s="118" t="s">
        <v>682</v>
      </c>
      <c r="F26" s="119" t="s">
        <v>683</v>
      </c>
      <c r="G26" s="120" t="s">
        <v>665</v>
      </c>
      <c r="H26" s="121">
        <v>1</v>
      </c>
      <c r="I26" s="122">
        <v>0</v>
      </c>
      <c r="J26" s="122">
        <v>0</v>
      </c>
      <c r="K26" s="85">
        <v>0</v>
      </c>
      <c r="L26" s="86">
        <f t="shared" si="2"/>
        <v>0</v>
      </c>
      <c r="M26" s="277">
        <f t="shared" si="3"/>
        <v>0</v>
      </c>
      <c r="N26" s="87">
        <f t="shared" si="0"/>
        <v>1</v>
      </c>
      <c r="O26" s="88">
        <f t="shared" si="1"/>
        <v>0</v>
      </c>
      <c r="P26" s="278">
        <f t="shared" si="4"/>
        <v>0</v>
      </c>
    </row>
    <row r="27" spans="1:16" s="109" customFormat="1" ht="48" x14ac:dyDescent="0.2">
      <c r="A27" s="97"/>
      <c r="B27" s="116"/>
      <c r="C27" s="117" t="s">
        <v>30</v>
      </c>
      <c r="D27" s="117" t="s">
        <v>69</v>
      </c>
      <c r="E27" s="118" t="s">
        <v>684</v>
      </c>
      <c r="F27" s="119" t="s">
        <v>685</v>
      </c>
      <c r="G27" s="120" t="s">
        <v>61</v>
      </c>
      <c r="H27" s="121">
        <v>21</v>
      </c>
      <c r="I27" s="122">
        <v>0</v>
      </c>
      <c r="J27" s="122">
        <v>0</v>
      </c>
      <c r="K27" s="85">
        <v>0</v>
      </c>
      <c r="L27" s="86">
        <f t="shared" si="2"/>
        <v>0</v>
      </c>
      <c r="M27" s="277">
        <f t="shared" si="3"/>
        <v>0</v>
      </c>
      <c r="N27" s="87">
        <f t="shared" si="0"/>
        <v>21</v>
      </c>
      <c r="O27" s="88">
        <f t="shared" si="1"/>
        <v>0</v>
      </c>
      <c r="P27" s="278">
        <f t="shared" si="4"/>
        <v>0</v>
      </c>
    </row>
    <row r="28" spans="1:16" s="109" customFormat="1" ht="48" x14ac:dyDescent="0.2">
      <c r="A28" s="97"/>
      <c r="B28" s="116"/>
      <c r="C28" s="117" t="s">
        <v>32</v>
      </c>
      <c r="D28" s="117" t="s">
        <v>69</v>
      </c>
      <c r="E28" s="118" t="s">
        <v>686</v>
      </c>
      <c r="F28" s="119" t="s">
        <v>687</v>
      </c>
      <c r="G28" s="120" t="s">
        <v>61</v>
      </c>
      <c r="H28" s="121">
        <v>2</v>
      </c>
      <c r="I28" s="122">
        <v>0</v>
      </c>
      <c r="J28" s="122">
        <v>0</v>
      </c>
      <c r="K28" s="85">
        <v>0</v>
      </c>
      <c r="L28" s="86">
        <f t="shared" si="2"/>
        <v>0</v>
      </c>
      <c r="M28" s="277">
        <f t="shared" si="3"/>
        <v>0</v>
      </c>
      <c r="N28" s="87">
        <f t="shared" si="0"/>
        <v>2</v>
      </c>
      <c r="O28" s="88">
        <f t="shared" si="1"/>
        <v>0</v>
      </c>
      <c r="P28" s="278">
        <f t="shared" si="4"/>
        <v>0</v>
      </c>
    </row>
    <row r="29" spans="1:16" s="109" customFormat="1" ht="48" x14ac:dyDescent="0.2">
      <c r="A29" s="97"/>
      <c r="B29" s="116"/>
      <c r="C29" s="117" t="s">
        <v>34</v>
      </c>
      <c r="D29" s="117" t="s">
        <v>69</v>
      </c>
      <c r="E29" s="118" t="s">
        <v>688</v>
      </c>
      <c r="F29" s="119" t="s">
        <v>689</v>
      </c>
      <c r="G29" s="120" t="s">
        <v>61</v>
      </c>
      <c r="H29" s="121">
        <v>5</v>
      </c>
      <c r="I29" s="122">
        <v>0</v>
      </c>
      <c r="J29" s="122">
        <v>0</v>
      </c>
      <c r="K29" s="85">
        <v>0</v>
      </c>
      <c r="L29" s="86">
        <f t="shared" si="2"/>
        <v>0</v>
      </c>
      <c r="M29" s="277">
        <f t="shared" si="3"/>
        <v>0</v>
      </c>
      <c r="N29" s="87">
        <f t="shared" si="0"/>
        <v>5</v>
      </c>
      <c r="O29" s="88">
        <f t="shared" si="1"/>
        <v>0</v>
      </c>
      <c r="P29" s="278">
        <f t="shared" si="4"/>
        <v>0</v>
      </c>
    </row>
    <row r="30" spans="1:16" s="109" customFormat="1" ht="48" x14ac:dyDescent="0.2">
      <c r="A30" s="97"/>
      <c r="B30" s="116"/>
      <c r="C30" s="117" t="s">
        <v>1</v>
      </c>
      <c r="D30" s="117" t="s">
        <v>69</v>
      </c>
      <c r="E30" s="118" t="s">
        <v>690</v>
      </c>
      <c r="F30" s="119" t="s">
        <v>689</v>
      </c>
      <c r="G30" s="120" t="s">
        <v>61</v>
      </c>
      <c r="H30" s="121">
        <v>2</v>
      </c>
      <c r="I30" s="122">
        <v>0</v>
      </c>
      <c r="J30" s="122">
        <v>0</v>
      </c>
      <c r="K30" s="85">
        <v>0</v>
      </c>
      <c r="L30" s="86">
        <f t="shared" si="2"/>
        <v>0</v>
      </c>
      <c r="M30" s="277">
        <f t="shared" si="3"/>
        <v>0</v>
      </c>
      <c r="N30" s="87">
        <f t="shared" si="0"/>
        <v>2</v>
      </c>
      <c r="O30" s="88">
        <f t="shared" si="1"/>
        <v>0</v>
      </c>
      <c r="P30" s="278">
        <f t="shared" si="4"/>
        <v>0</v>
      </c>
    </row>
    <row r="31" spans="1:16" s="109" customFormat="1" ht="12" x14ac:dyDescent="0.2">
      <c r="A31" s="97"/>
      <c r="B31" s="116"/>
      <c r="C31" s="117" t="s">
        <v>37</v>
      </c>
      <c r="D31" s="117" t="s">
        <v>69</v>
      </c>
      <c r="E31" s="118" t="s">
        <v>691</v>
      </c>
      <c r="F31" s="119" t="s">
        <v>692</v>
      </c>
      <c r="G31" s="120" t="s">
        <v>61</v>
      </c>
      <c r="H31" s="121">
        <v>40</v>
      </c>
      <c r="I31" s="122">
        <v>0</v>
      </c>
      <c r="J31" s="122">
        <v>0</v>
      </c>
      <c r="K31" s="85">
        <v>0</v>
      </c>
      <c r="L31" s="86">
        <f t="shared" si="2"/>
        <v>0</v>
      </c>
      <c r="M31" s="277">
        <f t="shared" si="3"/>
        <v>0</v>
      </c>
      <c r="N31" s="87">
        <f t="shared" si="0"/>
        <v>40</v>
      </c>
      <c r="O31" s="88">
        <f t="shared" si="1"/>
        <v>0</v>
      </c>
      <c r="P31" s="278">
        <f t="shared" si="4"/>
        <v>0</v>
      </c>
    </row>
    <row r="32" spans="1:16" s="109" customFormat="1" ht="12" x14ac:dyDescent="0.2">
      <c r="A32" s="97"/>
      <c r="B32" s="116"/>
      <c r="C32" s="117" t="s">
        <v>39</v>
      </c>
      <c r="D32" s="117" t="s">
        <v>69</v>
      </c>
      <c r="E32" s="118" t="s">
        <v>693</v>
      </c>
      <c r="F32" s="119" t="s">
        <v>694</v>
      </c>
      <c r="G32" s="120" t="s">
        <v>61</v>
      </c>
      <c r="H32" s="121">
        <v>8</v>
      </c>
      <c r="I32" s="122">
        <v>0</v>
      </c>
      <c r="J32" s="122">
        <v>0</v>
      </c>
      <c r="K32" s="85">
        <v>0</v>
      </c>
      <c r="L32" s="86">
        <f t="shared" si="2"/>
        <v>0</v>
      </c>
      <c r="M32" s="277">
        <f t="shared" si="3"/>
        <v>0</v>
      </c>
      <c r="N32" s="87">
        <f t="shared" si="0"/>
        <v>8</v>
      </c>
      <c r="O32" s="88">
        <f t="shared" si="1"/>
        <v>0</v>
      </c>
      <c r="P32" s="278">
        <f t="shared" si="4"/>
        <v>0</v>
      </c>
    </row>
    <row r="33" spans="1:16" s="109" customFormat="1" ht="12" x14ac:dyDescent="0.2">
      <c r="A33" s="97"/>
      <c r="B33" s="116"/>
      <c r="C33" s="117" t="s">
        <v>41</v>
      </c>
      <c r="D33" s="117" t="s">
        <v>69</v>
      </c>
      <c r="E33" s="118" t="s">
        <v>695</v>
      </c>
      <c r="F33" s="119" t="s">
        <v>696</v>
      </c>
      <c r="G33" s="120" t="s">
        <v>61</v>
      </c>
      <c r="H33" s="121">
        <v>2</v>
      </c>
      <c r="I33" s="122">
        <v>0</v>
      </c>
      <c r="J33" s="122">
        <v>0</v>
      </c>
      <c r="K33" s="85">
        <v>0</v>
      </c>
      <c r="L33" s="86">
        <f t="shared" si="2"/>
        <v>0</v>
      </c>
      <c r="M33" s="277">
        <f t="shared" si="3"/>
        <v>0</v>
      </c>
      <c r="N33" s="87">
        <f t="shared" si="0"/>
        <v>2</v>
      </c>
      <c r="O33" s="88">
        <f t="shared" si="1"/>
        <v>0</v>
      </c>
      <c r="P33" s="278">
        <f t="shared" si="4"/>
        <v>0</v>
      </c>
    </row>
    <row r="34" spans="1:16" s="109" customFormat="1" ht="48" x14ac:dyDescent="0.2">
      <c r="A34" s="97"/>
      <c r="B34" s="116"/>
      <c r="C34" s="117" t="s">
        <v>114</v>
      </c>
      <c r="D34" s="117" t="s">
        <v>69</v>
      </c>
      <c r="E34" s="118" t="s">
        <v>697</v>
      </c>
      <c r="F34" s="119" t="s">
        <v>698</v>
      </c>
      <c r="G34" s="120" t="s">
        <v>61</v>
      </c>
      <c r="H34" s="121">
        <v>22</v>
      </c>
      <c r="I34" s="122">
        <v>0</v>
      </c>
      <c r="J34" s="122">
        <v>0</v>
      </c>
      <c r="K34" s="85">
        <v>0</v>
      </c>
      <c r="L34" s="86">
        <f t="shared" si="2"/>
        <v>0</v>
      </c>
      <c r="M34" s="277">
        <f t="shared" si="3"/>
        <v>0</v>
      </c>
      <c r="N34" s="87">
        <f t="shared" si="0"/>
        <v>22</v>
      </c>
      <c r="O34" s="88">
        <f t="shared" si="1"/>
        <v>0</v>
      </c>
      <c r="P34" s="278">
        <f t="shared" si="4"/>
        <v>0</v>
      </c>
    </row>
    <row r="35" spans="1:16" s="109" customFormat="1" ht="24" x14ac:dyDescent="0.2">
      <c r="A35" s="97"/>
      <c r="B35" s="116"/>
      <c r="C35" s="117" t="s">
        <v>117</v>
      </c>
      <c r="D35" s="117" t="s">
        <v>69</v>
      </c>
      <c r="E35" s="118" t="s">
        <v>699</v>
      </c>
      <c r="F35" s="119" t="s">
        <v>700</v>
      </c>
      <c r="G35" s="120" t="s">
        <v>665</v>
      </c>
      <c r="H35" s="121">
        <v>3</v>
      </c>
      <c r="I35" s="122">
        <v>0</v>
      </c>
      <c r="J35" s="122">
        <v>0</v>
      </c>
      <c r="K35" s="85">
        <v>0</v>
      </c>
      <c r="L35" s="86">
        <f t="shared" si="2"/>
        <v>0</v>
      </c>
      <c r="M35" s="277">
        <f t="shared" si="3"/>
        <v>0</v>
      </c>
      <c r="N35" s="87">
        <f t="shared" si="0"/>
        <v>3</v>
      </c>
      <c r="O35" s="88">
        <f t="shared" si="1"/>
        <v>0</v>
      </c>
      <c r="P35" s="278">
        <f t="shared" si="4"/>
        <v>0</v>
      </c>
    </row>
    <row r="36" spans="1:16" s="109" customFormat="1" ht="24" x14ac:dyDescent="0.2">
      <c r="A36" s="97"/>
      <c r="B36" s="116"/>
      <c r="C36" s="117" t="s">
        <v>0</v>
      </c>
      <c r="D36" s="117" t="s">
        <v>69</v>
      </c>
      <c r="E36" s="118" t="s">
        <v>701</v>
      </c>
      <c r="F36" s="119" t="s">
        <v>702</v>
      </c>
      <c r="G36" s="120" t="s">
        <v>665</v>
      </c>
      <c r="H36" s="121">
        <v>1</v>
      </c>
      <c r="I36" s="122">
        <v>0</v>
      </c>
      <c r="J36" s="122">
        <v>0</v>
      </c>
      <c r="K36" s="85">
        <v>0</v>
      </c>
      <c r="L36" s="86">
        <f t="shared" si="2"/>
        <v>0</v>
      </c>
      <c r="M36" s="277">
        <f t="shared" si="3"/>
        <v>0</v>
      </c>
      <c r="N36" s="87">
        <f t="shared" si="0"/>
        <v>1</v>
      </c>
      <c r="O36" s="88">
        <f t="shared" si="1"/>
        <v>0</v>
      </c>
      <c r="P36" s="278">
        <f t="shared" si="4"/>
        <v>0</v>
      </c>
    </row>
    <row r="37" spans="1:16" s="109" customFormat="1" ht="12" x14ac:dyDescent="0.2">
      <c r="A37" s="97"/>
      <c r="B37" s="116"/>
      <c r="C37" s="117" t="s">
        <v>123</v>
      </c>
      <c r="D37" s="117" t="s">
        <v>69</v>
      </c>
      <c r="E37" s="118" t="s">
        <v>703</v>
      </c>
      <c r="F37" s="119" t="s">
        <v>704</v>
      </c>
      <c r="G37" s="120" t="s">
        <v>665</v>
      </c>
      <c r="H37" s="121">
        <v>3</v>
      </c>
      <c r="I37" s="122">
        <v>0</v>
      </c>
      <c r="J37" s="122">
        <v>0</v>
      </c>
      <c r="K37" s="85">
        <v>0</v>
      </c>
      <c r="L37" s="86">
        <f t="shared" si="2"/>
        <v>0</v>
      </c>
      <c r="M37" s="277">
        <f t="shared" si="3"/>
        <v>0</v>
      </c>
      <c r="N37" s="87">
        <f t="shared" si="0"/>
        <v>3</v>
      </c>
      <c r="O37" s="88">
        <f t="shared" si="1"/>
        <v>0</v>
      </c>
      <c r="P37" s="278">
        <f t="shared" si="4"/>
        <v>0</v>
      </c>
    </row>
    <row r="38" spans="1:16" s="109" customFormat="1" ht="12" x14ac:dyDescent="0.2">
      <c r="A38" s="97"/>
      <c r="B38" s="116"/>
      <c r="C38" s="117" t="s">
        <v>126</v>
      </c>
      <c r="D38" s="117" t="s">
        <v>69</v>
      </c>
      <c r="E38" s="118" t="s">
        <v>705</v>
      </c>
      <c r="F38" s="119" t="s">
        <v>706</v>
      </c>
      <c r="G38" s="120" t="s">
        <v>665</v>
      </c>
      <c r="H38" s="121">
        <v>1</v>
      </c>
      <c r="I38" s="122">
        <v>0</v>
      </c>
      <c r="J38" s="122">
        <v>0</v>
      </c>
      <c r="K38" s="85">
        <v>0</v>
      </c>
      <c r="L38" s="86">
        <f t="shared" si="2"/>
        <v>0</v>
      </c>
      <c r="M38" s="277">
        <f t="shared" si="3"/>
        <v>0</v>
      </c>
      <c r="N38" s="87">
        <f t="shared" si="0"/>
        <v>1</v>
      </c>
      <c r="O38" s="88">
        <f t="shared" si="1"/>
        <v>0</v>
      </c>
      <c r="P38" s="278">
        <f t="shared" si="4"/>
        <v>0</v>
      </c>
    </row>
    <row r="39" spans="1:16" s="109" customFormat="1" ht="12" x14ac:dyDescent="0.2">
      <c r="A39" s="97"/>
      <c r="B39" s="116"/>
      <c r="C39" s="117" t="s">
        <v>131</v>
      </c>
      <c r="D39" s="117" t="s">
        <v>69</v>
      </c>
      <c r="E39" s="118" t="s">
        <v>707</v>
      </c>
      <c r="F39" s="119" t="s">
        <v>708</v>
      </c>
      <c r="G39" s="120" t="s">
        <v>665</v>
      </c>
      <c r="H39" s="121">
        <v>1</v>
      </c>
      <c r="I39" s="122">
        <v>0</v>
      </c>
      <c r="J39" s="122">
        <v>0</v>
      </c>
      <c r="K39" s="85">
        <v>0</v>
      </c>
      <c r="L39" s="86">
        <f t="shared" si="2"/>
        <v>0</v>
      </c>
      <c r="M39" s="277">
        <f t="shared" si="3"/>
        <v>0</v>
      </c>
      <c r="N39" s="87">
        <f t="shared" si="0"/>
        <v>1</v>
      </c>
      <c r="O39" s="88">
        <f t="shared" si="1"/>
        <v>0</v>
      </c>
      <c r="P39" s="278">
        <f t="shared" si="4"/>
        <v>0</v>
      </c>
    </row>
    <row r="40" spans="1:16" s="109" customFormat="1" ht="24" x14ac:dyDescent="0.2">
      <c r="A40" s="97"/>
      <c r="B40" s="116"/>
      <c r="C40" s="117" t="s">
        <v>135</v>
      </c>
      <c r="D40" s="117" t="s">
        <v>69</v>
      </c>
      <c r="E40" s="118" t="s">
        <v>709</v>
      </c>
      <c r="F40" s="119" t="s">
        <v>710</v>
      </c>
      <c r="G40" s="120" t="s">
        <v>665</v>
      </c>
      <c r="H40" s="121">
        <v>1</v>
      </c>
      <c r="I40" s="122">
        <v>0</v>
      </c>
      <c r="J40" s="122">
        <v>0</v>
      </c>
      <c r="K40" s="85">
        <v>0</v>
      </c>
      <c r="L40" s="86">
        <f t="shared" si="2"/>
        <v>0</v>
      </c>
      <c r="M40" s="277">
        <f t="shared" si="3"/>
        <v>0</v>
      </c>
      <c r="N40" s="87">
        <f t="shared" si="0"/>
        <v>1</v>
      </c>
      <c r="O40" s="88">
        <f t="shared" si="1"/>
        <v>0</v>
      </c>
      <c r="P40" s="278">
        <f t="shared" si="4"/>
        <v>0</v>
      </c>
    </row>
    <row r="41" spans="1:16" s="109" customFormat="1" ht="12" x14ac:dyDescent="0.2">
      <c r="A41" s="97"/>
      <c r="B41" s="116"/>
      <c r="C41" s="117" t="s">
        <v>139</v>
      </c>
      <c r="D41" s="117" t="s">
        <v>69</v>
      </c>
      <c r="E41" s="118" t="s">
        <v>711</v>
      </c>
      <c r="F41" s="119" t="s">
        <v>712</v>
      </c>
      <c r="G41" s="120" t="s">
        <v>665</v>
      </c>
      <c r="H41" s="121">
        <v>1</v>
      </c>
      <c r="I41" s="122">
        <v>0</v>
      </c>
      <c r="J41" s="122">
        <v>0</v>
      </c>
      <c r="K41" s="85">
        <v>0</v>
      </c>
      <c r="L41" s="86">
        <f t="shared" si="2"/>
        <v>0</v>
      </c>
      <c r="M41" s="277">
        <f t="shared" si="3"/>
        <v>0</v>
      </c>
      <c r="N41" s="87">
        <f t="shared" si="0"/>
        <v>1</v>
      </c>
      <c r="O41" s="88">
        <f t="shared" si="1"/>
        <v>0</v>
      </c>
      <c r="P41" s="278">
        <f t="shared" si="4"/>
        <v>0</v>
      </c>
    </row>
    <row r="42" spans="1:16" s="110" customFormat="1" ht="12.75" x14ac:dyDescent="0.2">
      <c r="C42" s="129"/>
      <c r="D42" s="130" t="s">
        <v>3</v>
      </c>
      <c r="E42" s="131" t="s">
        <v>8</v>
      </c>
      <c r="F42" s="131" t="s">
        <v>713</v>
      </c>
      <c r="G42" s="129"/>
      <c r="H42" s="129"/>
      <c r="I42" s="129"/>
      <c r="J42" s="132">
        <v>0</v>
      </c>
      <c r="K42" s="85"/>
      <c r="L42" s="86"/>
      <c r="M42" s="277">
        <f t="shared" si="3"/>
        <v>0</v>
      </c>
      <c r="N42" s="87" t="str">
        <f t="shared" si="0"/>
        <v/>
      </c>
      <c r="O42" s="88" t="str">
        <f t="shared" si="1"/>
        <v/>
      </c>
      <c r="P42" s="278">
        <v>0</v>
      </c>
    </row>
    <row r="43" spans="1:16" s="109" customFormat="1" ht="12" x14ac:dyDescent="0.2">
      <c r="A43" s="97"/>
      <c r="B43" s="116"/>
      <c r="C43" s="123" t="s">
        <v>142</v>
      </c>
      <c r="D43" s="123" t="s">
        <v>127</v>
      </c>
      <c r="E43" s="124" t="s">
        <v>714</v>
      </c>
      <c r="F43" s="125" t="s">
        <v>715</v>
      </c>
      <c r="G43" s="126" t="s">
        <v>61</v>
      </c>
      <c r="H43" s="127">
        <v>25</v>
      </c>
      <c r="I43" s="128">
        <v>0</v>
      </c>
      <c r="J43" s="128">
        <v>0</v>
      </c>
      <c r="K43" s="85">
        <v>0</v>
      </c>
      <c r="L43" s="86">
        <f t="shared" si="2"/>
        <v>0</v>
      </c>
      <c r="M43" s="277">
        <f t="shared" si="3"/>
        <v>0</v>
      </c>
      <c r="N43" s="87">
        <f t="shared" si="0"/>
        <v>25</v>
      </c>
      <c r="O43" s="88">
        <f t="shared" si="1"/>
        <v>0</v>
      </c>
      <c r="P43" s="278">
        <f t="shared" si="4"/>
        <v>0</v>
      </c>
    </row>
    <row r="44" spans="1:16" s="109" customFormat="1" ht="12" x14ac:dyDescent="0.2">
      <c r="A44" s="97"/>
      <c r="B44" s="116"/>
      <c r="C44" s="123" t="s">
        <v>145</v>
      </c>
      <c r="D44" s="123" t="s">
        <v>127</v>
      </c>
      <c r="E44" s="124" t="s">
        <v>716</v>
      </c>
      <c r="F44" s="125" t="s">
        <v>717</v>
      </c>
      <c r="G44" s="126" t="s">
        <v>665</v>
      </c>
      <c r="H44" s="127">
        <v>3</v>
      </c>
      <c r="I44" s="128">
        <v>0</v>
      </c>
      <c r="J44" s="128">
        <v>0</v>
      </c>
      <c r="K44" s="85">
        <v>0</v>
      </c>
      <c r="L44" s="86">
        <f t="shared" si="2"/>
        <v>0</v>
      </c>
      <c r="M44" s="277">
        <f t="shared" si="3"/>
        <v>0</v>
      </c>
      <c r="N44" s="87">
        <f t="shared" si="0"/>
        <v>3</v>
      </c>
      <c r="O44" s="88">
        <f t="shared" si="1"/>
        <v>0</v>
      </c>
      <c r="P44" s="278">
        <f t="shared" si="4"/>
        <v>0</v>
      </c>
    </row>
    <row r="45" spans="1:16" s="109" customFormat="1" ht="12" x14ac:dyDescent="0.2">
      <c r="A45" s="97"/>
      <c r="B45" s="116"/>
      <c r="C45" s="123" t="s">
        <v>148</v>
      </c>
      <c r="D45" s="123" t="s">
        <v>127</v>
      </c>
      <c r="E45" s="124" t="s">
        <v>718</v>
      </c>
      <c r="F45" s="125" t="s">
        <v>719</v>
      </c>
      <c r="G45" s="126" t="s">
        <v>665</v>
      </c>
      <c r="H45" s="127">
        <v>1</v>
      </c>
      <c r="I45" s="128">
        <v>0</v>
      </c>
      <c r="J45" s="128">
        <v>0</v>
      </c>
      <c r="K45" s="85">
        <v>0</v>
      </c>
      <c r="L45" s="86">
        <f t="shared" si="2"/>
        <v>0</v>
      </c>
      <c r="M45" s="277">
        <f t="shared" si="3"/>
        <v>0</v>
      </c>
      <c r="N45" s="87">
        <f t="shared" si="0"/>
        <v>1</v>
      </c>
      <c r="O45" s="88">
        <f t="shared" si="1"/>
        <v>0</v>
      </c>
      <c r="P45" s="278">
        <f t="shared" si="4"/>
        <v>0</v>
      </c>
    </row>
    <row r="46" spans="1:16" s="109" customFormat="1" ht="24" x14ac:dyDescent="0.2">
      <c r="A46" s="97"/>
      <c r="B46" s="116"/>
      <c r="C46" s="123" t="s">
        <v>151</v>
      </c>
      <c r="D46" s="123" t="s">
        <v>127</v>
      </c>
      <c r="E46" s="124" t="s">
        <v>720</v>
      </c>
      <c r="F46" s="125" t="s">
        <v>721</v>
      </c>
      <c r="G46" s="126" t="s">
        <v>665</v>
      </c>
      <c r="H46" s="127">
        <v>1</v>
      </c>
      <c r="I46" s="128">
        <v>0</v>
      </c>
      <c r="J46" s="128">
        <v>0</v>
      </c>
      <c r="K46" s="85">
        <v>0</v>
      </c>
      <c r="L46" s="86">
        <f t="shared" si="2"/>
        <v>0</v>
      </c>
      <c r="M46" s="277">
        <f t="shared" si="3"/>
        <v>0</v>
      </c>
      <c r="N46" s="87">
        <f t="shared" si="0"/>
        <v>1</v>
      </c>
      <c r="O46" s="88">
        <f t="shared" si="1"/>
        <v>0</v>
      </c>
      <c r="P46" s="278">
        <f t="shared" si="4"/>
        <v>0</v>
      </c>
    </row>
    <row r="47" spans="1:16" s="109" customFormat="1" ht="12" x14ac:dyDescent="0.2">
      <c r="A47" s="97"/>
      <c r="B47" s="116"/>
      <c r="C47" s="123" t="s">
        <v>155</v>
      </c>
      <c r="D47" s="123" t="s">
        <v>127</v>
      </c>
      <c r="E47" s="124" t="s">
        <v>722</v>
      </c>
      <c r="F47" s="125" t="s">
        <v>723</v>
      </c>
      <c r="G47" s="126" t="s">
        <v>665</v>
      </c>
      <c r="H47" s="127">
        <v>1</v>
      </c>
      <c r="I47" s="128">
        <v>0</v>
      </c>
      <c r="J47" s="128">
        <v>0</v>
      </c>
      <c r="K47" s="85">
        <v>0</v>
      </c>
      <c r="L47" s="86">
        <f t="shared" si="2"/>
        <v>0</v>
      </c>
      <c r="M47" s="277">
        <f t="shared" si="3"/>
        <v>0</v>
      </c>
      <c r="N47" s="87">
        <f t="shared" ref="N47:N75" si="5">IF(ISBLANK(H47),"",H47-K47)</f>
        <v>1</v>
      </c>
      <c r="O47" s="88">
        <f t="shared" ref="O47:O75" si="6">IF(ISBLANK(H47),"",J47-L47)</f>
        <v>0</v>
      </c>
      <c r="P47" s="278">
        <f t="shared" si="4"/>
        <v>0</v>
      </c>
    </row>
    <row r="48" spans="1:16" s="109" customFormat="1" ht="12" x14ac:dyDescent="0.2">
      <c r="A48" s="97"/>
      <c r="B48" s="116"/>
      <c r="C48" s="123" t="s">
        <v>158</v>
      </c>
      <c r="D48" s="123" t="s">
        <v>127</v>
      </c>
      <c r="E48" s="124" t="s">
        <v>724</v>
      </c>
      <c r="F48" s="125" t="s">
        <v>725</v>
      </c>
      <c r="G48" s="126" t="s">
        <v>61</v>
      </c>
      <c r="H48" s="127">
        <v>7</v>
      </c>
      <c r="I48" s="128">
        <v>0</v>
      </c>
      <c r="J48" s="128">
        <v>0</v>
      </c>
      <c r="K48" s="85">
        <v>0</v>
      </c>
      <c r="L48" s="86">
        <f t="shared" si="2"/>
        <v>0</v>
      </c>
      <c r="M48" s="277">
        <f t="shared" si="3"/>
        <v>0</v>
      </c>
      <c r="N48" s="87">
        <f t="shared" si="5"/>
        <v>7</v>
      </c>
      <c r="O48" s="88">
        <f t="shared" si="6"/>
        <v>0</v>
      </c>
      <c r="P48" s="278">
        <f t="shared" si="4"/>
        <v>0</v>
      </c>
    </row>
    <row r="49" spans="1:16" s="109" customFormat="1" ht="12" x14ac:dyDescent="0.2">
      <c r="A49" s="97"/>
      <c r="B49" s="116"/>
      <c r="C49" s="123" t="s">
        <v>161</v>
      </c>
      <c r="D49" s="123" t="s">
        <v>127</v>
      </c>
      <c r="E49" s="124" t="s">
        <v>726</v>
      </c>
      <c r="F49" s="125" t="s">
        <v>727</v>
      </c>
      <c r="G49" s="126" t="s">
        <v>665</v>
      </c>
      <c r="H49" s="127">
        <v>1</v>
      </c>
      <c r="I49" s="128">
        <v>0</v>
      </c>
      <c r="J49" s="128">
        <v>0</v>
      </c>
      <c r="K49" s="85">
        <v>0</v>
      </c>
      <c r="L49" s="86">
        <f t="shared" si="2"/>
        <v>0</v>
      </c>
      <c r="M49" s="277">
        <f t="shared" si="3"/>
        <v>0</v>
      </c>
      <c r="N49" s="87">
        <f t="shared" si="5"/>
        <v>1</v>
      </c>
      <c r="O49" s="88">
        <f t="shared" si="6"/>
        <v>0</v>
      </c>
      <c r="P49" s="278">
        <f t="shared" si="4"/>
        <v>0</v>
      </c>
    </row>
    <row r="50" spans="1:16" s="109" customFormat="1" ht="12" x14ac:dyDescent="0.2">
      <c r="A50" s="97"/>
      <c r="B50" s="116"/>
      <c r="C50" s="123" t="s">
        <v>164</v>
      </c>
      <c r="D50" s="123" t="s">
        <v>127</v>
      </c>
      <c r="E50" s="124" t="s">
        <v>728</v>
      </c>
      <c r="F50" s="125" t="s">
        <v>729</v>
      </c>
      <c r="G50" s="126" t="s">
        <v>61</v>
      </c>
      <c r="H50" s="127">
        <v>8</v>
      </c>
      <c r="I50" s="128">
        <v>0</v>
      </c>
      <c r="J50" s="128">
        <v>0</v>
      </c>
      <c r="K50" s="85">
        <v>0</v>
      </c>
      <c r="L50" s="86">
        <f t="shared" si="2"/>
        <v>0</v>
      </c>
      <c r="M50" s="277">
        <f t="shared" si="3"/>
        <v>0</v>
      </c>
      <c r="N50" s="87">
        <f t="shared" si="5"/>
        <v>8</v>
      </c>
      <c r="O50" s="88">
        <f t="shared" si="6"/>
        <v>0</v>
      </c>
      <c r="P50" s="278">
        <f t="shared" si="4"/>
        <v>0</v>
      </c>
    </row>
    <row r="51" spans="1:16" s="109" customFormat="1" ht="12" x14ac:dyDescent="0.2">
      <c r="A51" s="97"/>
      <c r="B51" s="116"/>
      <c r="C51" s="123" t="s">
        <v>167</v>
      </c>
      <c r="D51" s="123" t="s">
        <v>127</v>
      </c>
      <c r="E51" s="124" t="s">
        <v>730</v>
      </c>
      <c r="F51" s="125" t="s">
        <v>731</v>
      </c>
      <c r="G51" s="126" t="s">
        <v>61</v>
      </c>
      <c r="H51" s="127">
        <v>2</v>
      </c>
      <c r="I51" s="128">
        <v>0</v>
      </c>
      <c r="J51" s="128">
        <v>0</v>
      </c>
      <c r="K51" s="85">
        <v>0</v>
      </c>
      <c r="L51" s="86">
        <f t="shared" si="2"/>
        <v>0</v>
      </c>
      <c r="M51" s="277">
        <f t="shared" si="3"/>
        <v>0</v>
      </c>
      <c r="N51" s="87">
        <f t="shared" si="5"/>
        <v>2</v>
      </c>
      <c r="O51" s="88">
        <f t="shared" si="6"/>
        <v>0</v>
      </c>
      <c r="P51" s="278">
        <f t="shared" si="4"/>
        <v>0</v>
      </c>
    </row>
    <row r="52" spans="1:16" s="109" customFormat="1" ht="12" x14ac:dyDescent="0.2">
      <c r="A52" s="97"/>
      <c r="B52" s="116"/>
      <c r="C52" s="123" t="s">
        <v>170</v>
      </c>
      <c r="D52" s="123" t="s">
        <v>127</v>
      </c>
      <c r="E52" s="124" t="s">
        <v>732</v>
      </c>
      <c r="F52" s="125" t="s">
        <v>733</v>
      </c>
      <c r="G52" s="126" t="s">
        <v>61</v>
      </c>
      <c r="H52" s="127">
        <v>19</v>
      </c>
      <c r="I52" s="128">
        <v>0</v>
      </c>
      <c r="J52" s="128">
        <v>0</v>
      </c>
      <c r="K52" s="85">
        <v>0</v>
      </c>
      <c r="L52" s="86">
        <f t="shared" si="2"/>
        <v>0</v>
      </c>
      <c r="M52" s="277">
        <f t="shared" si="3"/>
        <v>0</v>
      </c>
      <c r="N52" s="87">
        <f t="shared" si="5"/>
        <v>19</v>
      </c>
      <c r="O52" s="88">
        <f t="shared" si="6"/>
        <v>0</v>
      </c>
      <c r="P52" s="278">
        <f t="shared" si="4"/>
        <v>0</v>
      </c>
    </row>
    <row r="53" spans="1:16" s="109" customFormat="1" ht="12" x14ac:dyDescent="0.2">
      <c r="A53" s="97"/>
      <c r="B53" s="116"/>
      <c r="C53" s="123" t="s">
        <v>173</v>
      </c>
      <c r="D53" s="123" t="s">
        <v>127</v>
      </c>
      <c r="E53" s="124" t="s">
        <v>734</v>
      </c>
      <c r="F53" s="125" t="s">
        <v>735</v>
      </c>
      <c r="G53" s="126" t="s">
        <v>61</v>
      </c>
      <c r="H53" s="127">
        <v>2</v>
      </c>
      <c r="I53" s="128">
        <v>0</v>
      </c>
      <c r="J53" s="128">
        <v>0</v>
      </c>
      <c r="K53" s="85">
        <v>0</v>
      </c>
      <c r="L53" s="86">
        <f t="shared" si="2"/>
        <v>0</v>
      </c>
      <c r="M53" s="277">
        <f t="shared" si="3"/>
        <v>0</v>
      </c>
      <c r="N53" s="87">
        <f t="shared" si="5"/>
        <v>2</v>
      </c>
      <c r="O53" s="88">
        <f t="shared" si="6"/>
        <v>0</v>
      </c>
      <c r="P53" s="278">
        <f t="shared" si="4"/>
        <v>0</v>
      </c>
    </row>
    <row r="54" spans="1:16" s="109" customFormat="1" ht="12" x14ac:dyDescent="0.2">
      <c r="A54" s="97"/>
      <c r="B54" s="116"/>
      <c r="C54" s="123" t="s">
        <v>176</v>
      </c>
      <c r="D54" s="123" t="s">
        <v>127</v>
      </c>
      <c r="E54" s="124" t="s">
        <v>736</v>
      </c>
      <c r="F54" s="125" t="s">
        <v>737</v>
      </c>
      <c r="G54" s="126" t="s">
        <v>61</v>
      </c>
      <c r="H54" s="127">
        <v>2</v>
      </c>
      <c r="I54" s="128">
        <v>0</v>
      </c>
      <c r="J54" s="128">
        <v>0</v>
      </c>
      <c r="K54" s="85">
        <v>0</v>
      </c>
      <c r="L54" s="86">
        <f t="shared" si="2"/>
        <v>0</v>
      </c>
      <c r="M54" s="277">
        <f t="shared" si="3"/>
        <v>0</v>
      </c>
      <c r="N54" s="87">
        <f t="shared" si="5"/>
        <v>2</v>
      </c>
      <c r="O54" s="88">
        <f t="shared" si="6"/>
        <v>0</v>
      </c>
      <c r="P54" s="278">
        <f t="shared" si="4"/>
        <v>0</v>
      </c>
    </row>
    <row r="55" spans="1:16" s="109" customFormat="1" ht="12" x14ac:dyDescent="0.2">
      <c r="A55" s="97"/>
      <c r="B55" s="116"/>
      <c r="C55" s="123" t="s">
        <v>179</v>
      </c>
      <c r="D55" s="123" t="s">
        <v>127</v>
      </c>
      <c r="E55" s="124" t="s">
        <v>738</v>
      </c>
      <c r="F55" s="125" t="s">
        <v>739</v>
      </c>
      <c r="G55" s="126" t="s">
        <v>61</v>
      </c>
      <c r="H55" s="127">
        <v>5</v>
      </c>
      <c r="I55" s="128">
        <v>0</v>
      </c>
      <c r="J55" s="128">
        <v>0</v>
      </c>
      <c r="K55" s="85">
        <v>0</v>
      </c>
      <c r="L55" s="86">
        <f t="shared" si="2"/>
        <v>0</v>
      </c>
      <c r="M55" s="277">
        <f t="shared" si="3"/>
        <v>0</v>
      </c>
      <c r="N55" s="87">
        <f t="shared" si="5"/>
        <v>5</v>
      </c>
      <c r="O55" s="88">
        <f t="shared" si="6"/>
        <v>0</v>
      </c>
      <c r="P55" s="278">
        <f t="shared" si="4"/>
        <v>0</v>
      </c>
    </row>
    <row r="56" spans="1:16" s="109" customFormat="1" ht="12" x14ac:dyDescent="0.2">
      <c r="A56" s="97"/>
      <c r="B56" s="116"/>
      <c r="C56" s="123" t="s">
        <v>183</v>
      </c>
      <c r="D56" s="123" t="s">
        <v>127</v>
      </c>
      <c r="E56" s="124" t="s">
        <v>740</v>
      </c>
      <c r="F56" s="125" t="s">
        <v>741</v>
      </c>
      <c r="G56" s="126" t="s">
        <v>61</v>
      </c>
      <c r="H56" s="127">
        <v>2</v>
      </c>
      <c r="I56" s="128">
        <v>0</v>
      </c>
      <c r="J56" s="128">
        <v>0</v>
      </c>
      <c r="K56" s="85">
        <v>0</v>
      </c>
      <c r="L56" s="86">
        <f t="shared" si="2"/>
        <v>0</v>
      </c>
      <c r="M56" s="277">
        <f t="shared" si="3"/>
        <v>0</v>
      </c>
      <c r="N56" s="87">
        <f t="shared" si="5"/>
        <v>2</v>
      </c>
      <c r="O56" s="88">
        <f t="shared" si="6"/>
        <v>0</v>
      </c>
      <c r="P56" s="278">
        <f t="shared" si="4"/>
        <v>0</v>
      </c>
    </row>
    <row r="57" spans="1:16" s="109" customFormat="1" ht="24" x14ac:dyDescent="0.2">
      <c r="A57" s="97"/>
      <c r="B57" s="116"/>
      <c r="C57" s="123" t="s">
        <v>186</v>
      </c>
      <c r="D57" s="123" t="s">
        <v>127</v>
      </c>
      <c r="E57" s="124" t="s">
        <v>742</v>
      </c>
      <c r="F57" s="125" t="s">
        <v>743</v>
      </c>
      <c r="G57" s="126" t="s">
        <v>665</v>
      </c>
      <c r="H57" s="127">
        <v>1</v>
      </c>
      <c r="I57" s="128">
        <v>0</v>
      </c>
      <c r="J57" s="128">
        <v>0</v>
      </c>
      <c r="K57" s="85">
        <v>0</v>
      </c>
      <c r="L57" s="86">
        <f t="shared" si="2"/>
        <v>0</v>
      </c>
      <c r="M57" s="277">
        <f t="shared" si="3"/>
        <v>0</v>
      </c>
      <c r="N57" s="87">
        <f t="shared" si="5"/>
        <v>1</v>
      </c>
      <c r="O57" s="88">
        <f t="shared" si="6"/>
        <v>0</v>
      </c>
      <c r="P57" s="278">
        <f t="shared" si="4"/>
        <v>0</v>
      </c>
    </row>
    <row r="58" spans="1:16" s="109" customFormat="1" ht="12" x14ac:dyDescent="0.2">
      <c r="A58" s="97"/>
      <c r="B58" s="116"/>
      <c r="C58" s="123" t="s">
        <v>189</v>
      </c>
      <c r="D58" s="123" t="s">
        <v>127</v>
      </c>
      <c r="E58" s="124" t="s">
        <v>744</v>
      </c>
      <c r="F58" s="125" t="s">
        <v>745</v>
      </c>
      <c r="G58" s="126" t="s">
        <v>665</v>
      </c>
      <c r="H58" s="127">
        <v>1</v>
      </c>
      <c r="I58" s="128">
        <v>0</v>
      </c>
      <c r="J58" s="128">
        <v>0</v>
      </c>
      <c r="K58" s="85">
        <v>0</v>
      </c>
      <c r="L58" s="86">
        <f t="shared" si="2"/>
        <v>0</v>
      </c>
      <c r="M58" s="277">
        <f t="shared" si="3"/>
        <v>0</v>
      </c>
      <c r="N58" s="87">
        <f t="shared" si="5"/>
        <v>1</v>
      </c>
      <c r="O58" s="88">
        <f t="shared" si="6"/>
        <v>0</v>
      </c>
      <c r="P58" s="278">
        <f t="shared" si="4"/>
        <v>0</v>
      </c>
    </row>
    <row r="59" spans="1:16" s="109" customFormat="1" ht="24" x14ac:dyDescent="0.2">
      <c r="A59" s="97"/>
      <c r="B59" s="116"/>
      <c r="C59" s="123" t="s">
        <v>192</v>
      </c>
      <c r="D59" s="123" t="s">
        <v>127</v>
      </c>
      <c r="E59" s="124" t="s">
        <v>746</v>
      </c>
      <c r="F59" s="125" t="s">
        <v>747</v>
      </c>
      <c r="G59" s="126" t="s">
        <v>665</v>
      </c>
      <c r="H59" s="127">
        <v>2</v>
      </c>
      <c r="I59" s="128">
        <v>0</v>
      </c>
      <c r="J59" s="128">
        <v>0</v>
      </c>
      <c r="K59" s="85">
        <v>0</v>
      </c>
      <c r="L59" s="86">
        <f t="shared" si="2"/>
        <v>0</v>
      </c>
      <c r="M59" s="277">
        <f t="shared" si="3"/>
        <v>0</v>
      </c>
      <c r="N59" s="87">
        <f t="shared" si="5"/>
        <v>2</v>
      </c>
      <c r="O59" s="88">
        <f t="shared" si="6"/>
        <v>0</v>
      </c>
      <c r="P59" s="278">
        <f t="shared" si="4"/>
        <v>0</v>
      </c>
    </row>
    <row r="60" spans="1:16" s="109" customFormat="1" ht="24" x14ac:dyDescent="0.2">
      <c r="A60" s="97"/>
      <c r="B60" s="116"/>
      <c r="C60" s="123" t="s">
        <v>195</v>
      </c>
      <c r="D60" s="123" t="s">
        <v>127</v>
      </c>
      <c r="E60" s="124" t="s">
        <v>748</v>
      </c>
      <c r="F60" s="125" t="s">
        <v>749</v>
      </c>
      <c r="G60" s="126" t="s">
        <v>665</v>
      </c>
      <c r="H60" s="127">
        <v>1</v>
      </c>
      <c r="I60" s="128">
        <v>0</v>
      </c>
      <c r="J60" s="128">
        <v>0</v>
      </c>
      <c r="K60" s="85">
        <v>0</v>
      </c>
      <c r="L60" s="86">
        <f t="shared" si="2"/>
        <v>0</v>
      </c>
      <c r="M60" s="277">
        <f t="shared" si="3"/>
        <v>0</v>
      </c>
      <c r="N60" s="87">
        <f t="shared" si="5"/>
        <v>1</v>
      </c>
      <c r="O60" s="88">
        <f t="shared" si="6"/>
        <v>0</v>
      </c>
      <c r="P60" s="278">
        <f t="shared" si="4"/>
        <v>0</v>
      </c>
    </row>
    <row r="61" spans="1:16" s="109" customFormat="1" ht="24" x14ac:dyDescent="0.2">
      <c r="A61" s="97"/>
      <c r="B61" s="116"/>
      <c r="C61" s="123" t="s">
        <v>198</v>
      </c>
      <c r="D61" s="123" t="s">
        <v>127</v>
      </c>
      <c r="E61" s="124" t="s">
        <v>750</v>
      </c>
      <c r="F61" s="125" t="s">
        <v>751</v>
      </c>
      <c r="G61" s="126" t="s">
        <v>665</v>
      </c>
      <c r="H61" s="127">
        <v>1</v>
      </c>
      <c r="I61" s="128">
        <v>0</v>
      </c>
      <c r="J61" s="128">
        <v>0</v>
      </c>
      <c r="K61" s="85">
        <v>0</v>
      </c>
      <c r="L61" s="86">
        <f t="shared" si="2"/>
        <v>0</v>
      </c>
      <c r="M61" s="277">
        <f t="shared" si="3"/>
        <v>0</v>
      </c>
      <c r="N61" s="87">
        <f t="shared" si="5"/>
        <v>1</v>
      </c>
      <c r="O61" s="88">
        <f t="shared" si="6"/>
        <v>0</v>
      </c>
      <c r="P61" s="278">
        <f t="shared" si="4"/>
        <v>0</v>
      </c>
    </row>
    <row r="62" spans="1:16" s="109" customFormat="1" ht="12" x14ac:dyDescent="0.2">
      <c r="A62" s="97"/>
      <c r="B62" s="116"/>
      <c r="C62" s="123" t="s">
        <v>201</v>
      </c>
      <c r="D62" s="123" t="s">
        <v>127</v>
      </c>
      <c r="E62" s="124" t="s">
        <v>752</v>
      </c>
      <c r="F62" s="125" t="s">
        <v>753</v>
      </c>
      <c r="G62" s="126" t="s">
        <v>61</v>
      </c>
      <c r="H62" s="127">
        <v>10</v>
      </c>
      <c r="I62" s="128">
        <v>0</v>
      </c>
      <c r="J62" s="128">
        <v>0</v>
      </c>
      <c r="K62" s="85">
        <v>0</v>
      </c>
      <c r="L62" s="86">
        <f t="shared" si="2"/>
        <v>0</v>
      </c>
      <c r="M62" s="277">
        <f t="shared" si="3"/>
        <v>0</v>
      </c>
      <c r="N62" s="87">
        <f t="shared" si="5"/>
        <v>10</v>
      </c>
      <c r="O62" s="88">
        <f t="shared" si="6"/>
        <v>0</v>
      </c>
      <c r="P62" s="278">
        <f t="shared" si="4"/>
        <v>0</v>
      </c>
    </row>
    <row r="63" spans="1:16" s="109" customFormat="1" ht="12" x14ac:dyDescent="0.2">
      <c r="A63" s="97"/>
      <c r="B63" s="116"/>
      <c r="C63" s="123" t="s">
        <v>204</v>
      </c>
      <c r="D63" s="123" t="s">
        <v>127</v>
      </c>
      <c r="E63" s="124" t="s">
        <v>754</v>
      </c>
      <c r="F63" s="125" t="s">
        <v>755</v>
      </c>
      <c r="G63" s="126" t="s">
        <v>665</v>
      </c>
      <c r="H63" s="127">
        <v>1</v>
      </c>
      <c r="I63" s="128">
        <v>0</v>
      </c>
      <c r="J63" s="128">
        <v>0</v>
      </c>
      <c r="K63" s="85">
        <v>0</v>
      </c>
      <c r="L63" s="86">
        <f t="shared" si="2"/>
        <v>0</v>
      </c>
      <c r="M63" s="277">
        <f t="shared" si="3"/>
        <v>0</v>
      </c>
      <c r="N63" s="87">
        <f t="shared" si="5"/>
        <v>1</v>
      </c>
      <c r="O63" s="88">
        <f t="shared" si="6"/>
        <v>0</v>
      </c>
      <c r="P63" s="278">
        <f t="shared" si="4"/>
        <v>0</v>
      </c>
    </row>
    <row r="64" spans="1:16" s="109" customFormat="1" ht="36" x14ac:dyDescent="0.2">
      <c r="A64" s="97"/>
      <c r="B64" s="116"/>
      <c r="C64" s="123" t="s">
        <v>207</v>
      </c>
      <c r="D64" s="123" t="s">
        <v>127</v>
      </c>
      <c r="E64" s="124" t="s">
        <v>756</v>
      </c>
      <c r="F64" s="125" t="s">
        <v>757</v>
      </c>
      <c r="G64" s="126" t="s">
        <v>665</v>
      </c>
      <c r="H64" s="127">
        <v>1</v>
      </c>
      <c r="I64" s="128">
        <v>0</v>
      </c>
      <c r="J64" s="128">
        <v>0</v>
      </c>
      <c r="K64" s="85">
        <v>0</v>
      </c>
      <c r="L64" s="86">
        <f t="shared" si="2"/>
        <v>0</v>
      </c>
      <c r="M64" s="277">
        <f t="shared" si="3"/>
        <v>0</v>
      </c>
      <c r="N64" s="87">
        <f t="shared" si="5"/>
        <v>1</v>
      </c>
      <c r="O64" s="88">
        <f t="shared" si="6"/>
        <v>0</v>
      </c>
      <c r="P64" s="278">
        <f t="shared" si="4"/>
        <v>0</v>
      </c>
    </row>
    <row r="65" spans="1:16" s="109" customFormat="1" ht="12" x14ac:dyDescent="0.2">
      <c r="A65" s="97"/>
      <c r="B65" s="116"/>
      <c r="C65" s="123" t="s">
        <v>210</v>
      </c>
      <c r="D65" s="123" t="s">
        <v>127</v>
      </c>
      <c r="E65" s="124" t="s">
        <v>758</v>
      </c>
      <c r="F65" s="125" t="s">
        <v>759</v>
      </c>
      <c r="G65" s="126" t="s">
        <v>599</v>
      </c>
      <c r="H65" s="127">
        <v>0</v>
      </c>
      <c r="I65" s="128">
        <v>0</v>
      </c>
      <c r="J65" s="128">
        <v>0</v>
      </c>
      <c r="K65" s="85">
        <v>0</v>
      </c>
      <c r="L65" s="86">
        <f t="shared" si="2"/>
        <v>0</v>
      </c>
      <c r="M65" s="277">
        <f t="shared" si="3"/>
        <v>0</v>
      </c>
      <c r="N65" s="87">
        <f t="shared" si="5"/>
        <v>0</v>
      </c>
      <c r="O65" s="88">
        <f t="shared" si="6"/>
        <v>0</v>
      </c>
      <c r="P65" s="278">
        <f t="shared" si="4"/>
        <v>0</v>
      </c>
    </row>
    <row r="66" spans="1:16" s="109" customFormat="1" ht="12" x14ac:dyDescent="0.2">
      <c r="A66" s="97"/>
      <c r="B66" s="116"/>
      <c r="C66" s="123" t="s">
        <v>214</v>
      </c>
      <c r="D66" s="123" t="s">
        <v>127</v>
      </c>
      <c r="E66" s="124" t="s">
        <v>760</v>
      </c>
      <c r="F66" s="125" t="s">
        <v>761</v>
      </c>
      <c r="G66" s="126" t="s">
        <v>599</v>
      </c>
      <c r="H66" s="127">
        <v>0</v>
      </c>
      <c r="I66" s="128">
        <v>0</v>
      </c>
      <c r="J66" s="128">
        <v>0</v>
      </c>
      <c r="K66" s="85">
        <v>0</v>
      </c>
      <c r="L66" s="86">
        <f t="shared" si="2"/>
        <v>0</v>
      </c>
      <c r="M66" s="277">
        <f t="shared" si="3"/>
        <v>0</v>
      </c>
      <c r="N66" s="87">
        <f t="shared" si="5"/>
        <v>0</v>
      </c>
      <c r="O66" s="88">
        <f t="shared" si="6"/>
        <v>0</v>
      </c>
      <c r="P66" s="278">
        <f t="shared" si="4"/>
        <v>0</v>
      </c>
    </row>
    <row r="67" spans="1:16" s="110" customFormat="1" ht="12.75" x14ac:dyDescent="0.2">
      <c r="C67" s="129"/>
      <c r="D67" s="130" t="s">
        <v>3</v>
      </c>
      <c r="E67" s="131" t="s">
        <v>76</v>
      </c>
      <c r="F67" s="131" t="s">
        <v>762</v>
      </c>
      <c r="G67" s="129"/>
      <c r="H67" s="129"/>
      <c r="I67" s="129"/>
      <c r="J67" s="132">
        <v>0</v>
      </c>
      <c r="K67" s="85"/>
      <c r="L67" s="86"/>
      <c r="M67" s="277">
        <f t="shared" si="3"/>
        <v>0</v>
      </c>
      <c r="N67" s="87" t="str">
        <f t="shared" si="5"/>
        <v/>
      </c>
      <c r="O67" s="88" t="str">
        <f t="shared" si="6"/>
        <v/>
      </c>
      <c r="P67" s="278">
        <v>0</v>
      </c>
    </row>
    <row r="68" spans="1:16" s="109" customFormat="1" ht="12" x14ac:dyDescent="0.2">
      <c r="A68" s="97"/>
      <c r="B68" s="116"/>
      <c r="C68" s="117" t="s">
        <v>217</v>
      </c>
      <c r="D68" s="117" t="s">
        <v>69</v>
      </c>
      <c r="E68" s="118" t="s">
        <v>763</v>
      </c>
      <c r="F68" s="119" t="s">
        <v>764</v>
      </c>
      <c r="G68" s="120" t="s">
        <v>665</v>
      </c>
      <c r="H68" s="121">
        <v>1</v>
      </c>
      <c r="I68" s="122">
        <v>0</v>
      </c>
      <c r="J68" s="122">
        <v>0</v>
      </c>
      <c r="K68" s="85">
        <v>0</v>
      </c>
      <c r="L68" s="86">
        <f t="shared" si="2"/>
        <v>0</v>
      </c>
      <c r="M68" s="277">
        <f t="shared" si="3"/>
        <v>0</v>
      </c>
      <c r="N68" s="87">
        <f t="shared" si="5"/>
        <v>1</v>
      </c>
      <c r="O68" s="88">
        <f t="shared" si="6"/>
        <v>0</v>
      </c>
      <c r="P68" s="278">
        <f t="shared" si="4"/>
        <v>0</v>
      </c>
    </row>
    <row r="69" spans="1:16" s="109" customFormat="1" ht="24" x14ac:dyDescent="0.2">
      <c r="A69" s="97"/>
      <c r="B69" s="116"/>
      <c r="C69" s="117" t="s">
        <v>220</v>
      </c>
      <c r="D69" s="117" t="s">
        <v>69</v>
      </c>
      <c r="E69" s="118" t="s">
        <v>765</v>
      </c>
      <c r="F69" s="119" t="s">
        <v>766</v>
      </c>
      <c r="G69" s="120" t="s">
        <v>665</v>
      </c>
      <c r="H69" s="121">
        <v>1</v>
      </c>
      <c r="I69" s="122">
        <v>0</v>
      </c>
      <c r="J69" s="122">
        <v>0</v>
      </c>
      <c r="K69" s="85">
        <v>0</v>
      </c>
      <c r="L69" s="86">
        <f t="shared" si="2"/>
        <v>0</v>
      </c>
      <c r="M69" s="277">
        <f t="shared" si="3"/>
        <v>0</v>
      </c>
      <c r="N69" s="87">
        <f t="shared" si="5"/>
        <v>1</v>
      </c>
      <c r="O69" s="88">
        <f t="shared" si="6"/>
        <v>0</v>
      </c>
      <c r="P69" s="278">
        <f t="shared" si="4"/>
        <v>0</v>
      </c>
    </row>
    <row r="70" spans="1:16" s="109" customFormat="1" ht="24" x14ac:dyDescent="0.2">
      <c r="A70" s="97"/>
      <c r="B70" s="116"/>
      <c r="C70" s="117" t="s">
        <v>223</v>
      </c>
      <c r="D70" s="117" t="s">
        <v>69</v>
      </c>
      <c r="E70" s="118" t="s">
        <v>767</v>
      </c>
      <c r="F70" s="119" t="s">
        <v>768</v>
      </c>
      <c r="G70" s="120" t="s">
        <v>665</v>
      </c>
      <c r="H70" s="121">
        <v>1</v>
      </c>
      <c r="I70" s="122">
        <v>0</v>
      </c>
      <c r="J70" s="122">
        <v>0</v>
      </c>
      <c r="K70" s="85">
        <v>0</v>
      </c>
      <c r="L70" s="86">
        <f t="shared" si="2"/>
        <v>0</v>
      </c>
      <c r="M70" s="277">
        <f t="shared" si="3"/>
        <v>0</v>
      </c>
      <c r="N70" s="87">
        <f t="shared" si="5"/>
        <v>1</v>
      </c>
      <c r="O70" s="88">
        <f t="shared" si="6"/>
        <v>0</v>
      </c>
      <c r="P70" s="278">
        <f t="shared" si="4"/>
        <v>0</v>
      </c>
    </row>
    <row r="71" spans="1:16" s="109" customFormat="1" ht="12" x14ac:dyDescent="0.2">
      <c r="A71" s="97"/>
      <c r="B71" s="116"/>
      <c r="C71" s="117" t="s">
        <v>226</v>
      </c>
      <c r="D71" s="117" t="s">
        <v>69</v>
      </c>
      <c r="E71" s="118" t="s">
        <v>769</v>
      </c>
      <c r="F71" s="119" t="s">
        <v>770</v>
      </c>
      <c r="G71" s="120" t="s">
        <v>665</v>
      </c>
      <c r="H71" s="121">
        <v>1</v>
      </c>
      <c r="I71" s="122">
        <v>0</v>
      </c>
      <c r="J71" s="122">
        <v>0</v>
      </c>
      <c r="K71" s="85">
        <v>0</v>
      </c>
      <c r="L71" s="86">
        <f t="shared" si="2"/>
        <v>0</v>
      </c>
      <c r="M71" s="277">
        <f t="shared" si="3"/>
        <v>0</v>
      </c>
      <c r="N71" s="87">
        <f t="shared" si="5"/>
        <v>1</v>
      </c>
      <c r="O71" s="88">
        <f t="shared" si="6"/>
        <v>0</v>
      </c>
      <c r="P71" s="278">
        <f t="shared" si="4"/>
        <v>0</v>
      </c>
    </row>
    <row r="72" spans="1:16" s="109" customFormat="1" ht="24" x14ac:dyDescent="0.2">
      <c r="A72" s="97"/>
      <c r="B72" s="116"/>
      <c r="C72" s="117" t="s">
        <v>229</v>
      </c>
      <c r="D72" s="117" t="s">
        <v>69</v>
      </c>
      <c r="E72" s="118" t="s">
        <v>771</v>
      </c>
      <c r="F72" s="119" t="s">
        <v>772</v>
      </c>
      <c r="G72" s="120" t="s">
        <v>665</v>
      </c>
      <c r="H72" s="121">
        <v>1</v>
      </c>
      <c r="I72" s="122">
        <v>0</v>
      </c>
      <c r="J72" s="122">
        <v>0</v>
      </c>
      <c r="K72" s="85">
        <v>0</v>
      </c>
      <c r="L72" s="86">
        <f t="shared" si="2"/>
        <v>0</v>
      </c>
      <c r="M72" s="277">
        <f t="shared" si="3"/>
        <v>0</v>
      </c>
      <c r="N72" s="87">
        <f t="shared" si="5"/>
        <v>1</v>
      </c>
      <c r="O72" s="88">
        <f t="shared" si="6"/>
        <v>0</v>
      </c>
      <c r="P72" s="278">
        <f t="shared" si="4"/>
        <v>0</v>
      </c>
    </row>
    <row r="73" spans="1:16" s="109" customFormat="1" ht="12" x14ac:dyDescent="0.2">
      <c r="A73" s="97"/>
      <c r="B73" s="116"/>
      <c r="C73" s="117" t="s">
        <v>232</v>
      </c>
      <c r="D73" s="117" t="s">
        <v>69</v>
      </c>
      <c r="E73" s="118" t="s">
        <v>773</v>
      </c>
      <c r="F73" s="119" t="s">
        <v>774</v>
      </c>
      <c r="G73" s="120" t="s">
        <v>665</v>
      </c>
      <c r="H73" s="121">
        <v>1</v>
      </c>
      <c r="I73" s="122">
        <v>0</v>
      </c>
      <c r="J73" s="122">
        <v>0</v>
      </c>
      <c r="K73" s="85">
        <v>0</v>
      </c>
      <c r="L73" s="86">
        <f t="shared" si="2"/>
        <v>0</v>
      </c>
      <c r="M73" s="277">
        <f t="shared" si="3"/>
        <v>0</v>
      </c>
      <c r="N73" s="87">
        <f t="shared" si="5"/>
        <v>1</v>
      </c>
      <c r="O73" s="88">
        <f t="shared" si="6"/>
        <v>0</v>
      </c>
      <c r="P73" s="278">
        <f t="shared" si="4"/>
        <v>0</v>
      </c>
    </row>
    <row r="74" spans="1:16" s="109" customFormat="1" ht="12" x14ac:dyDescent="0.2">
      <c r="A74" s="97"/>
      <c r="B74" s="116"/>
      <c r="C74" s="117" t="s">
        <v>235</v>
      </c>
      <c r="D74" s="117" t="s">
        <v>69</v>
      </c>
      <c r="E74" s="118" t="s">
        <v>775</v>
      </c>
      <c r="F74" s="119" t="s">
        <v>776</v>
      </c>
      <c r="G74" s="120" t="s">
        <v>665</v>
      </c>
      <c r="H74" s="121">
        <v>1</v>
      </c>
      <c r="I74" s="122">
        <v>0</v>
      </c>
      <c r="J74" s="122">
        <v>0</v>
      </c>
      <c r="K74" s="85">
        <v>0</v>
      </c>
      <c r="L74" s="86">
        <f t="shared" si="2"/>
        <v>0</v>
      </c>
      <c r="M74" s="277">
        <f t="shared" si="3"/>
        <v>0</v>
      </c>
      <c r="N74" s="87">
        <f t="shared" si="5"/>
        <v>1</v>
      </c>
      <c r="O74" s="88">
        <f t="shared" si="6"/>
        <v>0</v>
      </c>
      <c r="P74" s="278">
        <f t="shared" si="4"/>
        <v>0</v>
      </c>
    </row>
    <row r="75" spans="1:16" s="109" customFormat="1" ht="12" x14ac:dyDescent="0.2">
      <c r="A75" s="97"/>
      <c r="B75" s="116"/>
      <c r="C75" s="117" t="s">
        <v>238</v>
      </c>
      <c r="D75" s="117" t="s">
        <v>69</v>
      </c>
      <c r="E75" s="118" t="s">
        <v>777</v>
      </c>
      <c r="F75" s="119" t="s">
        <v>778</v>
      </c>
      <c r="G75" s="120" t="s">
        <v>665</v>
      </c>
      <c r="H75" s="121">
        <v>1</v>
      </c>
      <c r="I75" s="122">
        <v>0</v>
      </c>
      <c r="J75" s="122">
        <v>0</v>
      </c>
      <c r="K75" s="85">
        <v>0</v>
      </c>
      <c r="L75" s="86">
        <f t="shared" si="2"/>
        <v>0</v>
      </c>
      <c r="M75" s="277">
        <f t="shared" si="3"/>
        <v>0</v>
      </c>
      <c r="N75" s="87">
        <f t="shared" si="5"/>
        <v>1</v>
      </c>
      <c r="O75" s="88">
        <f t="shared" si="6"/>
        <v>0</v>
      </c>
      <c r="P75" s="278">
        <f t="shared" si="4"/>
        <v>0</v>
      </c>
    </row>
    <row r="76" spans="1:16" s="109" customFormat="1" x14ac:dyDescent="0.2">
      <c r="A76" s="97"/>
      <c r="B76" s="97"/>
      <c r="C76" s="97"/>
      <c r="D76" s="97"/>
      <c r="E76" s="97"/>
      <c r="F76" s="97"/>
      <c r="G76" s="97"/>
      <c r="H76" s="97"/>
      <c r="I76" s="97"/>
      <c r="J76" s="97"/>
    </row>
    <row r="77" spans="1:16" ht="12.75" x14ac:dyDescent="0.2">
      <c r="D77" s="89"/>
      <c r="E77" s="141" t="str">
        <f>CONCATENATE("CELKEM ",C$12)</f>
        <v>CELKEM 04 - PS 02.2 - Elektrotechnologická část</v>
      </c>
      <c r="F77" s="90"/>
      <c r="G77" s="90"/>
      <c r="H77" s="91"/>
      <c r="I77" s="90"/>
      <c r="J77" s="92">
        <v>0</v>
      </c>
      <c r="K77" s="94"/>
      <c r="L77" s="92"/>
      <c r="M77" s="295">
        <f t="shared" ref="M77" si="7">M67+M42+M15</f>
        <v>0</v>
      </c>
      <c r="N77" s="295"/>
      <c r="O77" s="295"/>
      <c r="P77" s="295">
        <f>P67+P42+P15</f>
        <v>0</v>
      </c>
    </row>
    <row r="78" spans="1:16" x14ac:dyDescent="0.2">
      <c r="I78" s="95"/>
    </row>
    <row r="79" spans="1:16" ht="14.25" x14ac:dyDescent="0.2">
      <c r="E79" s="58" t="s">
        <v>994</v>
      </c>
      <c r="F79" s="58"/>
      <c r="H79" s="96"/>
      <c r="J79" s="161"/>
      <c r="K79" s="58" t="s">
        <v>995</v>
      </c>
    </row>
  </sheetData>
  <protectedRanges>
    <protectedRange password="CCAA" sqref="K8" name="Oblast1_1_1_1_1_1"/>
    <protectedRange password="CCAA" sqref="D9:H10" name="Oblast1_2_1_1_1_1"/>
  </protectedRanges>
  <mergeCells count="2">
    <mergeCell ref="K9:M9"/>
    <mergeCell ref="N9:P9"/>
  </mergeCells>
  <conditionalFormatting sqref="D3:E7 H3:J7 K8:GF8 Q9:GF10 D1:J2 K1:GE7 K15:L75">
    <cfRule type="cellIs" dxfId="138" priority="85" operator="lessThan">
      <formula>0</formula>
    </cfRule>
  </conditionalFormatting>
  <conditionalFormatting sqref="G4">
    <cfRule type="cellIs" dxfId="137" priority="84" operator="lessThan">
      <formula>0</formula>
    </cfRule>
  </conditionalFormatting>
  <conditionalFormatting sqref="G3">
    <cfRule type="cellIs" dxfId="136" priority="83" operator="lessThan">
      <formula>0</formula>
    </cfRule>
  </conditionalFormatting>
  <conditionalFormatting sqref="D8:E8 H8:J8">
    <cfRule type="cellIs" dxfId="135" priority="82" operator="lessThan">
      <formula>0</formula>
    </cfRule>
  </conditionalFormatting>
  <conditionalFormatting sqref="N15:O75">
    <cfRule type="cellIs" dxfId="134" priority="33" operator="lessThan">
      <formula>0</formula>
    </cfRule>
  </conditionalFormatting>
  <conditionalFormatting sqref="N15:O75">
    <cfRule type="cellIs" dxfId="133" priority="32" operator="lessThan">
      <formula>0</formula>
    </cfRule>
  </conditionalFormatting>
  <conditionalFormatting sqref="K77 M77:GP77">
    <cfRule type="cellIs" dxfId="132" priority="31" operator="lessThan">
      <formula>0</formula>
    </cfRule>
  </conditionalFormatting>
  <conditionalFormatting sqref="D77:J77">
    <cfRule type="cellIs" dxfId="131" priority="29" operator="lessThan">
      <formula>0</formula>
    </cfRule>
  </conditionalFormatting>
  <conditionalFormatting sqref="L79:HS79 D79 G79:I79">
    <cfRule type="cellIs" dxfId="130" priority="19" operator="lessThan">
      <formula>0</formula>
    </cfRule>
  </conditionalFormatting>
  <conditionalFormatting sqref="G79:I79 L79:M79">
    <cfRule type="cellIs" dxfId="129" priority="18" operator="lessThan">
      <formula>0</formula>
    </cfRule>
  </conditionalFormatting>
  <conditionalFormatting sqref="G79:I79">
    <cfRule type="cellIs" dxfId="128" priority="17" operator="lessThan">
      <formula>0</formula>
    </cfRule>
  </conditionalFormatting>
  <conditionalFormatting sqref="G79:I79">
    <cfRule type="cellIs" dxfId="127" priority="16" operator="lessThan">
      <formula>0</formula>
    </cfRule>
  </conditionalFormatting>
  <conditionalFormatting sqref="L77">
    <cfRule type="cellIs" dxfId="126" priority="4" operator="lessThan">
      <formula>0</formula>
    </cfRule>
  </conditionalFormatting>
  <conditionalFormatting sqref="D9:J10">
    <cfRule type="cellIs" dxfId="125" priority="3" operator="lessThan">
      <formula>0</formula>
    </cfRule>
  </conditionalFormatting>
  <conditionalFormatting sqref="K9:L10 N9:O9">
    <cfRule type="cellIs" dxfId="124" priority="2" operator="lessThan">
      <formula>0</formula>
    </cfRule>
  </conditionalFormatting>
  <conditionalFormatting sqref="M10:P10">
    <cfRule type="cellIs" dxfId="123" priority="1" operator="lessThan">
      <formula>0</formula>
    </cfRule>
  </conditionalFormatting>
  <pageMargins left="0.39370078740157483" right="0.39370078740157483" top="0.39370078740157483" bottom="0.39370078740157483" header="0" footer="0"/>
  <pageSetup paperSize="9" scale="58" fitToHeight="0" orientation="portrait" r:id="rId1"/>
  <headerFooter>
    <oddFooter>&amp;CStrana &amp;P z &amp;N</oddFooter>
  </headerFooter>
  <drawing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sheetPr>
    <pageSetUpPr fitToPage="1"/>
  </sheetPr>
  <dimension ref="A1:P36"/>
  <sheetViews>
    <sheetView showGridLines="0" view="pageBreakPreview" topLeftCell="A7" zoomScale="60" zoomScaleNormal="100" workbookViewId="0">
      <selection activeCell="J36" sqref="J36"/>
    </sheetView>
  </sheetViews>
  <sheetFormatPr defaultColWidth="9.33203125" defaultRowHeight="11.25" x14ac:dyDescent="0.2"/>
  <cols>
    <col min="1" max="1" width="8.33203125" style="60" customWidth="1"/>
    <col min="2" max="2" width="1.6640625" style="60" customWidth="1"/>
    <col min="3" max="3" width="4.1640625" style="60" customWidth="1"/>
    <col min="4" max="4" width="4.33203125" style="60" customWidth="1"/>
    <col min="5" max="5" width="17.1640625" style="60" customWidth="1"/>
    <col min="6" max="6" width="50.83203125" style="60" customWidth="1"/>
    <col min="7" max="7" width="7" style="60" customWidth="1"/>
    <col min="8" max="8" width="11.5" style="60" customWidth="1"/>
    <col min="9" max="10" width="20.1640625" style="60" customWidth="1"/>
    <col min="11" max="16384" width="9.33203125" style="60"/>
  </cols>
  <sheetData>
    <row r="1" spans="1:16" ht="18.95" customHeight="1" x14ac:dyDescent="0.2">
      <c r="F1" s="3"/>
      <c r="G1" s="4"/>
      <c r="H1" s="1"/>
      <c r="J1" s="61"/>
    </row>
    <row r="2" spans="1:16" s="1" customFormat="1" ht="18" customHeight="1" x14ac:dyDescent="0.2">
      <c r="E2" s="2"/>
      <c r="F2" s="3" t="s">
        <v>979</v>
      </c>
      <c r="G2" s="4" t="str">
        <f>'[1]VRN 01'!G3</f>
        <v>Odkanalizování povodí Jizery - část B</v>
      </c>
      <c r="I2" s="5"/>
      <c r="J2" s="63"/>
      <c r="K2" s="10"/>
      <c r="L2" s="11"/>
      <c r="M2" s="11"/>
      <c r="N2" s="64"/>
    </row>
    <row r="3" spans="1:16" s="1" customFormat="1" ht="18" customHeight="1" x14ac:dyDescent="0.2">
      <c r="E3" s="2"/>
      <c r="F3" s="3" t="s">
        <v>980</v>
      </c>
      <c r="G3" s="4" t="str">
        <f>+'Rekapitulace stavby'!D2</f>
        <v>ÚHERCE, výstavba kanalizace - UZNATELNÉ NÁKLADY - doměrky</v>
      </c>
      <c r="H3" s="2"/>
      <c r="I3" s="5"/>
      <c r="J3" s="63"/>
      <c r="K3" s="10"/>
      <c r="L3" s="11"/>
      <c r="M3" s="11"/>
      <c r="N3" s="64"/>
    </row>
    <row r="4" spans="1:16" s="2" customFormat="1" ht="18" customHeight="1" x14ac:dyDescent="0.2">
      <c r="F4" s="12" t="s">
        <v>981</v>
      </c>
      <c r="G4" s="13" t="str">
        <f>'[1]VRN 01'!G5</f>
        <v>VRI/SOD/2020/Ži</v>
      </c>
      <c r="I4" s="5"/>
      <c r="J4" s="65"/>
      <c r="K4" s="18"/>
      <c r="L4" s="19"/>
      <c r="M4" s="19"/>
      <c r="N4" s="66"/>
    </row>
    <row r="5" spans="1:16" s="2" customFormat="1" ht="18" customHeight="1" x14ac:dyDescent="0.2">
      <c r="F5" s="12" t="s">
        <v>983</v>
      </c>
      <c r="G5" s="13" t="s">
        <v>1001</v>
      </c>
      <c r="I5" s="5"/>
      <c r="J5" s="65"/>
      <c r="K5" s="18"/>
      <c r="L5" s="19"/>
      <c r="M5" s="19"/>
      <c r="N5" s="66"/>
    </row>
    <row r="6" spans="1:16" s="2" customFormat="1" ht="18" customHeight="1" x14ac:dyDescent="0.2">
      <c r="F6" s="3" t="s">
        <v>984</v>
      </c>
      <c r="G6" s="13" t="str">
        <f>'[1]VRN 01'!G7</f>
        <v>Vododvody a kanalizace Mladá Boleslav, a.s.</v>
      </c>
      <c r="I6" s="5"/>
      <c r="J6" s="65"/>
      <c r="K6" s="18"/>
      <c r="L6" s="19"/>
      <c r="M6" s="19"/>
      <c r="N6" s="66"/>
    </row>
    <row r="7" spans="1:16" s="2" customFormat="1" ht="18" customHeight="1" x14ac:dyDescent="0.2">
      <c r="F7" s="3" t="s">
        <v>986</v>
      </c>
      <c r="G7" s="20" t="str">
        <f>'[1]VRN 01'!G8</f>
        <v>VCES a.s.</v>
      </c>
      <c r="H7" s="67"/>
      <c r="I7" s="5"/>
      <c r="J7" s="65"/>
      <c r="K7" s="18"/>
      <c r="L7" s="19"/>
      <c r="M7" s="19"/>
      <c r="N7" s="66"/>
    </row>
    <row r="8" spans="1:16" s="68" customFormat="1" ht="18" customHeight="1" x14ac:dyDescent="0.2">
      <c r="D8" s="69"/>
      <c r="F8" s="3"/>
      <c r="G8" s="20"/>
      <c r="H8" s="67"/>
      <c r="K8" s="72" t="s">
        <v>996</v>
      </c>
      <c r="L8" s="73" t="str">
        <f>+C12</f>
        <v>05 - PS 02.3 - Systém řízení technologického procesu</v>
      </c>
      <c r="M8" s="73"/>
      <c r="O8" s="74"/>
    </row>
    <row r="9" spans="1:16" s="75" customFormat="1" ht="20.100000000000001" customHeight="1" x14ac:dyDescent="0.2">
      <c r="C9" s="76"/>
      <c r="D9" s="77"/>
      <c r="E9" s="77"/>
      <c r="F9" s="77"/>
      <c r="G9" s="77"/>
      <c r="H9" s="77"/>
      <c r="I9" s="78"/>
      <c r="J9" s="79"/>
      <c r="K9" s="332" t="s">
        <v>1266</v>
      </c>
      <c r="L9" s="332"/>
      <c r="M9" s="332"/>
      <c r="N9" s="339" t="s">
        <v>1267</v>
      </c>
      <c r="O9" s="339"/>
      <c r="P9" s="340"/>
    </row>
    <row r="10" spans="1:16" s="75" customFormat="1" ht="24" customHeight="1" x14ac:dyDescent="0.2">
      <c r="C10" s="80"/>
      <c r="D10" s="81" t="s">
        <v>997</v>
      </c>
      <c r="E10" s="81" t="s">
        <v>976</v>
      </c>
      <c r="F10" s="81" t="s">
        <v>977</v>
      </c>
      <c r="G10" s="81" t="s">
        <v>64</v>
      </c>
      <c r="H10" s="82" t="s">
        <v>65</v>
      </c>
      <c r="I10" s="83" t="s">
        <v>998</v>
      </c>
      <c r="J10" s="84" t="s">
        <v>978</v>
      </c>
      <c r="K10" s="218" t="s">
        <v>999</v>
      </c>
      <c r="L10" s="219" t="s">
        <v>1260</v>
      </c>
      <c r="M10" s="220" t="s">
        <v>978</v>
      </c>
      <c r="N10" s="263" t="s">
        <v>1264</v>
      </c>
      <c r="O10" s="264" t="s">
        <v>1260</v>
      </c>
      <c r="P10" s="265" t="s">
        <v>978</v>
      </c>
    </row>
    <row r="12" spans="1:16" s="109" customFormat="1" ht="22.9" customHeight="1" x14ac:dyDescent="0.25">
      <c r="A12" s="97"/>
      <c r="B12" s="97"/>
      <c r="C12" s="98" t="s">
        <v>779</v>
      </c>
      <c r="D12" s="97"/>
      <c r="E12" s="97"/>
      <c r="F12" s="97"/>
      <c r="G12" s="97"/>
      <c r="H12" s="97"/>
      <c r="I12" s="97"/>
      <c r="J12" s="99">
        <v>0</v>
      </c>
    </row>
    <row r="13" spans="1:16" s="110" customFormat="1" ht="25.9" customHeight="1" x14ac:dyDescent="0.2">
      <c r="D13" s="111" t="s">
        <v>3</v>
      </c>
      <c r="E13" s="112" t="s">
        <v>66</v>
      </c>
      <c r="F13" s="112" t="s">
        <v>476</v>
      </c>
      <c r="J13" s="113">
        <v>0</v>
      </c>
    </row>
    <row r="14" spans="1:16" s="110" customFormat="1" ht="22.9" customHeight="1" x14ac:dyDescent="0.2">
      <c r="D14" s="111" t="s">
        <v>3</v>
      </c>
      <c r="E14" s="114" t="s">
        <v>4</v>
      </c>
      <c r="F14" s="114" t="s">
        <v>659</v>
      </c>
      <c r="J14" s="115">
        <v>0</v>
      </c>
    </row>
    <row r="15" spans="1:16" s="110" customFormat="1" ht="22.9" customHeight="1" x14ac:dyDescent="0.2">
      <c r="D15" s="111" t="s">
        <v>3</v>
      </c>
      <c r="E15" s="114" t="s">
        <v>7</v>
      </c>
      <c r="F15" s="114" t="s">
        <v>660</v>
      </c>
      <c r="J15" s="115">
        <v>0</v>
      </c>
    </row>
    <row r="16" spans="1:16" s="109" customFormat="1" ht="16.5" customHeight="1" x14ac:dyDescent="0.2">
      <c r="A16" s="97"/>
      <c r="B16" s="116"/>
      <c r="C16" s="117" t="s">
        <v>7</v>
      </c>
      <c r="D16" s="117" t="s">
        <v>69</v>
      </c>
      <c r="E16" s="118" t="s">
        <v>705</v>
      </c>
      <c r="F16" s="119" t="s">
        <v>780</v>
      </c>
      <c r="G16" s="120" t="s">
        <v>665</v>
      </c>
      <c r="H16" s="121">
        <v>1</v>
      </c>
      <c r="I16" s="122">
        <v>0</v>
      </c>
      <c r="J16" s="122">
        <v>0</v>
      </c>
      <c r="K16" s="85">
        <v>0</v>
      </c>
      <c r="L16" s="86">
        <v>0</v>
      </c>
      <c r="M16" s="277">
        <f t="shared" ref="M16:M32" si="0">IFERROR(IF($J16=0,0,L16/$J16),"")</f>
        <v>0</v>
      </c>
      <c r="N16" s="87">
        <f t="shared" ref="N16:N32" si="1">IF(ISBLANK(H16),"",H16-K16)</f>
        <v>1</v>
      </c>
      <c r="O16" s="88">
        <f t="shared" ref="O16:O32" si="2">IF(ISBLANK(H16),"",J16-L16)</f>
        <v>0</v>
      </c>
      <c r="P16" s="278">
        <f t="shared" ref="P16:P32" si="3">IFERROR(IF($J16=0,0,O16/$J16),"")</f>
        <v>0</v>
      </c>
    </row>
    <row r="17" spans="1:16" s="109" customFormat="1" ht="16.5" customHeight="1" x14ac:dyDescent="0.2">
      <c r="A17" s="97"/>
      <c r="B17" s="116"/>
      <c r="C17" s="117" t="s">
        <v>8</v>
      </c>
      <c r="D17" s="117" t="s">
        <v>69</v>
      </c>
      <c r="E17" s="118" t="s">
        <v>707</v>
      </c>
      <c r="F17" s="119" t="s">
        <v>781</v>
      </c>
      <c r="G17" s="120" t="s">
        <v>665</v>
      </c>
      <c r="H17" s="121">
        <v>1</v>
      </c>
      <c r="I17" s="122">
        <v>0</v>
      </c>
      <c r="J17" s="122">
        <v>0</v>
      </c>
      <c r="K17" s="85">
        <v>0</v>
      </c>
      <c r="L17" s="86">
        <v>0</v>
      </c>
      <c r="M17" s="277">
        <f t="shared" si="0"/>
        <v>0</v>
      </c>
      <c r="N17" s="87">
        <f t="shared" si="1"/>
        <v>1</v>
      </c>
      <c r="O17" s="88">
        <f t="shared" si="2"/>
        <v>0</v>
      </c>
      <c r="P17" s="278">
        <f t="shared" si="3"/>
        <v>0</v>
      </c>
    </row>
    <row r="18" spans="1:16" s="109" customFormat="1" ht="16.5" customHeight="1" x14ac:dyDescent="0.2">
      <c r="A18" s="97"/>
      <c r="B18" s="116"/>
      <c r="C18" s="117" t="s">
        <v>76</v>
      </c>
      <c r="D18" s="117" t="s">
        <v>69</v>
      </c>
      <c r="E18" s="118" t="s">
        <v>709</v>
      </c>
      <c r="F18" s="119" t="s">
        <v>782</v>
      </c>
      <c r="G18" s="120" t="s">
        <v>665</v>
      </c>
      <c r="H18" s="121">
        <v>1</v>
      </c>
      <c r="I18" s="122">
        <v>0</v>
      </c>
      <c r="J18" s="122">
        <v>0</v>
      </c>
      <c r="K18" s="85">
        <v>0</v>
      </c>
      <c r="L18" s="86">
        <v>0</v>
      </c>
      <c r="M18" s="277">
        <f t="shared" si="0"/>
        <v>0</v>
      </c>
      <c r="N18" s="87">
        <f t="shared" si="1"/>
        <v>1</v>
      </c>
      <c r="O18" s="88">
        <f t="shared" si="2"/>
        <v>0</v>
      </c>
      <c r="P18" s="278">
        <f t="shared" si="3"/>
        <v>0</v>
      </c>
    </row>
    <row r="19" spans="1:16" s="109" customFormat="1" ht="16.5" customHeight="1" x14ac:dyDescent="0.2">
      <c r="A19" s="97"/>
      <c r="B19" s="116"/>
      <c r="C19" s="117" t="s">
        <v>73</v>
      </c>
      <c r="D19" s="117" t="s">
        <v>69</v>
      </c>
      <c r="E19" s="118" t="s">
        <v>783</v>
      </c>
      <c r="F19" s="119" t="s">
        <v>784</v>
      </c>
      <c r="G19" s="120" t="s">
        <v>665</v>
      </c>
      <c r="H19" s="121">
        <v>1</v>
      </c>
      <c r="I19" s="122">
        <v>0</v>
      </c>
      <c r="J19" s="122">
        <v>0</v>
      </c>
      <c r="K19" s="85">
        <v>0</v>
      </c>
      <c r="L19" s="86">
        <v>0</v>
      </c>
      <c r="M19" s="277">
        <f t="shared" si="0"/>
        <v>0</v>
      </c>
      <c r="N19" s="87">
        <f t="shared" si="1"/>
        <v>1</v>
      </c>
      <c r="O19" s="88">
        <f t="shared" si="2"/>
        <v>0</v>
      </c>
      <c r="P19" s="278">
        <f t="shared" si="3"/>
        <v>0</v>
      </c>
    </row>
    <row r="20" spans="1:16" s="109" customFormat="1" ht="21.75" customHeight="1" x14ac:dyDescent="0.2">
      <c r="A20" s="97"/>
      <c r="B20" s="116"/>
      <c r="C20" s="117" t="s">
        <v>81</v>
      </c>
      <c r="D20" s="117" t="s">
        <v>69</v>
      </c>
      <c r="E20" s="118" t="s">
        <v>785</v>
      </c>
      <c r="F20" s="119" t="s">
        <v>786</v>
      </c>
      <c r="G20" s="120" t="s">
        <v>665</v>
      </c>
      <c r="H20" s="121">
        <v>1</v>
      </c>
      <c r="I20" s="122">
        <v>0</v>
      </c>
      <c r="J20" s="122">
        <v>0</v>
      </c>
      <c r="K20" s="85">
        <v>0</v>
      </c>
      <c r="L20" s="86">
        <v>0</v>
      </c>
      <c r="M20" s="277">
        <f t="shared" si="0"/>
        <v>0</v>
      </c>
      <c r="N20" s="87">
        <f t="shared" si="1"/>
        <v>1</v>
      </c>
      <c r="O20" s="88">
        <f t="shared" si="2"/>
        <v>0</v>
      </c>
      <c r="P20" s="278">
        <f t="shared" si="3"/>
        <v>0</v>
      </c>
    </row>
    <row r="21" spans="1:16" s="110" customFormat="1" ht="22.9" customHeight="1" x14ac:dyDescent="0.2">
      <c r="C21" s="129"/>
      <c r="D21" s="130" t="s">
        <v>3</v>
      </c>
      <c r="E21" s="131" t="s">
        <v>8</v>
      </c>
      <c r="F21" s="131" t="s">
        <v>713</v>
      </c>
      <c r="G21" s="129"/>
      <c r="H21" s="129"/>
      <c r="I21" s="129"/>
      <c r="J21" s="132">
        <v>0</v>
      </c>
      <c r="K21" s="85">
        <v>0</v>
      </c>
      <c r="L21" s="86">
        <v>0</v>
      </c>
      <c r="M21" s="277">
        <f t="shared" si="0"/>
        <v>0</v>
      </c>
      <c r="N21" s="87" t="str">
        <f t="shared" si="1"/>
        <v/>
      </c>
      <c r="O21" s="88" t="str">
        <f t="shared" si="2"/>
        <v/>
      </c>
      <c r="P21" s="278">
        <f t="shared" si="3"/>
        <v>0</v>
      </c>
    </row>
    <row r="22" spans="1:16" s="109" customFormat="1" ht="21.75" customHeight="1" x14ac:dyDescent="0.2">
      <c r="A22" s="97"/>
      <c r="B22" s="116"/>
      <c r="C22" s="123" t="s">
        <v>84</v>
      </c>
      <c r="D22" s="123" t="s">
        <v>127</v>
      </c>
      <c r="E22" s="124" t="s">
        <v>750</v>
      </c>
      <c r="F22" s="125" t="s">
        <v>787</v>
      </c>
      <c r="G22" s="126" t="s">
        <v>665</v>
      </c>
      <c r="H22" s="127">
        <v>1</v>
      </c>
      <c r="I22" s="128">
        <v>0</v>
      </c>
      <c r="J22" s="128">
        <v>0</v>
      </c>
      <c r="K22" s="85">
        <v>0</v>
      </c>
      <c r="L22" s="86">
        <v>0</v>
      </c>
      <c r="M22" s="277">
        <f t="shared" si="0"/>
        <v>0</v>
      </c>
      <c r="N22" s="87">
        <f t="shared" si="1"/>
        <v>1</v>
      </c>
      <c r="O22" s="88">
        <f t="shared" si="2"/>
        <v>0</v>
      </c>
      <c r="P22" s="278">
        <f t="shared" si="3"/>
        <v>0</v>
      </c>
    </row>
    <row r="23" spans="1:16" s="109" customFormat="1" ht="33" customHeight="1" x14ac:dyDescent="0.2">
      <c r="A23" s="97"/>
      <c r="B23" s="116"/>
      <c r="C23" s="123" t="s">
        <v>87</v>
      </c>
      <c r="D23" s="123" t="s">
        <v>127</v>
      </c>
      <c r="E23" s="124" t="s">
        <v>756</v>
      </c>
      <c r="F23" s="125" t="s">
        <v>788</v>
      </c>
      <c r="G23" s="126" t="s">
        <v>665</v>
      </c>
      <c r="H23" s="127">
        <v>1</v>
      </c>
      <c r="I23" s="128">
        <v>0</v>
      </c>
      <c r="J23" s="128">
        <v>0</v>
      </c>
      <c r="K23" s="85">
        <v>0</v>
      </c>
      <c r="L23" s="86">
        <v>0</v>
      </c>
      <c r="M23" s="277">
        <f t="shared" si="0"/>
        <v>0</v>
      </c>
      <c r="N23" s="87">
        <f t="shared" si="1"/>
        <v>1</v>
      </c>
      <c r="O23" s="88">
        <f t="shared" si="2"/>
        <v>0</v>
      </c>
      <c r="P23" s="278">
        <f t="shared" si="3"/>
        <v>0</v>
      </c>
    </row>
    <row r="24" spans="1:16" s="109" customFormat="1" ht="21.75" customHeight="1" x14ac:dyDescent="0.2">
      <c r="A24" s="97"/>
      <c r="B24" s="116"/>
      <c r="C24" s="123" t="s">
        <v>90</v>
      </c>
      <c r="D24" s="123" t="s">
        <v>127</v>
      </c>
      <c r="E24" s="124" t="s">
        <v>789</v>
      </c>
      <c r="F24" s="125" t="s">
        <v>790</v>
      </c>
      <c r="G24" s="126" t="s">
        <v>665</v>
      </c>
      <c r="H24" s="127">
        <v>1</v>
      </c>
      <c r="I24" s="128">
        <v>0</v>
      </c>
      <c r="J24" s="128">
        <v>0</v>
      </c>
      <c r="K24" s="85">
        <v>0</v>
      </c>
      <c r="L24" s="86">
        <v>0</v>
      </c>
      <c r="M24" s="277">
        <f t="shared" si="0"/>
        <v>0</v>
      </c>
      <c r="N24" s="87">
        <f t="shared" si="1"/>
        <v>1</v>
      </c>
      <c r="O24" s="88">
        <f t="shared" si="2"/>
        <v>0</v>
      </c>
      <c r="P24" s="278">
        <f t="shared" si="3"/>
        <v>0</v>
      </c>
    </row>
    <row r="25" spans="1:16" s="109" customFormat="1" ht="16.5" customHeight="1" x14ac:dyDescent="0.2">
      <c r="A25" s="97"/>
      <c r="B25" s="116"/>
      <c r="C25" s="123" t="s">
        <v>93</v>
      </c>
      <c r="D25" s="123" t="s">
        <v>127</v>
      </c>
      <c r="E25" s="124" t="s">
        <v>791</v>
      </c>
      <c r="F25" s="125" t="s">
        <v>792</v>
      </c>
      <c r="G25" s="126" t="s">
        <v>665</v>
      </c>
      <c r="H25" s="127">
        <v>1</v>
      </c>
      <c r="I25" s="128">
        <v>0</v>
      </c>
      <c r="J25" s="128">
        <v>0</v>
      </c>
      <c r="K25" s="85">
        <v>0</v>
      </c>
      <c r="L25" s="86">
        <v>0</v>
      </c>
      <c r="M25" s="277">
        <f t="shared" si="0"/>
        <v>0</v>
      </c>
      <c r="N25" s="87">
        <f t="shared" si="1"/>
        <v>1</v>
      </c>
      <c r="O25" s="88">
        <f t="shared" si="2"/>
        <v>0</v>
      </c>
      <c r="P25" s="278">
        <f t="shared" si="3"/>
        <v>0</v>
      </c>
    </row>
    <row r="26" spans="1:16" s="110" customFormat="1" ht="22.9" customHeight="1" x14ac:dyDescent="0.2">
      <c r="C26" s="129"/>
      <c r="D26" s="130" t="s">
        <v>3</v>
      </c>
      <c r="E26" s="131" t="s">
        <v>76</v>
      </c>
      <c r="F26" s="131" t="s">
        <v>762</v>
      </c>
      <c r="G26" s="129"/>
      <c r="H26" s="129"/>
      <c r="I26" s="129"/>
      <c r="J26" s="132">
        <v>0</v>
      </c>
      <c r="K26" s="85">
        <v>0</v>
      </c>
      <c r="L26" s="86">
        <v>0</v>
      </c>
      <c r="M26" s="277">
        <f t="shared" si="0"/>
        <v>0</v>
      </c>
      <c r="N26" s="87" t="str">
        <f t="shared" si="1"/>
        <v/>
      </c>
      <c r="O26" s="88" t="str">
        <f t="shared" si="2"/>
        <v/>
      </c>
      <c r="P26" s="278">
        <f t="shared" si="3"/>
        <v>0</v>
      </c>
    </row>
    <row r="27" spans="1:16" s="109" customFormat="1" ht="21.75" customHeight="1" x14ac:dyDescent="0.2">
      <c r="A27" s="97"/>
      <c r="B27" s="116"/>
      <c r="C27" s="117" t="s">
        <v>26</v>
      </c>
      <c r="D27" s="117" t="s">
        <v>69</v>
      </c>
      <c r="E27" s="118" t="s">
        <v>763</v>
      </c>
      <c r="F27" s="119" t="s">
        <v>766</v>
      </c>
      <c r="G27" s="120" t="s">
        <v>665</v>
      </c>
      <c r="H27" s="121">
        <v>1</v>
      </c>
      <c r="I27" s="122">
        <v>0</v>
      </c>
      <c r="J27" s="122">
        <v>0</v>
      </c>
      <c r="K27" s="85">
        <v>0</v>
      </c>
      <c r="L27" s="86">
        <v>0</v>
      </c>
      <c r="M27" s="277">
        <f t="shared" si="0"/>
        <v>0</v>
      </c>
      <c r="N27" s="87">
        <f t="shared" si="1"/>
        <v>1</v>
      </c>
      <c r="O27" s="88">
        <f t="shared" si="2"/>
        <v>0</v>
      </c>
      <c r="P27" s="278">
        <f t="shared" si="3"/>
        <v>0</v>
      </c>
    </row>
    <row r="28" spans="1:16" s="109" customFormat="1" ht="16.5" customHeight="1" x14ac:dyDescent="0.2">
      <c r="A28" s="97"/>
      <c r="B28" s="116"/>
      <c r="C28" s="117" t="s">
        <v>28</v>
      </c>
      <c r="D28" s="117" t="s">
        <v>69</v>
      </c>
      <c r="E28" s="118" t="s">
        <v>765</v>
      </c>
      <c r="F28" s="119" t="s">
        <v>770</v>
      </c>
      <c r="G28" s="120" t="s">
        <v>665</v>
      </c>
      <c r="H28" s="121">
        <v>1</v>
      </c>
      <c r="I28" s="122">
        <v>0</v>
      </c>
      <c r="J28" s="122">
        <v>0</v>
      </c>
      <c r="K28" s="85">
        <v>0</v>
      </c>
      <c r="L28" s="86">
        <v>0</v>
      </c>
      <c r="M28" s="277">
        <f t="shared" si="0"/>
        <v>0</v>
      </c>
      <c r="N28" s="87">
        <f t="shared" si="1"/>
        <v>1</v>
      </c>
      <c r="O28" s="88">
        <f t="shared" si="2"/>
        <v>0</v>
      </c>
      <c r="P28" s="278">
        <f t="shared" si="3"/>
        <v>0</v>
      </c>
    </row>
    <row r="29" spans="1:16" s="109" customFormat="1" ht="21.75" customHeight="1" x14ac:dyDescent="0.2">
      <c r="A29" s="97"/>
      <c r="B29" s="116"/>
      <c r="C29" s="117" t="s">
        <v>30</v>
      </c>
      <c r="D29" s="117" t="s">
        <v>69</v>
      </c>
      <c r="E29" s="118" t="s">
        <v>767</v>
      </c>
      <c r="F29" s="119" t="s">
        <v>772</v>
      </c>
      <c r="G29" s="120" t="s">
        <v>665</v>
      </c>
      <c r="H29" s="121">
        <v>1</v>
      </c>
      <c r="I29" s="122">
        <v>0</v>
      </c>
      <c r="J29" s="122">
        <v>0</v>
      </c>
      <c r="K29" s="85">
        <v>0</v>
      </c>
      <c r="L29" s="86">
        <v>0</v>
      </c>
      <c r="M29" s="277">
        <f t="shared" si="0"/>
        <v>0</v>
      </c>
      <c r="N29" s="87">
        <f t="shared" si="1"/>
        <v>1</v>
      </c>
      <c r="O29" s="88">
        <f t="shared" si="2"/>
        <v>0</v>
      </c>
      <c r="P29" s="278">
        <f t="shared" si="3"/>
        <v>0</v>
      </c>
    </row>
    <row r="30" spans="1:16" s="109" customFormat="1" ht="16.5" customHeight="1" x14ac:dyDescent="0.2">
      <c r="A30" s="97"/>
      <c r="B30" s="116"/>
      <c r="C30" s="117" t="s">
        <v>32</v>
      </c>
      <c r="D30" s="117" t="s">
        <v>69</v>
      </c>
      <c r="E30" s="118" t="s">
        <v>769</v>
      </c>
      <c r="F30" s="119" t="s">
        <v>774</v>
      </c>
      <c r="G30" s="120" t="s">
        <v>665</v>
      </c>
      <c r="H30" s="121">
        <v>1</v>
      </c>
      <c r="I30" s="122">
        <v>0</v>
      </c>
      <c r="J30" s="122">
        <v>0</v>
      </c>
      <c r="K30" s="85">
        <v>0</v>
      </c>
      <c r="L30" s="86">
        <v>0</v>
      </c>
      <c r="M30" s="277">
        <f t="shared" si="0"/>
        <v>0</v>
      </c>
      <c r="N30" s="87">
        <f t="shared" si="1"/>
        <v>1</v>
      </c>
      <c r="O30" s="88">
        <f t="shared" si="2"/>
        <v>0</v>
      </c>
      <c r="P30" s="278">
        <f t="shared" si="3"/>
        <v>0</v>
      </c>
    </row>
    <row r="31" spans="1:16" s="109" customFormat="1" ht="16.5" customHeight="1" x14ac:dyDescent="0.2">
      <c r="A31" s="97"/>
      <c r="B31" s="116"/>
      <c r="C31" s="117" t="s">
        <v>34</v>
      </c>
      <c r="D31" s="117" t="s">
        <v>69</v>
      </c>
      <c r="E31" s="118" t="s">
        <v>771</v>
      </c>
      <c r="F31" s="119" t="s">
        <v>776</v>
      </c>
      <c r="G31" s="120" t="s">
        <v>665</v>
      </c>
      <c r="H31" s="121">
        <v>1</v>
      </c>
      <c r="I31" s="122">
        <v>0</v>
      </c>
      <c r="J31" s="122">
        <v>0</v>
      </c>
      <c r="K31" s="85">
        <v>0</v>
      </c>
      <c r="L31" s="86">
        <v>0</v>
      </c>
      <c r="M31" s="277">
        <f t="shared" si="0"/>
        <v>0</v>
      </c>
      <c r="N31" s="87">
        <f t="shared" si="1"/>
        <v>1</v>
      </c>
      <c r="O31" s="88">
        <f t="shared" si="2"/>
        <v>0</v>
      </c>
      <c r="P31" s="278">
        <f t="shared" si="3"/>
        <v>0</v>
      </c>
    </row>
    <row r="32" spans="1:16" s="109" customFormat="1" ht="16.5" customHeight="1" x14ac:dyDescent="0.2">
      <c r="A32" s="97"/>
      <c r="B32" s="116"/>
      <c r="C32" s="117" t="s">
        <v>1</v>
      </c>
      <c r="D32" s="117" t="s">
        <v>69</v>
      </c>
      <c r="E32" s="118" t="s">
        <v>773</v>
      </c>
      <c r="F32" s="119" t="s">
        <v>778</v>
      </c>
      <c r="G32" s="120" t="s">
        <v>665</v>
      </c>
      <c r="H32" s="121">
        <v>1</v>
      </c>
      <c r="I32" s="122">
        <v>0</v>
      </c>
      <c r="J32" s="122">
        <v>0</v>
      </c>
      <c r="K32" s="85">
        <v>0</v>
      </c>
      <c r="L32" s="86">
        <v>0</v>
      </c>
      <c r="M32" s="277">
        <f t="shared" si="0"/>
        <v>0</v>
      </c>
      <c r="N32" s="87">
        <f t="shared" si="1"/>
        <v>1</v>
      </c>
      <c r="O32" s="88">
        <f t="shared" si="2"/>
        <v>0</v>
      </c>
      <c r="P32" s="278">
        <f t="shared" si="3"/>
        <v>0</v>
      </c>
    </row>
    <row r="33" spans="1:16" s="109" customFormat="1" ht="6.95" customHeight="1" x14ac:dyDescent="0.2">
      <c r="A33" s="97"/>
      <c r="B33" s="97"/>
      <c r="C33" s="97"/>
      <c r="D33" s="97"/>
      <c r="E33" s="97"/>
      <c r="F33" s="97"/>
      <c r="G33" s="97"/>
      <c r="H33" s="97"/>
      <c r="I33" s="97"/>
      <c r="J33" s="97"/>
    </row>
    <row r="34" spans="1:16" ht="18" customHeight="1" x14ac:dyDescent="0.2">
      <c r="D34" s="89"/>
      <c r="E34" s="141" t="str">
        <f>CONCATENATE("CELKEM ",C$12)</f>
        <v>CELKEM 05 - PS 02.3 - Systém řízení technologického procesu</v>
      </c>
      <c r="F34" s="90"/>
      <c r="G34" s="90"/>
      <c r="H34" s="91"/>
      <c r="I34" s="90"/>
      <c r="J34" s="92">
        <v>0</v>
      </c>
      <c r="K34" s="94"/>
      <c r="L34" s="92"/>
      <c r="M34" s="147">
        <f>M32</f>
        <v>0</v>
      </c>
      <c r="N34" s="94"/>
      <c r="O34" s="92"/>
      <c r="P34" s="295">
        <f>P32</f>
        <v>0</v>
      </c>
    </row>
    <row r="35" spans="1:16" x14ac:dyDescent="0.2">
      <c r="I35" s="95"/>
    </row>
    <row r="36" spans="1:16" ht="14.25" x14ac:dyDescent="0.2">
      <c r="E36" s="58" t="s">
        <v>994</v>
      </c>
      <c r="F36" s="58"/>
      <c r="H36" s="96"/>
      <c r="J36" s="161"/>
      <c r="K36" s="58" t="s">
        <v>995</v>
      </c>
    </row>
  </sheetData>
  <protectedRanges>
    <protectedRange password="CCAA" sqref="K8" name="Oblast1_1_1_1_1_1"/>
    <protectedRange password="CCAA" sqref="D9:H10" name="Oblast1_2_1_1_1_1"/>
  </protectedRanges>
  <mergeCells count="2">
    <mergeCell ref="K9:M9"/>
    <mergeCell ref="N9:P9"/>
  </mergeCells>
  <conditionalFormatting sqref="D3:E7 H3:J7 K8:GF8 Q9:GF10 D1:J2 K1:GE7 K16:L32">
    <cfRule type="cellIs" dxfId="122" priority="85" operator="lessThan">
      <formula>0</formula>
    </cfRule>
  </conditionalFormatting>
  <conditionalFormatting sqref="G4">
    <cfRule type="cellIs" dxfId="121" priority="84" operator="lessThan">
      <formula>0</formula>
    </cfRule>
  </conditionalFormatting>
  <conditionalFormatting sqref="G3">
    <cfRule type="cellIs" dxfId="120" priority="83" operator="lessThan">
      <formula>0</formula>
    </cfRule>
  </conditionalFormatting>
  <conditionalFormatting sqref="D8:E8 H8:J8">
    <cfRule type="cellIs" dxfId="119" priority="82" operator="lessThan">
      <formula>0</formula>
    </cfRule>
  </conditionalFormatting>
  <conditionalFormatting sqref="N16:O32">
    <cfRule type="cellIs" dxfId="118" priority="33" operator="lessThan">
      <formula>0</formula>
    </cfRule>
  </conditionalFormatting>
  <conditionalFormatting sqref="N16:O32">
    <cfRule type="cellIs" dxfId="117" priority="32" operator="lessThan">
      <formula>0</formula>
    </cfRule>
  </conditionalFormatting>
  <conditionalFormatting sqref="K34 N34 P34:GP34">
    <cfRule type="cellIs" dxfId="116" priority="31" operator="lessThan">
      <formula>0</formula>
    </cfRule>
  </conditionalFormatting>
  <conditionalFormatting sqref="D34:J34">
    <cfRule type="cellIs" dxfId="115" priority="29" operator="lessThan">
      <formula>0</formula>
    </cfRule>
  </conditionalFormatting>
  <conditionalFormatting sqref="L36:HS36 D36 G36:I36">
    <cfRule type="cellIs" dxfId="114" priority="19" operator="lessThan">
      <formula>0</formula>
    </cfRule>
  </conditionalFormatting>
  <conditionalFormatting sqref="G36:I36 L36:M36">
    <cfRule type="cellIs" dxfId="113" priority="18" operator="lessThan">
      <formula>0</formula>
    </cfRule>
  </conditionalFormatting>
  <conditionalFormatting sqref="G36:I36">
    <cfRule type="cellIs" dxfId="112" priority="17" operator="lessThan">
      <formula>0</formula>
    </cfRule>
  </conditionalFormatting>
  <conditionalFormatting sqref="G36:I36">
    <cfRule type="cellIs" dxfId="111" priority="16" operator="lessThan">
      <formula>0</formula>
    </cfRule>
  </conditionalFormatting>
  <conditionalFormatting sqref="M34">
    <cfRule type="cellIs" dxfId="110" priority="6" operator="lessThan">
      <formula>0</formula>
    </cfRule>
  </conditionalFormatting>
  <conditionalFormatting sqref="L34 O34">
    <cfRule type="cellIs" dxfId="109" priority="4" operator="lessThan">
      <formula>0</formula>
    </cfRule>
  </conditionalFormatting>
  <conditionalFormatting sqref="D9:J10">
    <cfRule type="cellIs" dxfId="108" priority="3" operator="lessThan">
      <formula>0</formula>
    </cfRule>
  </conditionalFormatting>
  <conditionalFormatting sqref="K9:L10 N9:O9">
    <cfRule type="cellIs" dxfId="107" priority="2" operator="lessThan">
      <formula>0</formula>
    </cfRule>
  </conditionalFormatting>
  <conditionalFormatting sqref="M10:P10">
    <cfRule type="cellIs" dxfId="106" priority="1" operator="lessThan">
      <formula>0</formula>
    </cfRule>
  </conditionalFormatting>
  <pageMargins left="0.39370078740157483" right="0.39370078740157483" top="0.39370078740157483" bottom="0.39370078740157483" header="0" footer="0"/>
  <pageSetup paperSize="9" scale="62" fitToHeight="0" orientation="portrait" r:id="rId1"/>
  <headerFooter>
    <oddFooter>&amp;CStrana &amp;P z &amp;N</oddFooter>
  </headerFooter>
  <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sheetPr>
    <pageSetUpPr fitToPage="1"/>
  </sheetPr>
  <dimension ref="A1:S31"/>
  <sheetViews>
    <sheetView showGridLines="0" view="pageBreakPreview" topLeftCell="A4" zoomScale="60" zoomScaleNormal="100" workbookViewId="0">
      <selection activeCell="J31" sqref="J31"/>
    </sheetView>
  </sheetViews>
  <sheetFormatPr defaultColWidth="9.33203125" defaultRowHeight="11.25" x14ac:dyDescent="0.2"/>
  <cols>
    <col min="1" max="1" width="8.33203125" style="60" customWidth="1"/>
    <col min="2" max="2" width="1.6640625" style="60" customWidth="1"/>
    <col min="3" max="3" width="4.1640625" style="60" customWidth="1"/>
    <col min="4" max="4" width="4.33203125" style="60" customWidth="1"/>
    <col min="5" max="5" width="17.1640625" style="60" customWidth="1"/>
    <col min="6" max="6" width="50.83203125" style="60" customWidth="1"/>
    <col min="7" max="7" width="7" style="60" customWidth="1"/>
    <col min="8" max="8" width="11.5" style="60" customWidth="1"/>
    <col min="9" max="10" width="20.1640625" style="60" customWidth="1"/>
    <col min="11" max="12" width="17" style="60" customWidth="1"/>
    <col min="13" max="13" width="13.83203125" style="60" bestFit="1" customWidth="1"/>
    <col min="14" max="14" width="16.33203125" style="60" bestFit="1" customWidth="1"/>
    <col min="15" max="15" width="20.1640625" style="60" bestFit="1" customWidth="1"/>
    <col min="16" max="16" width="17.83203125" style="60" bestFit="1" customWidth="1"/>
    <col min="17" max="17" width="33.1640625" style="60" bestFit="1" customWidth="1"/>
    <col min="18" max="18" width="8.83203125" style="60" bestFit="1" customWidth="1"/>
    <col min="19" max="19" width="16" style="60" bestFit="1" customWidth="1"/>
    <col min="20" max="16384" width="9.33203125" style="60"/>
  </cols>
  <sheetData>
    <row r="1" spans="1:17" ht="15" x14ac:dyDescent="0.2">
      <c r="F1" s="3"/>
      <c r="G1" s="4"/>
      <c r="H1" s="1"/>
      <c r="J1" s="61"/>
    </row>
    <row r="2" spans="1:17" s="1" customFormat="1" ht="15" x14ac:dyDescent="0.2">
      <c r="E2" s="2"/>
      <c r="F2" s="3" t="s">
        <v>979</v>
      </c>
      <c r="G2" s="4" t="str">
        <f>'[1]VRN 01'!G3</f>
        <v>Odkanalizování povodí Jizery - část B</v>
      </c>
      <c r="I2" s="5"/>
      <c r="J2" s="63"/>
      <c r="K2" s="10"/>
      <c r="L2" s="11"/>
      <c r="M2" s="11"/>
      <c r="N2" s="64"/>
    </row>
    <row r="3" spans="1:17" s="1" customFormat="1" ht="15" x14ac:dyDescent="0.2">
      <c r="E3" s="2"/>
      <c r="F3" s="3" t="s">
        <v>980</v>
      </c>
      <c r="G3" s="4" t="str">
        <f>+'Rekapitulace stavby'!D2</f>
        <v>ÚHERCE, výstavba kanalizace - UZNATELNÉ NÁKLADY - doměrky</v>
      </c>
      <c r="H3" s="2"/>
      <c r="I3" s="5"/>
      <c r="J3" s="63"/>
      <c r="K3" s="10"/>
      <c r="L3" s="11"/>
      <c r="M3" s="11"/>
      <c r="N3" s="64"/>
    </row>
    <row r="4" spans="1:17" s="2" customFormat="1" ht="15" x14ac:dyDescent="0.2">
      <c r="F4" s="12" t="s">
        <v>981</v>
      </c>
      <c r="G4" s="13" t="str">
        <f>'[1]VRN 01'!G5</f>
        <v>VRI/SOD/2020/Ži</v>
      </c>
      <c r="I4" s="5"/>
      <c r="J4" s="65"/>
      <c r="K4" s="18"/>
      <c r="L4" s="19"/>
      <c r="M4" s="19"/>
      <c r="N4" s="66"/>
    </row>
    <row r="5" spans="1:17" s="2" customFormat="1" ht="15" x14ac:dyDescent="0.2">
      <c r="F5" s="12" t="s">
        <v>983</v>
      </c>
      <c r="G5" s="13" t="s">
        <v>1001</v>
      </c>
      <c r="I5" s="5"/>
      <c r="J5" s="65"/>
      <c r="K5" s="18"/>
      <c r="L5" s="19"/>
      <c r="M5" s="19"/>
      <c r="N5" s="66"/>
    </row>
    <row r="6" spans="1:17" s="2" customFormat="1" ht="15" x14ac:dyDescent="0.2">
      <c r="F6" s="3" t="s">
        <v>984</v>
      </c>
      <c r="G6" s="13" t="str">
        <f>'[1]VRN 01'!G7</f>
        <v>Vododvody a kanalizace Mladá Boleslav, a.s.</v>
      </c>
      <c r="I6" s="5"/>
      <c r="J6" s="65"/>
      <c r="K6" s="18"/>
      <c r="L6" s="19"/>
      <c r="M6" s="19"/>
      <c r="N6" s="66"/>
    </row>
    <row r="7" spans="1:17" s="2" customFormat="1" ht="15" x14ac:dyDescent="0.2">
      <c r="F7" s="3" t="s">
        <v>986</v>
      </c>
      <c r="G7" s="20" t="str">
        <f>'[1]VRN 01'!G8</f>
        <v>VCES a.s.</v>
      </c>
      <c r="H7" s="67"/>
      <c r="I7" s="5"/>
      <c r="J7" s="65"/>
      <c r="K7" s="18"/>
      <c r="L7" s="19"/>
      <c r="M7" s="19"/>
      <c r="N7" s="66"/>
    </row>
    <row r="8" spans="1:17" s="68" customFormat="1" ht="12.75" x14ac:dyDescent="0.2">
      <c r="D8" s="69"/>
      <c r="F8" s="3"/>
      <c r="G8" s="20"/>
      <c r="H8" s="67"/>
      <c r="K8" s="72" t="s">
        <v>996</v>
      </c>
      <c r="L8" s="73" t="str">
        <f>+C12</f>
        <v>04 - SO 02.1 - Přípojka NN k ČSOV 1</v>
      </c>
      <c r="M8" s="73"/>
      <c r="O8" s="74"/>
    </row>
    <row r="9" spans="1:17" s="75" customFormat="1" ht="12.75" x14ac:dyDescent="0.2">
      <c r="C9" s="76"/>
      <c r="D9" s="77"/>
      <c r="E9" s="77"/>
      <c r="F9" s="77"/>
      <c r="G9" s="77"/>
      <c r="H9" s="77"/>
      <c r="I9" s="78"/>
      <c r="J9" s="79"/>
      <c r="K9" s="332" t="s">
        <v>1266</v>
      </c>
      <c r="L9" s="332"/>
      <c r="M9" s="332"/>
      <c r="N9" s="339" t="s">
        <v>1267</v>
      </c>
      <c r="O9" s="339"/>
      <c r="P9" s="340"/>
    </row>
    <row r="10" spans="1:17" s="75" customFormat="1" ht="24" x14ac:dyDescent="0.2">
      <c r="C10" s="80"/>
      <c r="D10" s="81" t="s">
        <v>997</v>
      </c>
      <c r="E10" s="81" t="s">
        <v>976</v>
      </c>
      <c r="F10" s="81" t="s">
        <v>977</v>
      </c>
      <c r="G10" s="81" t="s">
        <v>64</v>
      </c>
      <c r="H10" s="82" t="s">
        <v>65</v>
      </c>
      <c r="I10" s="83" t="s">
        <v>998</v>
      </c>
      <c r="J10" s="84" t="s">
        <v>978</v>
      </c>
      <c r="K10" s="218" t="s">
        <v>999</v>
      </c>
      <c r="L10" s="219" t="s">
        <v>1260</v>
      </c>
      <c r="M10" s="220" t="s">
        <v>978</v>
      </c>
      <c r="N10" s="263" t="s">
        <v>1264</v>
      </c>
      <c r="O10" s="264" t="s">
        <v>1260</v>
      </c>
      <c r="P10" s="265" t="s">
        <v>978</v>
      </c>
      <c r="Q10" s="157" t="s">
        <v>1150</v>
      </c>
    </row>
    <row r="12" spans="1:17" s="109" customFormat="1" ht="15.75" x14ac:dyDescent="0.25">
      <c r="A12" s="97"/>
      <c r="B12" s="97"/>
      <c r="C12" s="98" t="s">
        <v>793</v>
      </c>
      <c r="D12" s="97"/>
      <c r="E12" s="97"/>
      <c r="F12" s="97"/>
      <c r="G12" s="97"/>
      <c r="H12" s="97"/>
      <c r="I12" s="97"/>
      <c r="J12" s="99">
        <v>21536.53</v>
      </c>
    </row>
    <row r="13" spans="1:17" s="110" customFormat="1" ht="15" x14ac:dyDescent="0.2">
      <c r="D13" s="111" t="s">
        <v>3</v>
      </c>
      <c r="E13" s="112" t="s">
        <v>587</v>
      </c>
      <c r="F13" s="112" t="s">
        <v>588</v>
      </c>
      <c r="J13" s="113">
        <v>19069.349999999999</v>
      </c>
    </row>
    <row r="14" spans="1:17" s="110" customFormat="1" ht="12.75" x14ac:dyDescent="0.2">
      <c r="D14" s="111" t="s">
        <v>3</v>
      </c>
      <c r="E14" s="114" t="s">
        <v>794</v>
      </c>
      <c r="F14" s="114" t="s">
        <v>795</v>
      </c>
      <c r="J14" s="115">
        <v>19069.349999999999</v>
      </c>
      <c r="K14" s="103" t="str">
        <f>IF(ISBLANK(H14),"",SUM(#REF!+#REF!+#REF!+#REF!+#REF!+#REF!+#REF!+#REF!+#REF!+#REF!+#REF!,#REF!,#REF!,#REF!,#REF!,#REF!,#REF!,#REF!,#REF!,#REF!,#REF!,#REF!))</f>
        <v/>
      </c>
      <c r="L14" s="104" t="str">
        <f>IF(ISBLANK(H14),"",SUM(#REF!+#REF!+#REF!+#REF!+#REF!+#REF!+#REF!+#REF!+#REF!+#REF!+#REF!,#REF!,#REF!,#REF!,#REF!,#REF!,#REF!,#REF!,#REF!,#REF!,#REF!,#REF!,#REF!))</f>
        <v/>
      </c>
      <c r="M14" s="301">
        <f>SUM(M15:M23)</f>
        <v>352.96</v>
      </c>
      <c r="N14" s="302" t="str">
        <f t="shared" ref="N14:N27" si="0">IF(ISBLANK(H14),"",H14-K14)</f>
        <v/>
      </c>
      <c r="O14" s="303" t="str">
        <f>IF(ISBLANK(H14),"",J14-L14)</f>
        <v/>
      </c>
      <c r="P14" s="301">
        <f>SUM(P15:P23)</f>
        <v>18716.39</v>
      </c>
    </row>
    <row r="15" spans="1:17" s="109" customFormat="1" ht="36" x14ac:dyDescent="0.2">
      <c r="A15" s="97"/>
      <c r="B15" s="116"/>
      <c r="C15" s="117" t="s">
        <v>7</v>
      </c>
      <c r="D15" s="117" t="s">
        <v>69</v>
      </c>
      <c r="E15" s="118" t="s">
        <v>796</v>
      </c>
      <c r="F15" s="119" t="s">
        <v>797</v>
      </c>
      <c r="G15" s="120" t="s">
        <v>61</v>
      </c>
      <c r="H15" s="121">
        <v>70</v>
      </c>
      <c r="I15" s="122">
        <v>59.18</v>
      </c>
      <c r="J15" s="122">
        <v>4142.6000000000004</v>
      </c>
      <c r="K15" s="85">
        <v>2</v>
      </c>
      <c r="L15" s="86">
        <f>I15</f>
        <v>59.18</v>
      </c>
      <c r="M15" s="277">
        <f>K15*L15</f>
        <v>118.36</v>
      </c>
      <c r="N15" s="87">
        <f t="shared" si="0"/>
        <v>68</v>
      </c>
      <c r="O15" s="88">
        <f>I15</f>
        <v>59.18</v>
      </c>
      <c r="P15" s="278">
        <f>N15*O15</f>
        <v>4024.24</v>
      </c>
    </row>
    <row r="16" spans="1:17" s="109" customFormat="1" ht="24" x14ac:dyDescent="0.2">
      <c r="A16" s="97"/>
      <c r="B16" s="116"/>
      <c r="C16" s="123" t="s">
        <v>8</v>
      </c>
      <c r="D16" s="123" t="s">
        <v>127</v>
      </c>
      <c r="E16" s="124" t="s">
        <v>798</v>
      </c>
      <c r="F16" s="125" t="s">
        <v>799</v>
      </c>
      <c r="G16" s="126" t="s">
        <v>61</v>
      </c>
      <c r="H16" s="127">
        <v>70</v>
      </c>
      <c r="I16" s="128">
        <v>26.17</v>
      </c>
      <c r="J16" s="128">
        <v>1831.9</v>
      </c>
      <c r="K16" s="85">
        <v>2</v>
      </c>
      <c r="L16" s="86">
        <f t="shared" ref="L16:L27" si="1">I16</f>
        <v>26.17</v>
      </c>
      <c r="M16" s="277">
        <f t="shared" ref="M16:M27" si="2">K16*L16</f>
        <v>52.34</v>
      </c>
      <c r="N16" s="87">
        <f t="shared" si="0"/>
        <v>68</v>
      </c>
      <c r="O16" s="88">
        <f t="shared" ref="O16:O27" si="3">I16</f>
        <v>26.17</v>
      </c>
      <c r="P16" s="278">
        <f t="shared" ref="P16:P27" si="4">N16*O16</f>
        <v>1779.5600000000002</v>
      </c>
    </row>
    <row r="17" spans="1:19" s="109" customFormat="1" ht="24" x14ac:dyDescent="0.2">
      <c r="A17" s="97"/>
      <c r="B17" s="116"/>
      <c r="C17" s="123" t="s">
        <v>76</v>
      </c>
      <c r="D17" s="123" t="s">
        <v>127</v>
      </c>
      <c r="E17" s="124" t="s">
        <v>800</v>
      </c>
      <c r="F17" s="125" t="s">
        <v>801</v>
      </c>
      <c r="G17" s="126" t="s">
        <v>138</v>
      </c>
      <c r="H17" s="127">
        <v>2</v>
      </c>
      <c r="I17" s="128">
        <v>414.29</v>
      </c>
      <c r="J17" s="128">
        <v>828.58</v>
      </c>
      <c r="K17" s="85">
        <v>0</v>
      </c>
      <c r="L17" s="86">
        <f t="shared" si="1"/>
        <v>414.29</v>
      </c>
      <c r="M17" s="277">
        <f t="shared" si="2"/>
        <v>0</v>
      </c>
      <c r="N17" s="87">
        <f t="shared" si="0"/>
        <v>2</v>
      </c>
      <c r="O17" s="88">
        <f t="shared" si="3"/>
        <v>414.29</v>
      </c>
      <c r="P17" s="278">
        <f t="shared" si="4"/>
        <v>828.58</v>
      </c>
    </row>
    <row r="18" spans="1:19" s="109" customFormat="1" ht="24" x14ac:dyDescent="0.2">
      <c r="A18" s="97"/>
      <c r="B18" s="116"/>
      <c r="C18" s="123" t="s">
        <v>73</v>
      </c>
      <c r="D18" s="123" t="s">
        <v>127</v>
      </c>
      <c r="E18" s="124" t="s">
        <v>802</v>
      </c>
      <c r="F18" s="125" t="s">
        <v>803</v>
      </c>
      <c r="G18" s="126" t="s">
        <v>804</v>
      </c>
      <c r="H18" s="127">
        <v>4</v>
      </c>
      <c r="I18" s="128">
        <v>7.89</v>
      </c>
      <c r="J18" s="128">
        <v>31.56</v>
      </c>
      <c r="K18" s="85">
        <v>0</v>
      </c>
      <c r="L18" s="86">
        <f t="shared" si="1"/>
        <v>7.89</v>
      </c>
      <c r="M18" s="277">
        <f t="shared" si="2"/>
        <v>0</v>
      </c>
      <c r="N18" s="87">
        <f t="shared" si="0"/>
        <v>4</v>
      </c>
      <c r="O18" s="88">
        <f t="shared" si="3"/>
        <v>7.89</v>
      </c>
      <c r="P18" s="278">
        <f t="shared" si="4"/>
        <v>31.56</v>
      </c>
    </row>
    <row r="19" spans="1:19" s="109" customFormat="1" ht="12" x14ac:dyDescent="0.2">
      <c r="A19" s="97"/>
      <c r="B19" s="116"/>
      <c r="C19" s="123" t="s">
        <v>81</v>
      </c>
      <c r="D19" s="123" t="s">
        <v>127</v>
      </c>
      <c r="E19" s="124" t="s">
        <v>805</v>
      </c>
      <c r="F19" s="125" t="s">
        <v>806</v>
      </c>
      <c r="G19" s="126" t="s">
        <v>61</v>
      </c>
      <c r="H19" s="127">
        <v>4</v>
      </c>
      <c r="I19" s="128">
        <v>36.56</v>
      </c>
      <c r="J19" s="128">
        <v>146.24</v>
      </c>
      <c r="K19" s="85">
        <v>0</v>
      </c>
      <c r="L19" s="86">
        <f t="shared" si="1"/>
        <v>36.56</v>
      </c>
      <c r="M19" s="277">
        <f t="shared" si="2"/>
        <v>0</v>
      </c>
      <c r="N19" s="87">
        <f t="shared" si="0"/>
        <v>4</v>
      </c>
      <c r="O19" s="88">
        <f t="shared" si="3"/>
        <v>36.56</v>
      </c>
      <c r="P19" s="278">
        <f t="shared" si="4"/>
        <v>146.24</v>
      </c>
    </row>
    <row r="20" spans="1:19" s="109" customFormat="1" ht="36" x14ac:dyDescent="0.2">
      <c r="A20" s="97"/>
      <c r="B20" s="116"/>
      <c r="C20" s="117" t="s">
        <v>84</v>
      </c>
      <c r="D20" s="117" t="s">
        <v>69</v>
      </c>
      <c r="E20" s="118" t="s">
        <v>807</v>
      </c>
      <c r="F20" s="119" t="s">
        <v>808</v>
      </c>
      <c r="G20" s="120" t="s">
        <v>61</v>
      </c>
      <c r="H20" s="121">
        <v>70</v>
      </c>
      <c r="I20" s="122">
        <v>32.880000000000003</v>
      </c>
      <c r="J20" s="122">
        <v>2301.6</v>
      </c>
      <c r="K20" s="85">
        <v>2</v>
      </c>
      <c r="L20" s="86">
        <f t="shared" si="1"/>
        <v>32.880000000000003</v>
      </c>
      <c r="M20" s="277">
        <f t="shared" si="2"/>
        <v>65.760000000000005</v>
      </c>
      <c r="N20" s="87">
        <f t="shared" si="0"/>
        <v>68</v>
      </c>
      <c r="O20" s="88">
        <f t="shared" si="3"/>
        <v>32.880000000000003</v>
      </c>
      <c r="P20" s="278">
        <f t="shared" si="4"/>
        <v>2235.84</v>
      </c>
      <c r="Q20" s="331" t="s">
        <v>1162</v>
      </c>
      <c r="R20" s="335" t="s">
        <v>1179</v>
      </c>
    </row>
    <row r="21" spans="1:19" s="109" customFormat="1" ht="12" x14ac:dyDescent="0.2">
      <c r="A21" s="97"/>
      <c r="B21" s="116"/>
      <c r="C21" s="123" t="s">
        <v>87</v>
      </c>
      <c r="D21" s="123" t="s">
        <v>127</v>
      </c>
      <c r="E21" s="124" t="s">
        <v>809</v>
      </c>
      <c r="F21" s="125" t="s">
        <v>810</v>
      </c>
      <c r="G21" s="126" t="s">
        <v>61</v>
      </c>
      <c r="H21" s="127">
        <v>70</v>
      </c>
      <c r="I21" s="128">
        <v>58.25</v>
      </c>
      <c r="J21" s="128">
        <v>4077.5</v>
      </c>
      <c r="K21" s="85">
        <v>2</v>
      </c>
      <c r="L21" s="86">
        <f t="shared" si="1"/>
        <v>58.25</v>
      </c>
      <c r="M21" s="277">
        <f t="shared" si="2"/>
        <v>116.5</v>
      </c>
      <c r="N21" s="87">
        <f t="shared" si="0"/>
        <v>68</v>
      </c>
      <c r="O21" s="88">
        <f t="shared" si="3"/>
        <v>58.25</v>
      </c>
      <c r="P21" s="278">
        <f t="shared" si="4"/>
        <v>3961</v>
      </c>
      <c r="Q21" s="331"/>
      <c r="R21" s="335"/>
    </row>
    <row r="22" spans="1:19" s="109" customFormat="1" ht="36" x14ac:dyDescent="0.2">
      <c r="A22" s="97"/>
      <c r="B22" s="116"/>
      <c r="C22" s="117" t="s">
        <v>90</v>
      </c>
      <c r="D22" s="117" t="s">
        <v>69</v>
      </c>
      <c r="E22" s="118" t="s">
        <v>811</v>
      </c>
      <c r="F22" s="119" t="s">
        <v>812</v>
      </c>
      <c r="G22" s="120" t="s">
        <v>138</v>
      </c>
      <c r="H22" s="121">
        <v>1</v>
      </c>
      <c r="I22" s="122">
        <v>1972.83</v>
      </c>
      <c r="J22" s="122">
        <v>1972.83</v>
      </c>
      <c r="K22" s="85">
        <v>0</v>
      </c>
      <c r="L22" s="86">
        <f t="shared" si="1"/>
        <v>1972.83</v>
      </c>
      <c r="M22" s="277">
        <f t="shared" si="2"/>
        <v>0</v>
      </c>
      <c r="N22" s="87">
        <f t="shared" si="0"/>
        <v>1</v>
      </c>
      <c r="O22" s="88">
        <f t="shared" si="3"/>
        <v>1972.83</v>
      </c>
      <c r="P22" s="278">
        <f t="shared" si="4"/>
        <v>1972.83</v>
      </c>
    </row>
    <row r="23" spans="1:19" s="109" customFormat="1" ht="24" x14ac:dyDescent="0.2">
      <c r="A23" s="97"/>
      <c r="B23" s="116"/>
      <c r="C23" s="123" t="s">
        <v>93</v>
      </c>
      <c r="D23" s="123" t="s">
        <v>127</v>
      </c>
      <c r="E23" s="124" t="s">
        <v>813</v>
      </c>
      <c r="F23" s="125" t="s">
        <v>814</v>
      </c>
      <c r="G23" s="126" t="s">
        <v>138</v>
      </c>
      <c r="H23" s="127">
        <v>1</v>
      </c>
      <c r="I23" s="128">
        <v>3736.54</v>
      </c>
      <c r="J23" s="128">
        <v>3736.54</v>
      </c>
      <c r="K23" s="85">
        <v>0</v>
      </c>
      <c r="L23" s="86">
        <f t="shared" si="1"/>
        <v>3736.54</v>
      </c>
      <c r="M23" s="277">
        <f t="shared" si="2"/>
        <v>0</v>
      </c>
      <c r="N23" s="87">
        <f t="shared" si="0"/>
        <v>1</v>
      </c>
      <c r="O23" s="88">
        <f t="shared" si="3"/>
        <v>3736.54</v>
      </c>
      <c r="P23" s="278">
        <f t="shared" si="4"/>
        <v>3736.54</v>
      </c>
    </row>
    <row r="24" spans="1:19" s="110" customFormat="1" ht="15" x14ac:dyDescent="0.2">
      <c r="C24" s="129"/>
      <c r="D24" s="130" t="s">
        <v>3</v>
      </c>
      <c r="E24" s="142" t="s">
        <v>127</v>
      </c>
      <c r="F24" s="142" t="s">
        <v>653</v>
      </c>
      <c r="G24" s="129"/>
      <c r="H24" s="129"/>
      <c r="I24" s="129"/>
      <c r="J24" s="143">
        <v>2467.1800000000003</v>
      </c>
      <c r="K24" s="85"/>
      <c r="L24" s="86"/>
      <c r="M24" s="298">
        <f t="shared" si="2"/>
        <v>0</v>
      </c>
      <c r="N24" s="299" t="str">
        <f t="shared" si="0"/>
        <v/>
      </c>
      <c r="O24" s="300"/>
      <c r="P24" s="298">
        <f>P25</f>
        <v>2467.1759999999999</v>
      </c>
    </row>
    <row r="25" spans="1:19" s="110" customFormat="1" ht="12.75" x14ac:dyDescent="0.2">
      <c r="C25" s="129"/>
      <c r="D25" s="130" t="s">
        <v>3</v>
      </c>
      <c r="E25" s="131" t="s">
        <v>815</v>
      </c>
      <c r="F25" s="131" t="s">
        <v>816</v>
      </c>
      <c r="G25" s="129"/>
      <c r="H25" s="129"/>
      <c r="I25" s="129"/>
      <c r="J25" s="132">
        <v>2467.1800000000003</v>
      </c>
      <c r="K25" s="85"/>
      <c r="L25" s="86"/>
      <c r="M25" s="298">
        <f t="shared" si="2"/>
        <v>0</v>
      </c>
      <c r="N25" s="299" t="str">
        <f t="shared" si="0"/>
        <v/>
      </c>
      <c r="O25" s="300"/>
      <c r="P25" s="298">
        <f>P26+P27</f>
        <v>2467.1759999999999</v>
      </c>
    </row>
    <row r="26" spans="1:19" s="109" customFormat="1" ht="48" x14ac:dyDescent="0.2">
      <c r="A26" s="97"/>
      <c r="B26" s="116"/>
      <c r="C26" s="117" t="s">
        <v>26</v>
      </c>
      <c r="D26" s="117" t="s">
        <v>69</v>
      </c>
      <c r="E26" s="118" t="s">
        <v>817</v>
      </c>
      <c r="F26" s="119" t="s">
        <v>818</v>
      </c>
      <c r="G26" s="120" t="s">
        <v>61</v>
      </c>
      <c r="H26" s="121">
        <v>10</v>
      </c>
      <c r="I26" s="122">
        <v>202.02</v>
      </c>
      <c r="J26" s="122">
        <v>2020.2</v>
      </c>
      <c r="K26" s="85">
        <v>0</v>
      </c>
      <c r="L26" s="86">
        <f t="shared" si="1"/>
        <v>202.02</v>
      </c>
      <c r="M26" s="277">
        <f t="shared" si="2"/>
        <v>0</v>
      </c>
      <c r="N26" s="87">
        <f t="shared" si="0"/>
        <v>10</v>
      </c>
      <c r="O26" s="88">
        <f t="shared" si="3"/>
        <v>202.02</v>
      </c>
      <c r="P26" s="278">
        <f t="shared" si="4"/>
        <v>2020.2</v>
      </c>
      <c r="Q26" s="331" t="s">
        <v>1163</v>
      </c>
      <c r="R26" s="341" t="s">
        <v>1178</v>
      </c>
      <c r="S26" s="327" t="s">
        <v>1192</v>
      </c>
    </row>
    <row r="27" spans="1:19" s="109" customFormat="1" ht="36" x14ac:dyDescent="0.2">
      <c r="A27" s="97"/>
      <c r="B27" s="116"/>
      <c r="C27" s="117" t="s">
        <v>28</v>
      </c>
      <c r="D27" s="117" t="s">
        <v>69</v>
      </c>
      <c r="E27" s="118" t="s">
        <v>819</v>
      </c>
      <c r="F27" s="119" t="s">
        <v>820</v>
      </c>
      <c r="G27" s="120" t="s">
        <v>62</v>
      </c>
      <c r="H27" s="121">
        <v>4.8</v>
      </c>
      <c r="I27" s="122">
        <v>93.12</v>
      </c>
      <c r="J27" s="122">
        <v>446.98</v>
      </c>
      <c r="K27" s="85">
        <v>0</v>
      </c>
      <c r="L27" s="86">
        <f t="shared" si="1"/>
        <v>93.12</v>
      </c>
      <c r="M27" s="277">
        <f t="shared" si="2"/>
        <v>0</v>
      </c>
      <c r="N27" s="87">
        <f t="shared" si="0"/>
        <v>4.8</v>
      </c>
      <c r="O27" s="88">
        <f t="shared" si="3"/>
        <v>93.12</v>
      </c>
      <c r="P27" s="278">
        <f t="shared" si="4"/>
        <v>446.976</v>
      </c>
      <c r="Q27" s="331"/>
      <c r="R27" s="341"/>
      <c r="S27" s="327"/>
    </row>
    <row r="28" spans="1:19" s="109" customFormat="1" x14ac:dyDescent="0.2">
      <c r="A28" s="97"/>
      <c r="B28" s="97"/>
      <c r="C28" s="97"/>
      <c r="D28" s="97"/>
      <c r="E28" s="97"/>
      <c r="F28" s="97"/>
      <c r="G28" s="97"/>
      <c r="H28" s="97"/>
      <c r="I28" s="97"/>
      <c r="J28" s="97"/>
    </row>
    <row r="29" spans="1:19" ht="12.75" x14ac:dyDescent="0.2">
      <c r="D29" s="89"/>
      <c r="E29" s="141" t="str">
        <f>CONCATENATE("CELKEM ",C$12)</f>
        <v>CELKEM 04 - SO 02.1 - Přípojka NN k ČSOV 1</v>
      </c>
      <c r="F29" s="90"/>
      <c r="G29" s="90"/>
      <c r="H29" s="91"/>
      <c r="I29" s="90"/>
      <c r="J29" s="92">
        <v>21536.53</v>
      </c>
      <c r="K29" s="94"/>
      <c r="L29" s="92"/>
      <c r="M29" s="147">
        <f>M24+M14</f>
        <v>352.96</v>
      </c>
      <c r="N29" s="94"/>
      <c r="O29" s="92"/>
      <c r="P29" s="147">
        <f>P24+P14</f>
        <v>21183.565999999999</v>
      </c>
    </row>
    <row r="30" spans="1:19" x14ac:dyDescent="0.2">
      <c r="I30" s="95"/>
    </row>
    <row r="31" spans="1:19" ht="14.25" x14ac:dyDescent="0.2">
      <c r="E31" s="58" t="s">
        <v>994</v>
      </c>
      <c r="F31" s="58"/>
      <c r="H31" s="96"/>
      <c r="J31" s="161"/>
      <c r="K31" s="58" t="s">
        <v>995</v>
      </c>
    </row>
  </sheetData>
  <protectedRanges>
    <protectedRange password="CCAA" sqref="K8" name="Oblast1_1_1_1_1_1"/>
    <protectedRange password="CCAA" sqref="D9:H10" name="Oblast1_2_1_1_1_1"/>
  </protectedRanges>
  <autoFilter ref="C10:P27" xr:uid="{BD03E55C-DEF8-421E-86F3-B8A967645DD7}"/>
  <mergeCells count="7">
    <mergeCell ref="K9:M9"/>
    <mergeCell ref="N9:P9"/>
    <mergeCell ref="S26:S27"/>
    <mergeCell ref="Q20:Q21"/>
    <mergeCell ref="Q26:Q27"/>
    <mergeCell ref="R26:R27"/>
    <mergeCell ref="R20:R21"/>
  </mergeCells>
  <conditionalFormatting sqref="D3:E7 H3:J7 K8:GF8 Q9:GF10 D1:J2 K1:GE7 K14:L27">
    <cfRule type="cellIs" dxfId="105" priority="87" operator="lessThan">
      <formula>0</formula>
    </cfRule>
  </conditionalFormatting>
  <conditionalFormatting sqref="G4">
    <cfRule type="cellIs" dxfId="104" priority="86" operator="lessThan">
      <formula>0</formula>
    </cfRule>
  </conditionalFormatting>
  <conditionalFormatting sqref="G3">
    <cfRule type="cellIs" dxfId="103" priority="85" operator="lessThan">
      <formula>0</formula>
    </cfRule>
  </conditionalFormatting>
  <conditionalFormatting sqref="D8:E8 H8:J8">
    <cfRule type="cellIs" dxfId="102" priority="84" operator="lessThan">
      <formula>0</formula>
    </cfRule>
  </conditionalFormatting>
  <conditionalFormatting sqref="N14:O27">
    <cfRule type="cellIs" dxfId="101" priority="35" operator="lessThan">
      <formula>0</formula>
    </cfRule>
  </conditionalFormatting>
  <conditionalFormatting sqref="N14:O27">
    <cfRule type="cellIs" dxfId="100" priority="34" operator="lessThan">
      <formula>0</formula>
    </cfRule>
  </conditionalFormatting>
  <conditionalFormatting sqref="K29 N29 Q29:GP29">
    <cfRule type="cellIs" dxfId="99" priority="33" operator="lessThan">
      <formula>0</formula>
    </cfRule>
  </conditionalFormatting>
  <conditionalFormatting sqref="D29:J29">
    <cfRule type="cellIs" dxfId="98" priority="31" operator="lessThan">
      <formula>0</formula>
    </cfRule>
  </conditionalFormatting>
  <conditionalFormatting sqref="L31:HS31 D31 G31:I31">
    <cfRule type="cellIs" dxfId="97" priority="21" operator="lessThan">
      <formula>0</formula>
    </cfRule>
  </conditionalFormatting>
  <conditionalFormatting sqref="G31:I31 L31:M31">
    <cfRule type="cellIs" dxfId="96" priority="20" operator="lessThan">
      <formula>0</formula>
    </cfRule>
  </conditionalFormatting>
  <conditionalFormatting sqref="G31:I31">
    <cfRule type="cellIs" dxfId="95" priority="19" operator="lessThan">
      <formula>0</formula>
    </cfRule>
  </conditionalFormatting>
  <conditionalFormatting sqref="G31:I31">
    <cfRule type="cellIs" dxfId="94" priority="18" operator="lessThan">
      <formula>0</formula>
    </cfRule>
  </conditionalFormatting>
  <conditionalFormatting sqref="M29">
    <cfRule type="cellIs" dxfId="93" priority="8" operator="lessThan">
      <formula>0</formula>
    </cfRule>
  </conditionalFormatting>
  <conditionalFormatting sqref="L29 O29">
    <cfRule type="cellIs" dxfId="92" priority="6" operator="lessThan">
      <formula>0</formula>
    </cfRule>
  </conditionalFormatting>
  <conditionalFormatting sqref="D9:J10">
    <cfRule type="cellIs" dxfId="91" priority="4" operator="lessThan">
      <formula>0</formula>
    </cfRule>
  </conditionalFormatting>
  <conditionalFormatting sqref="K9:L10 N9:O9">
    <cfRule type="cellIs" dxfId="90" priority="3" operator="lessThan">
      <formula>0</formula>
    </cfRule>
  </conditionalFormatting>
  <conditionalFormatting sqref="M10:P10">
    <cfRule type="cellIs" dxfId="89" priority="2" operator="lessThan">
      <formula>0</formula>
    </cfRule>
  </conditionalFormatting>
  <conditionalFormatting sqref="P29">
    <cfRule type="cellIs" dxfId="88" priority="1" operator="lessThan">
      <formula>0</formula>
    </cfRule>
  </conditionalFormatting>
  <pageMargins left="0.39370078740157483" right="0.39370078740157483" top="0.39370078740157483" bottom="0.39370078740157483" header="0" footer="0"/>
  <pageSetup paperSize="9" scale="50" fitToHeight="0" orientation="portrait" r:id="rId1"/>
  <headerFooter>
    <oddFooter>&amp;CStrana &amp;P z &amp;N</oddFooter>
  </headerFooter>
  <drawing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sheetPr>
    <pageSetUpPr fitToPage="1"/>
  </sheetPr>
  <dimension ref="A1:AF119"/>
  <sheetViews>
    <sheetView showGridLines="0" view="pageBreakPreview" topLeftCell="A89" zoomScale="60" zoomScaleNormal="90" workbookViewId="0">
      <selection activeCell="J119" sqref="J119"/>
    </sheetView>
  </sheetViews>
  <sheetFormatPr defaultColWidth="9.33203125" defaultRowHeight="11.25" x14ac:dyDescent="0.2"/>
  <cols>
    <col min="1" max="1" width="8.33203125" style="60" customWidth="1"/>
    <col min="2" max="2" width="1.6640625" style="60" customWidth="1"/>
    <col min="3" max="3" width="4.1640625" style="60" customWidth="1"/>
    <col min="4" max="4" width="4.33203125" style="60" customWidth="1"/>
    <col min="5" max="5" width="17.1640625" style="60" customWidth="1"/>
    <col min="6" max="6" width="50.83203125" style="60" customWidth="1"/>
    <col min="7" max="7" width="7" style="60" customWidth="1"/>
    <col min="8" max="8" width="11.5" style="60" customWidth="1"/>
    <col min="9" max="10" width="20.1640625" style="60" customWidth="1"/>
    <col min="11" max="12" width="14.33203125" style="60" customWidth="1"/>
    <col min="13" max="13" width="17" style="60" bestFit="1" customWidth="1"/>
    <col min="14" max="14" width="14.33203125" style="60" customWidth="1"/>
    <col min="15" max="15" width="20.1640625" style="60" bestFit="1" customWidth="1"/>
    <col min="16" max="16" width="19.1640625" style="60" bestFit="1" customWidth="1"/>
    <col min="17" max="17" width="26.6640625" style="60" bestFit="1" customWidth="1"/>
    <col min="18" max="18" width="8.83203125" style="60" bestFit="1" customWidth="1"/>
    <col min="19" max="22" width="0" style="60" hidden="1" customWidth="1"/>
    <col min="23" max="23" width="25.5" style="60" bestFit="1" customWidth="1"/>
    <col min="24" max="24" width="10.6640625" style="60" bestFit="1" customWidth="1"/>
    <col min="25" max="26" width="0" style="60" hidden="1" customWidth="1"/>
    <col min="27" max="27" width="42.1640625" style="60" bestFit="1" customWidth="1"/>
    <col min="28" max="28" width="14.33203125" style="60" bestFit="1" customWidth="1"/>
    <col min="29" max="29" width="42.1640625" style="60" bestFit="1" customWidth="1"/>
    <col min="30" max="30" width="21.6640625" style="60" bestFit="1" customWidth="1"/>
    <col min="31" max="31" width="0" style="60" hidden="1" customWidth="1"/>
    <col min="32" max="32" width="9.5" style="60" bestFit="1" customWidth="1"/>
    <col min="33" max="16384" width="9.33203125" style="60"/>
  </cols>
  <sheetData>
    <row r="1" spans="1:32" ht="18.95" customHeight="1" x14ac:dyDescent="0.2">
      <c r="F1" s="3"/>
      <c r="G1" s="4"/>
      <c r="H1" s="1"/>
      <c r="J1" s="61"/>
    </row>
    <row r="2" spans="1:32" s="1" customFormat="1" ht="18" customHeight="1" x14ac:dyDescent="0.2">
      <c r="E2" s="2"/>
      <c r="F2" s="3" t="s">
        <v>979</v>
      </c>
      <c r="G2" s="4" t="str">
        <f>'[1]VRN 01'!G3</f>
        <v>Odkanalizování povodí Jizery - část B</v>
      </c>
      <c r="I2" s="5"/>
      <c r="J2" s="63"/>
      <c r="K2" s="10"/>
      <c r="L2" s="11"/>
      <c r="M2" s="11"/>
      <c r="N2" s="64"/>
    </row>
    <row r="3" spans="1:32" s="1" customFormat="1" ht="18" customHeight="1" x14ac:dyDescent="0.2">
      <c r="E3" s="2"/>
      <c r="F3" s="3" t="s">
        <v>980</v>
      </c>
      <c r="G3" s="4" t="str">
        <f>+'Rekapitulace stavby'!D2</f>
        <v>ÚHERCE, výstavba kanalizace - UZNATELNÉ NÁKLADY - doměrky</v>
      </c>
      <c r="H3" s="2"/>
      <c r="I3" s="5"/>
      <c r="J3" s="63"/>
      <c r="K3" s="10"/>
      <c r="L3" s="11"/>
      <c r="M3" s="11"/>
      <c r="N3" s="64"/>
    </row>
    <row r="4" spans="1:32" s="2" customFormat="1" ht="18" customHeight="1" x14ac:dyDescent="0.2">
      <c r="F4" s="12" t="s">
        <v>981</v>
      </c>
      <c r="G4" s="13" t="str">
        <f>'[1]VRN 01'!G5</f>
        <v>VRI/SOD/2020/Ži</v>
      </c>
      <c r="I4" s="5"/>
      <c r="J4" s="65"/>
      <c r="K4" s="18"/>
      <c r="L4" s="19"/>
      <c r="M4" s="19"/>
      <c r="N4" s="66"/>
    </row>
    <row r="5" spans="1:32" s="2" customFormat="1" ht="18" customHeight="1" x14ac:dyDescent="0.2">
      <c r="F5" s="12" t="s">
        <v>983</v>
      </c>
      <c r="G5" s="13" t="s">
        <v>1001</v>
      </c>
      <c r="I5" s="5"/>
      <c r="J5" s="65"/>
      <c r="K5" s="18"/>
      <c r="L5" s="19"/>
      <c r="M5" s="19"/>
      <c r="N5" s="66"/>
    </row>
    <row r="6" spans="1:32" s="2" customFormat="1" ht="18" customHeight="1" x14ac:dyDescent="0.2">
      <c r="F6" s="3" t="s">
        <v>984</v>
      </c>
      <c r="G6" s="13" t="str">
        <f>'[1]VRN 01'!G7</f>
        <v>Vododvody a kanalizace Mladá Boleslav, a.s.</v>
      </c>
      <c r="I6" s="5"/>
      <c r="J6" s="65"/>
      <c r="K6" s="18"/>
      <c r="L6" s="19"/>
      <c r="M6" s="19"/>
      <c r="N6" s="66"/>
    </row>
    <row r="7" spans="1:32" s="2" customFormat="1" ht="18" customHeight="1" x14ac:dyDescent="0.2">
      <c r="F7" s="3" t="s">
        <v>986</v>
      </c>
      <c r="G7" s="20" t="str">
        <f>'[1]VRN 01'!G8</f>
        <v>VCES a.s.</v>
      </c>
      <c r="H7" s="67"/>
      <c r="I7" s="5"/>
      <c r="J7" s="65"/>
      <c r="K7" s="18"/>
      <c r="L7" s="19"/>
      <c r="M7" s="19"/>
      <c r="N7" s="66"/>
    </row>
    <row r="8" spans="1:32" s="68" customFormat="1" ht="18" customHeight="1" x14ac:dyDescent="0.2">
      <c r="D8" s="69"/>
      <c r="F8" s="3"/>
      <c r="G8" s="20"/>
      <c r="H8" s="67"/>
      <c r="K8" s="72" t="s">
        <v>996</v>
      </c>
      <c r="L8" s="73" t="str">
        <f>+C12</f>
        <v>05 - SO 02.2 - Výtlačný řad 3, Úherce - Dobrovice</v>
      </c>
      <c r="M8" s="73"/>
      <c r="O8" s="74"/>
    </row>
    <row r="9" spans="1:32" s="75" customFormat="1" ht="20.100000000000001" customHeight="1" x14ac:dyDescent="0.2">
      <c r="C9" s="76"/>
      <c r="D9" s="77"/>
      <c r="E9" s="77"/>
      <c r="F9" s="77"/>
      <c r="G9" s="77"/>
      <c r="H9" s="77"/>
      <c r="I9" s="78"/>
      <c r="J9" s="79"/>
      <c r="K9" s="332" t="s">
        <v>1266</v>
      </c>
      <c r="L9" s="332"/>
      <c r="M9" s="332"/>
      <c r="N9" s="339" t="s">
        <v>1267</v>
      </c>
      <c r="O9" s="339"/>
      <c r="P9" s="340"/>
    </row>
    <row r="10" spans="1:32" s="75" customFormat="1" ht="24" customHeight="1" x14ac:dyDescent="0.2">
      <c r="C10" s="80"/>
      <c r="D10" s="81" t="s">
        <v>997</v>
      </c>
      <c r="E10" s="81" t="s">
        <v>976</v>
      </c>
      <c r="F10" s="81" t="s">
        <v>977</v>
      </c>
      <c r="G10" s="81" t="s">
        <v>64</v>
      </c>
      <c r="H10" s="82" t="s">
        <v>65</v>
      </c>
      <c r="I10" s="83" t="s">
        <v>998</v>
      </c>
      <c r="J10" s="84" t="s">
        <v>978</v>
      </c>
      <c r="K10" s="218" t="s">
        <v>999</v>
      </c>
      <c r="L10" s="219" t="s">
        <v>1260</v>
      </c>
      <c r="M10" s="220" t="s">
        <v>978</v>
      </c>
      <c r="N10" s="263" t="s">
        <v>1264</v>
      </c>
      <c r="O10" s="264" t="s">
        <v>1260</v>
      </c>
      <c r="P10" s="265" t="s">
        <v>978</v>
      </c>
      <c r="Q10" s="157" t="s">
        <v>1083</v>
      </c>
      <c r="W10" s="157" t="s">
        <v>1132</v>
      </c>
      <c r="AA10" s="157" t="s">
        <v>1150</v>
      </c>
      <c r="AF10" s="75" t="s">
        <v>1211</v>
      </c>
    </row>
    <row r="12" spans="1:32" s="109" customFormat="1" ht="22.9" customHeight="1" x14ac:dyDescent="0.25">
      <c r="A12" s="97"/>
      <c r="B12" s="97"/>
      <c r="C12" s="98" t="s">
        <v>821</v>
      </c>
      <c r="D12" s="97"/>
      <c r="E12" s="97"/>
      <c r="F12" s="97"/>
      <c r="G12" s="97"/>
      <c r="H12" s="97"/>
      <c r="I12" s="97"/>
      <c r="J12" s="99">
        <v>5228163.3699999992</v>
      </c>
      <c r="AA12" s="327" t="s">
        <v>1165</v>
      </c>
    </row>
    <row r="13" spans="1:32" s="110" customFormat="1" ht="25.9" customHeight="1" x14ac:dyDescent="0.2">
      <c r="D13" s="111" t="s">
        <v>3</v>
      </c>
      <c r="E13" s="112" t="s">
        <v>66</v>
      </c>
      <c r="F13" s="112" t="s">
        <v>67</v>
      </c>
      <c r="J13" s="113">
        <v>4806779.3499999996</v>
      </c>
      <c r="W13" s="153"/>
      <c r="AA13" s="327"/>
    </row>
    <row r="14" spans="1:32" s="110" customFormat="1" ht="22.9" customHeight="1" x14ac:dyDescent="0.2">
      <c r="C14" s="252"/>
      <c r="D14" s="253" t="s">
        <v>3</v>
      </c>
      <c r="E14" s="254" t="s">
        <v>7</v>
      </c>
      <c r="F14" s="254" t="s">
        <v>68</v>
      </c>
      <c r="G14" s="252"/>
      <c r="H14" s="252"/>
      <c r="I14" s="252"/>
      <c r="J14" s="255">
        <v>3049539.34</v>
      </c>
      <c r="K14" s="252"/>
      <c r="L14" s="252"/>
      <c r="M14" s="258">
        <f>SUM(M15:M44)</f>
        <v>45280.960500000001</v>
      </c>
      <c r="N14" s="252"/>
      <c r="O14" s="252"/>
      <c r="P14" s="258">
        <f>SUM(P15:P44)</f>
        <v>3094820.2712399997</v>
      </c>
      <c r="AA14" s="327"/>
    </row>
    <row r="15" spans="1:32" s="109" customFormat="1" ht="55.5" customHeight="1" x14ac:dyDescent="0.2">
      <c r="A15" s="97"/>
      <c r="B15" s="116"/>
      <c r="C15" s="117" t="s">
        <v>7</v>
      </c>
      <c r="D15" s="117" t="s">
        <v>69</v>
      </c>
      <c r="E15" s="118" t="s">
        <v>79</v>
      </c>
      <c r="F15" s="119" t="s">
        <v>822</v>
      </c>
      <c r="G15" s="120" t="s">
        <v>72</v>
      </c>
      <c r="H15" s="121">
        <v>92.938999999999993</v>
      </c>
      <c r="I15" s="122">
        <v>26.3</v>
      </c>
      <c r="J15" s="122">
        <v>2444.3000000000002</v>
      </c>
      <c r="K15" s="85">
        <v>0</v>
      </c>
      <c r="L15" s="86">
        <f>I15</f>
        <v>26.3</v>
      </c>
      <c r="M15" s="277">
        <f>K15*L15</f>
        <v>0</v>
      </c>
      <c r="N15" s="87">
        <f>H15+K15</f>
        <v>92.938999999999993</v>
      </c>
      <c r="O15" s="88">
        <f>I15</f>
        <v>26.3</v>
      </c>
      <c r="P15" s="278">
        <f>N15*O15</f>
        <v>2444.2956999999997</v>
      </c>
    </row>
    <row r="16" spans="1:32" s="109" customFormat="1" ht="55.5" customHeight="1" x14ac:dyDescent="0.2">
      <c r="A16" s="97"/>
      <c r="B16" s="116"/>
      <c r="C16" s="117" t="s">
        <v>8</v>
      </c>
      <c r="D16" s="117" t="s">
        <v>69</v>
      </c>
      <c r="E16" s="118" t="s">
        <v>79</v>
      </c>
      <c r="F16" s="119" t="s">
        <v>822</v>
      </c>
      <c r="G16" s="120" t="s">
        <v>72</v>
      </c>
      <c r="H16" s="121">
        <v>106.59</v>
      </c>
      <c r="I16" s="122">
        <v>26.3</v>
      </c>
      <c r="J16" s="122">
        <v>2803.32</v>
      </c>
      <c r="K16" s="85">
        <v>0</v>
      </c>
      <c r="L16" s="86">
        <f t="shared" ref="L16:L79" si="0">I16</f>
        <v>26.3</v>
      </c>
      <c r="M16" s="277">
        <f t="shared" ref="M16:M79" si="1">K16*L16</f>
        <v>0</v>
      </c>
      <c r="N16" s="87">
        <f t="shared" ref="N16:N79" si="2">H16+K16</f>
        <v>106.59</v>
      </c>
      <c r="O16" s="88">
        <f t="shared" ref="O16:O79" si="3">I16</f>
        <v>26.3</v>
      </c>
      <c r="P16" s="278">
        <f t="shared" ref="P16:P79" si="4">N16*O16</f>
        <v>2803.317</v>
      </c>
    </row>
    <row r="17" spans="1:30" s="109" customFormat="1" ht="55.5" customHeight="1" x14ac:dyDescent="0.2">
      <c r="A17" s="97"/>
      <c r="B17" s="116"/>
      <c r="C17" s="117" t="s">
        <v>76</v>
      </c>
      <c r="D17" s="117" t="s">
        <v>69</v>
      </c>
      <c r="E17" s="118" t="s">
        <v>74</v>
      </c>
      <c r="F17" s="119" t="s">
        <v>823</v>
      </c>
      <c r="G17" s="120" t="s">
        <v>72</v>
      </c>
      <c r="H17" s="121">
        <v>92.938999999999993</v>
      </c>
      <c r="I17" s="122">
        <v>40.770000000000003</v>
      </c>
      <c r="J17" s="122">
        <v>3789.12</v>
      </c>
      <c r="K17" s="85">
        <v>0</v>
      </c>
      <c r="L17" s="86">
        <f t="shared" si="0"/>
        <v>40.770000000000003</v>
      </c>
      <c r="M17" s="277">
        <f t="shared" si="1"/>
        <v>0</v>
      </c>
      <c r="N17" s="87">
        <f t="shared" si="2"/>
        <v>92.938999999999993</v>
      </c>
      <c r="O17" s="88">
        <f t="shared" si="3"/>
        <v>40.770000000000003</v>
      </c>
      <c r="P17" s="278">
        <f t="shared" si="4"/>
        <v>3789.1230300000002</v>
      </c>
    </row>
    <row r="18" spans="1:30" s="109" customFormat="1" ht="44.25" customHeight="1" x14ac:dyDescent="0.2">
      <c r="A18" s="97"/>
      <c r="B18" s="116"/>
      <c r="C18" s="117" t="s">
        <v>73</v>
      </c>
      <c r="D18" s="117" t="s">
        <v>69</v>
      </c>
      <c r="E18" s="118" t="s">
        <v>82</v>
      </c>
      <c r="F18" s="119" t="s">
        <v>824</v>
      </c>
      <c r="G18" s="120" t="s">
        <v>72</v>
      </c>
      <c r="H18" s="121">
        <v>92.938999999999993</v>
      </c>
      <c r="I18" s="122">
        <v>77.599999999999994</v>
      </c>
      <c r="J18" s="122">
        <v>7212.07</v>
      </c>
      <c r="K18" s="85">
        <v>0</v>
      </c>
      <c r="L18" s="86">
        <f t="shared" si="0"/>
        <v>77.599999999999994</v>
      </c>
      <c r="M18" s="277">
        <f t="shared" si="1"/>
        <v>0</v>
      </c>
      <c r="N18" s="87">
        <f t="shared" si="2"/>
        <v>92.938999999999993</v>
      </c>
      <c r="O18" s="88">
        <f t="shared" si="3"/>
        <v>77.599999999999994</v>
      </c>
      <c r="P18" s="278">
        <f t="shared" si="4"/>
        <v>7212.0663999999988</v>
      </c>
    </row>
    <row r="19" spans="1:30" s="109" customFormat="1" ht="44.25" customHeight="1" x14ac:dyDescent="0.2">
      <c r="A19" s="97"/>
      <c r="B19" s="116"/>
      <c r="C19" s="117" t="s">
        <v>81</v>
      </c>
      <c r="D19" s="117" t="s">
        <v>69</v>
      </c>
      <c r="E19" s="118" t="s">
        <v>85</v>
      </c>
      <c r="F19" s="119" t="s">
        <v>86</v>
      </c>
      <c r="G19" s="120" t="s">
        <v>72</v>
      </c>
      <c r="H19" s="121">
        <v>250.22300000000001</v>
      </c>
      <c r="I19" s="122">
        <v>55.24</v>
      </c>
      <c r="J19" s="122">
        <v>13822.32</v>
      </c>
      <c r="K19" s="85">
        <v>0</v>
      </c>
      <c r="L19" s="86">
        <f t="shared" si="0"/>
        <v>55.24</v>
      </c>
      <c r="M19" s="277">
        <f t="shared" si="1"/>
        <v>0</v>
      </c>
      <c r="N19" s="87">
        <f t="shared" si="2"/>
        <v>250.22300000000001</v>
      </c>
      <c r="O19" s="88">
        <f t="shared" si="3"/>
        <v>55.24</v>
      </c>
      <c r="P19" s="278">
        <f t="shared" si="4"/>
        <v>13822.318520000001</v>
      </c>
    </row>
    <row r="20" spans="1:30" s="109" customFormat="1" ht="21.75" customHeight="1" x14ac:dyDescent="0.2">
      <c r="A20" s="97"/>
      <c r="B20" s="116"/>
      <c r="C20" s="117" t="s">
        <v>84</v>
      </c>
      <c r="D20" s="117" t="s">
        <v>69</v>
      </c>
      <c r="E20" s="118" t="s">
        <v>88</v>
      </c>
      <c r="F20" s="119" t="s">
        <v>825</v>
      </c>
      <c r="G20" s="120" t="s">
        <v>61</v>
      </c>
      <c r="H20" s="121">
        <v>5.5</v>
      </c>
      <c r="I20" s="122">
        <v>170.98</v>
      </c>
      <c r="J20" s="122">
        <v>940.39</v>
      </c>
      <c r="K20" s="85">
        <f>ROUND(13.94/929.4*H20,2)</f>
        <v>0.08</v>
      </c>
      <c r="L20" s="86">
        <f t="shared" si="0"/>
        <v>170.98</v>
      </c>
      <c r="M20" s="277">
        <f t="shared" si="1"/>
        <v>13.6784</v>
      </c>
      <c r="N20" s="87">
        <f t="shared" si="2"/>
        <v>5.58</v>
      </c>
      <c r="O20" s="88">
        <f t="shared" si="3"/>
        <v>170.98</v>
      </c>
      <c r="P20" s="278">
        <f t="shared" si="4"/>
        <v>954.0684</v>
      </c>
    </row>
    <row r="21" spans="1:30" s="109" customFormat="1" ht="55.5" customHeight="1" x14ac:dyDescent="0.2">
      <c r="A21" s="97"/>
      <c r="B21" s="116"/>
      <c r="C21" s="117" t="s">
        <v>87</v>
      </c>
      <c r="D21" s="117" t="s">
        <v>69</v>
      </c>
      <c r="E21" s="118" t="s">
        <v>91</v>
      </c>
      <c r="F21" s="119" t="s">
        <v>826</v>
      </c>
      <c r="G21" s="120" t="s">
        <v>61</v>
      </c>
      <c r="H21" s="121">
        <v>2.2000000000000002</v>
      </c>
      <c r="I21" s="122">
        <v>147.30000000000001</v>
      </c>
      <c r="J21" s="122">
        <v>324.06</v>
      </c>
      <c r="K21" s="85">
        <f t="shared" ref="K21:K44" si="5">ROUND(13.94/929.4*H21,2)</f>
        <v>0.03</v>
      </c>
      <c r="L21" s="86">
        <f t="shared" si="0"/>
        <v>147.30000000000001</v>
      </c>
      <c r="M21" s="277">
        <f t="shared" si="1"/>
        <v>4.4190000000000005</v>
      </c>
      <c r="N21" s="87">
        <f t="shared" si="2"/>
        <v>2.23</v>
      </c>
      <c r="O21" s="88">
        <f t="shared" si="3"/>
        <v>147.30000000000001</v>
      </c>
      <c r="P21" s="278">
        <f t="shared" si="4"/>
        <v>328.47900000000004</v>
      </c>
    </row>
    <row r="22" spans="1:30" s="109" customFormat="1" ht="16.5" customHeight="1" x14ac:dyDescent="0.2">
      <c r="A22" s="97"/>
      <c r="B22" s="116"/>
      <c r="C22" s="117" t="s">
        <v>90</v>
      </c>
      <c r="D22" s="117" t="s">
        <v>69</v>
      </c>
      <c r="E22" s="118" t="s">
        <v>297</v>
      </c>
      <c r="F22" s="119" t="s">
        <v>827</v>
      </c>
      <c r="G22" s="120" t="s">
        <v>62</v>
      </c>
      <c r="H22" s="121">
        <v>111.837</v>
      </c>
      <c r="I22" s="122">
        <v>57.87</v>
      </c>
      <c r="J22" s="122">
        <v>6472.01</v>
      </c>
      <c r="K22" s="85">
        <f t="shared" si="5"/>
        <v>1.68</v>
      </c>
      <c r="L22" s="86">
        <f t="shared" si="0"/>
        <v>57.87</v>
      </c>
      <c r="M22" s="277">
        <f t="shared" si="1"/>
        <v>97.221599999999995</v>
      </c>
      <c r="N22" s="87">
        <f t="shared" si="2"/>
        <v>113.51700000000001</v>
      </c>
      <c r="O22" s="88">
        <f t="shared" si="3"/>
        <v>57.87</v>
      </c>
      <c r="P22" s="278">
        <f t="shared" si="4"/>
        <v>6569.2287900000001</v>
      </c>
      <c r="AA22" s="148" t="s">
        <v>1166</v>
      </c>
      <c r="AB22" s="109" t="s">
        <v>1181</v>
      </c>
      <c r="AC22" s="148" t="s">
        <v>1195</v>
      </c>
      <c r="AD22" s="109" t="s">
        <v>1198</v>
      </c>
    </row>
    <row r="23" spans="1:30" s="109" customFormat="1" ht="21.75" customHeight="1" x14ac:dyDescent="0.2">
      <c r="A23" s="97"/>
      <c r="B23" s="116"/>
      <c r="C23" s="117" t="s">
        <v>93</v>
      </c>
      <c r="D23" s="117" t="s">
        <v>69</v>
      </c>
      <c r="E23" s="118" t="s">
        <v>94</v>
      </c>
      <c r="F23" s="119" t="s">
        <v>828</v>
      </c>
      <c r="G23" s="120" t="s">
        <v>62</v>
      </c>
      <c r="H23" s="121">
        <v>24.2</v>
      </c>
      <c r="I23" s="122">
        <v>257.77999999999997</v>
      </c>
      <c r="J23" s="122">
        <v>6238.28</v>
      </c>
      <c r="K23" s="85">
        <f t="shared" si="5"/>
        <v>0.36</v>
      </c>
      <c r="L23" s="86">
        <f t="shared" si="0"/>
        <v>257.77999999999997</v>
      </c>
      <c r="M23" s="277">
        <f t="shared" si="1"/>
        <v>92.800799999999981</v>
      </c>
      <c r="N23" s="87">
        <f t="shared" si="2"/>
        <v>24.56</v>
      </c>
      <c r="O23" s="88">
        <f t="shared" si="3"/>
        <v>257.77999999999997</v>
      </c>
      <c r="P23" s="278">
        <f t="shared" si="4"/>
        <v>6331.0767999999989</v>
      </c>
    </row>
    <row r="24" spans="1:30" s="109" customFormat="1" ht="33" customHeight="1" x14ac:dyDescent="0.2">
      <c r="A24" s="97"/>
      <c r="B24" s="116"/>
      <c r="C24" s="117" t="s">
        <v>26</v>
      </c>
      <c r="D24" s="117" t="s">
        <v>69</v>
      </c>
      <c r="E24" s="118" t="s">
        <v>829</v>
      </c>
      <c r="F24" s="119" t="s">
        <v>830</v>
      </c>
      <c r="G24" s="120" t="s">
        <v>61</v>
      </c>
      <c r="H24" s="121">
        <v>172.95</v>
      </c>
      <c r="I24" s="122">
        <v>2398.4299999999998</v>
      </c>
      <c r="J24" s="122">
        <v>414808.47</v>
      </c>
      <c r="K24" s="85">
        <f t="shared" si="5"/>
        <v>2.59</v>
      </c>
      <c r="L24" s="86">
        <f t="shared" si="0"/>
        <v>2398.4299999999998</v>
      </c>
      <c r="M24" s="277">
        <f t="shared" si="1"/>
        <v>6211.9336999999996</v>
      </c>
      <c r="N24" s="87">
        <f t="shared" si="2"/>
        <v>175.54</v>
      </c>
      <c r="O24" s="88">
        <f t="shared" si="3"/>
        <v>2398.4299999999998</v>
      </c>
      <c r="P24" s="278">
        <f t="shared" si="4"/>
        <v>421020.40219999995</v>
      </c>
    </row>
    <row r="25" spans="1:30" s="109" customFormat="1" ht="33" customHeight="1" x14ac:dyDescent="0.2">
      <c r="A25" s="97"/>
      <c r="B25" s="116"/>
      <c r="C25" s="117" t="s">
        <v>28</v>
      </c>
      <c r="D25" s="117" t="s">
        <v>69</v>
      </c>
      <c r="E25" s="118" t="s">
        <v>613</v>
      </c>
      <c r="F25" s="119" t="s">
        <v>614</v>
      </c>
      <c r="G25" s="120" t="s">
        <v>72</v>
      </c>
      <c r="H25" s="121">
        <v>475.904</v>
      </c>
      <c r="I25" s="122">
        <v>26.3</v>
      </c>
      <c r="J25" s="122">
        <v>12516.28</v>
      </c>
      <c r="K25" s="85">
        <f t="shared" si="5"/>
        <v>7.14</v>
      </c>
      <c r="L25" s="86">
        <f t="shared" si="0"/>
        <v>26.3</v>
      </c>
      <c r="M25" s="277">
        <f t="shared" si="1"/>
        <v>187.78200000000001</v>
      </c>
      <c r="N25" s="87">
        <f t="shared" si="2"/>
        <v>483.04399999999998</v>
      </c>
      <c r="O25" s="88">
        <f t="shared" si="3"/>
        <v>26.3</v>
      </c>
      <c r="P25" s="278">
        <f t="shared" si="4"/>
        <v>12704.057199999999</v>
      </c>
    </row>
    <row r="26" spans="1:30" s="109" customFormat="1" ht="21.75" customHeight="1" x14ac:dyDescent="0.2">
      <c r="A26" s="97"/>
      <c r="B26" s="116"/>
      <c r="C26" s="117" t="s">
        <v>30</v>
      </c>
      <c r="D26" s="117" t="s">
        <v>69</v>
      </c>
      <c r="E26" s="118" t="s">
        <v>299</v>
      </c>
      <c r="F26" s="119" t="s">
        <v>831</v>
      </c>
      <c r="G26" s="120" t="s">
        <v>72</v>
      </c>
      <c r="H26" s="121">
        <v>166.56200000000001</v>
      </c>
      <c r="I26" s="122">
        <v>18.41</v>
      </c>
      <c r="J26" s="122">
        <v>3066.41</v>
      </c>
      <c r="K26" s="85">
        <f t="shared" si="5"/>
        <v>2.5</v>
      </c>
      <c r="L26" s="86">
        <f t="shared" si="0"/>
        <v>18.41</v>
      </c>
      <c r="M26" s="277">
        <f t="shared" si="1"/>
        <v>46.024999999999999</v>
      </c>
      <c r="N26" s="87">
        <f t="shared" si="2"/>
        <v>169.06200000000001</v>
      </c>
      <c r="O26" s="88">
        <f t="shared" si="3"/>
        <v>18.41</v>
      </c>
      <c r="P26" s="278">
        <f t="shared" si="4"/>
        <v>3112.4314200000003</v>
      </c>
    </row>
    <row r="27" spans="1:30" s="109" customFormat="1" ht="21.75" customHeight="1" x14ac:dyDescent="0.2">
      <c r="A27" s="97"/>
      <c r="B27" s="116"/>
      <c r="C27" s="117" t="s">
        <v>32</v>
      </c>
      <c r="D27" s="117" t="s">
        <v>69</v>
      </c>
      <c r="E27" s="118" t="s">
        <v>301</v>
      </c>
      <c r="F27" s="119" t="s">
        <v>832</v>
      </c>
      <c r="G27" s="120" t="s">
        <v>72</v>
      </c>
      <c r="H27" s="121">
        <v>166.56200000000001</v>
      </c>
      <c r="I27" s="122">
        <v>27.62</v>
      </c>
      <c r="J27" s="122">
        <v>4600.4399999999996</v>
      </c>
      <c r="K27" s="85">
        <f t="shared" si="5"/>
        <v>2.5</v>
      </c>
      <c r="L27" s="86">
        <f t="shared" si="0"/>
        <v>27.62</v>
      </c>
      <c r="M27" s="277">
        <f t="shared" si="1"/>
        <v>69.05</v>
      </c>
      <c r="N27" s="87">
        <f t="shared" si="2"/>
        <v>169.06200000000001</v>
      </c>
      <c r="O27" s="88">
        <f t="shared" si="3"/>
        <v>27.62</v>
      </c>
      <c r="P27" s="278">
        <f t="shared" si="4"/>
        <v>4669.4924400000009</v>
      </c>
    </row>
    <row r="28" spans="1:30" s="109" customFormat="1" ht="16.5" customHeight="1" x14ac:dyDescent="0.2">
      <c r="A28" s="97"/>
      <c r="B28" s="116"/>
      <c r="C28" s="117" t="s">
        <v>34</v>
      </c>
      <c r="D28" s="117" t="s">
        <v>69</v>
      </c>
      <c r="E28" s="118" t="s">
        <v>303</v>
      </c>
      <c r="F28" s="119" t="s">
        <v>304</v>
      </c>
      <c r="G28" s="120" t="s">
        <v>72</v>
      </c>
      <c r="H28" s="121">
        <v>166.56200000000001</v>
      </c>
      <c r="I28" s="122">
        <v>11.84</v>
      </c>
      <c r="J28" s="122">
        <v>1972.09</v>
      </c>
      <c r="K28" s="85">
        <f t="shared" si="5"/>
        <v>2.5</v>
      </c>
      <c r="L28" s="86">
        <f t="shared" si="0"/>
        <v>11.84</v>
      </c>
      <c r="M28" s="277">
        <f t="shared" si="1"/>
        <v>29.6</v>
      </c>
      <c r="N28" s="87">
        <f t="shared" si="2"/>
        <v>169.06200000000001</v>
      </c>
      <c r="O28" s="88">
        <f t="shared" si="3"/>
        <v>11.84</v>
      </c>
      <c r="P28" s="278">
        <f t="shared" si="4"/>
        <v>2001.6940800000002</v>
      </c>
    </row>
    <row r="29" spans="1:30" s="109" customFormat="1" ht="16.5" customHeight="1" x14ac:dyDescent="0.2">
      <c r="A29" s="97"/>
      <c r="B29" s="116"/>
      <c r="C29" s="123" t="s">
        <v>1</v>
      </c>
      <c r="D29" s="123" t="s">
        <v>127</v>
      </c>
      <c r="E29" s="124" t="s">
        <v>305</v>
      </c>
      <c r="F29" s="125" t="s">
        <v>833</v>
      </c>
      <c r="G29" s="126" t="s">
        <v>307</v>
      </c>
      <c r="H29" s="127">
        <v>2.4980000000000002</v>
      </c>
      <c r="I29" s="128">
        <v>170.98</v>
      </c>
      <c r="J29" s="128">
        <v>427.11</v>
      </c>
      <c r="K29" s="85">
        <f t="shared" si="5"/>
        <v>0.04</v>
      </c>
      <c r="L29" s="86">
        <f t="shared" si="0"/>
        <v>170.98</v>
      </c>
      <c r="M29" s="277">
        <f t="shared" si="1"/>
        <v>6.8391999999999999</v>
      </c>
      <c r="N29" s="87">
        <f t="shared" si="2"/>
        <v>2.5380000000000003</v>
      </c>
      <c r="O29" s="88">
        <f t="shared" si="3"/>
        <v>170.98</v>
      </c>
      <c r="P29" s="278">
        <f t="shared" si="4"/>
        <v>433.94724000000002</v>
      </c>
    </row>
    <row r="30" spans="1:30" s="109" customFormat="1" ht="16.5" customHeight="1" x14ac:dyDescent="0.2">
      <c r="A30" s="97"/>
      <c r="B30" s="116"/>
      <c r="C30" s="117" t="s">
        <v>37</v>
      </c>
      <c r="D30" s="117" t="s">
        <v>69</v>
      </c>
      <c r="E30" s="118" t="s">
        <v>308</v>
      </c>
      <c r="F30" s="119" t="s">
        <v>834</v>
      </c>
      <c r="G30" s="120" t="s">
        <v>72</v>
      </c>
      <c r="H30" s="121">
        <v>166.56200000000001</v>
      </c>
      <c r="I30" s="122">
        <v>5.26</v>
      </c>
      <c r="J30" s="122">
        <v>876.12</v>
      </c>
      <c r="K30" s="85">
        <f t="shared" si="5"/>
        <v>2.5</v>
      </c>
      <c r="L30" s="86">
        <f t="shared" si="0"/>
        <v>5.26</v>
      </c>
      <c r="M30" s="277">
        <f t="shared" si="1"/>
        <v>13.149999999999999</v>
      </c>
      <c r="N30" s="87">
        <f t="shared" si="2"/>
        <v>169.06200000000001</v>
      </c>
      <c r="O30" s="88">
        <f t="shared" si="3"/>
        <v>5.26</v>
      </c>
      <c r="P30" s="278">
        <f t="shared" si="4"/>
        <v>889.26612</v>
      </c>
    </row>
    <row r="31" spans="1:30" s="109" customFormat="1" ht="33" customHeight="1" x14ac:dyDescent="0.2">
      <c r="A31" s="97"/>
      <c r="B31" s="116"/>
      <c r="C31" s="117" t="s">
        <v>39</v>
      </c>
      <c r="D31" s="117" t="s">
        <v>69</v>
      </c>
      <c r="E31" s="118" t="s">
        <v>96</v>
      </c>
      <c r="F31" s="119" t="s">
        <v>97</v>
      </c>
      <c r="G31" s="120" t="s">
        <v>62</v>
      </c>
      <c r="H31" s="121">
        <v>560.41999999999996</v>
      </c>
      <c r="I31" s="122">
        <v>234.11</v>
      </c>
      <c r="J31" s="122">
        <v>131199.93</v>
      </c>
      <c r="K31" s="85">
        <f t="shared" si="5"/>
        <v>8.41</v>
      </c>
      <c r="L31" s="86">
        <f t="shared" si="0"/>
        <v>234.11</v>
      </c>
      <c r="M31" s="277">
        <f t="shared" si="1"/>
        <v>1968.8651000000002</v>
      </c>
      <c r="N31" s="87">
        <f t="shared" si="2"/>
        <v>568.82999999999993</v>
      </c>
      <c r="O31" s="88">
        <f t="shared" si="3"/>
        <v>234.11</v>
      </c>
      <c r="P31" s="278">
        <f t="shared" si="4"/>
        <v>133168.79129999998</v>
      </c>
    </row>
    <row r="32" spans="1:30" s="109" customFormat="1" ht="33" customHeight="1" x14ac:dyDescent="0.2">
      <c r="A32" s="97"/>
      <c r="B32" s="116"/>
      <c r="C32" s="117" t="s">
        <v>41</v>
      </c>
      <c r="D32" s="117" t="s">
        <v>69</v>
      </c>
      <c r="E32" s="118" t="s">
        <v>98</v>
      </c>
      <c r="F32" s="119" t="s">
        <v>99</v>
      </c>
      <c r="G32" s="120" t="s">
        <v>62</v>
      </c>
      <c r="H32" s="121">
        <v>880.67</v>
      </c>
      <c r="I32" s="122">
        <v>257.77999999999997</v>
      </c>
      <c r="J32" s="122">
        <v>227019.11</v>
      </c>
      <c r="K32" s="85">
        <f t="shared" si="5"/>
        <v>13.21</v>
      </c>
      <c r="L32" s="86">
        <f t="shared" si="0"/>
        <v>257.77999999999997</v>
      </c>
      <c r="M32" s="277">
        <f t="shared" si="1"/>
        <v>3405.2737999999999</v>
      </c>
      <c r="N32" s="87">
        <f t="shared" si="2"/>
        <v>893.88</v>
      </c>
      <c r="O32" s="88">
        <f t="shared" si="3"/>
        <v>257.77999999999997</v>
      </c>
      <c r="P32" s="278">
        <f t="shared" si="4"/>
        <v>230424.38639999999</v>
      </c>
      <c r="W32" s="327" t="s">
        <v>1140</v>
      </c>
      <c r="X32" s="341" t="s">
        <v>1148</v>
      </c>
    </row>
    <row r="33" spans="1:30" s="109" customFormat="1" ht="33" customHeight="1" x14ac:dyDescent="0.2">
      <c r="A33" s="97"/>
      <c r="B33" s="116"/>
      <c r="C33" s="117" t="s">
        <v>114</v>
      </c>
      <c r="D33" s="117" t="s">
        <v>69</v>
      </c>
      <c r="E33" s="118" t="s">
        <v>100</v>
      </c>
      <c r="F33" s="119" t="s">
        <v>101</v>
      </c>
      <c r="G33" s="120" t="s">
        <v>62</v>
      </c>
      <c r="H33" s="121">
        <v>160.12</v>
      </c>
      <c r="I33" s="122">
        <v>315.64999999999998</v>
      </c>
      <c r="J33" s="122">
        <v>50541.88</v>
      </c>
      <c r="K33" s="85">
        <f t="shared" si="5"/>
        <v>2.4</v>
      </c>
      <c r="L33" s="86">
        <f t="shared" si="0"/>
        <v>315.64999999999998</v>
      </c>
      <c r="M33" s="277">
        <f t="shared" si="1"/>
        <v>757.56</v>
      </c>
      <c r="N33" s="87">
        <f t="shared" si="2"/>
        <v>162.52000000000001</v>
      </c>
      <c r="O33" s="88">
        <f t="shared" si="3"/>
        <v>315.64999999999998</v>
      </c>
      <c r="P33" s="278">
        <f t="shared" si="4"/>
        <v>51299.438000000002</v>
      </c>
      <c r="W33" s="327"/>
      <c r="X33" s="341"/>
    </row>
    <row r="34" spans="1:30" s="109" customFormat="1" ht="16.5" customHeight="1" x14ac:dyDescent="0.2">
      <c r="A34" s="97"/>
      <c r="B34" s="116"/>
      <c r="C34" s="117" t="s">
        <v>117</v>
      </c>
      <c r="D34" s="117" t="s">
        <v>69</v>
      </c>
      <c r="E34" s="118" t="s">
        <v>102</v>
      </c>
      <c r="F34" s="119" t="s">
        <v>835</v>
      </c>
      <c r="G34" s="120" t="s">
        <v>72</v>
      </c>
      <c r="H34" s="121">
        <v>3202.15</v>
      </c>
      <c r="I34" s="122">
        <v>99.96</v>
      </c>
      <c r="J34" s="122">
        <v>320086.90999999997</v>
      </c>
      <c r="K34" s="85">
        <f t="shared" si="5"/>
        <v>48.03</v>
      </c>
      <c r="L34" s="86">
        <f t="shared" si="0"/>
        <v>99.96</v>
      </c>
      <c r="M34" s="277">
        <f t="shared" si="1"/>
        <v>4801.0788000000002</v>
      </c>
      <c r="N34" s="87">
        <f t="shared" si="2"/>
        <v>3250.1800000000003</v>
      </c>
      <c r="O34" s="88">
        <f t="shared" si="3"/>
        <v>99.96</v>
      </c>
      <c r="P34" s="278">
        <f t="shared" si="4"/>
        <v>324887.99280000001</v>
      </c>
      <c r="W34" s="327"/>
      <c r="X34" s="341"/>
    </row>
    <row r="35" spans="1:30" s="109" customFormat="1" ht="21.75" customHeight="1" x14ac:dyDescent="0.2">
      <c r="A35" s="97"/>
      <c r="B35" s="116"/>
      <c r="C35" s="117" t="s">
        <v>0</v>
      </c>
      <c r="D35" s="117" t="s">
        <v>69</v>
      </c>
      <c r="E35" s="118" t="s">
        <v>104</v>
      </c>
      <c r="F35" s="119" t="s">
        <v>836</v>
      </c>
      <c r="G35" s="120" t="s">
        <v>72</v>
      </c>
      <c r="H35" s="121">
        <v>3202.15</v>
      </c>
      <c r="I35" s="122">
        <v>149.94</v>
      </c>
      <c r="J35" s="122">
        <v>480130.37</v>
      </c>
      <c r="K35" s="85">
        <f t="shared" si="5"/>
        <v>48.03</v>
      </c>
      <c r="L35" s="86">
        <f t="shared" si="0"/>
        <v>149.94</v>
      </c>
      <c r="M35" s="277">
        <f t="shared" si="1"/>
        <v>7201.6181999999999</v>
      </c>
      <c r="N35" s="87">
        <f t="shared" si="2"/>
        <v>3250.1800000000003</v>
      </c>
      <c r="O35" s="88">
        <f t="shared" si="3"/>
        <v>149.94</v>
      </c>
      <c r="P35" s="278">
        <f t="shared" si="4"/>
        <v>487331.98920000001</v>
      </c>
      <c r="W35" s="327"/>
      <c r="X35" s="341"/>
    </row>
    <row r="36" spans="1:30" s="109" customFormat="1" ht="44.25" customHeight="1" x14ac:dyDescent="0.2">
      <c r="A36" s="97"/>
      <c r="B36" s="116"/>
      <c r="C36" s="117" t="s">
        <v>123</v>
      </c>
      <c r="D36" s="117" t="s">
        <v>69</v>
      </c>
      <c r="E36" s="118" t="s">
        <v>106</v>
      </c>
      <c r="F36" s="119" t="s">
        <v>107</v>
      </c>
      <c r="G36" s="120" t="s">
        <v>62</v>
      </c>
      <c r="H36" s="121">
        <v>960.726</v>
      </c>
      <c r="I36" s="122">
        <v>13.15</v>
      </c>
      <c r="J36" s="122">
        <v>12633.55</v>
      </c>
      <c r="K36" s="85">
        <f t="shared" si="5"/>
        <v>14.41</v>
      </c>
      <c r="L36" s="86">
        <f t="shared" si="0"/>
        <v>13.15</v>
      </c>
      <c r="M36" s="277">
        <f t="shared" si="1"/>
        <v>189.4915</v>
      </c>
      <c r="N36" s="87">
        <f t="shared" si="2"/>
        <v>975.13599999999997</v>
      </c>
      <c r="O36" s="88">
        <f t="shared" si="3"/>
        <v>13.15</v>
      </c>
      <c r="P36" s="278">
        <f t="shared" si="4"/>
        <v>12823.038399999999</v>
      </c>
    </row>
    <row r="37" spans="1:30" s="109" customFormat="1" ht="44.25" customHeight="1" x14ac:dyDescent="0.2">
      <c r="A37" s="97"/>
      <c r="B37" s="116"/>
      <c r="C37" s="117" t="s">
        <v>126</v>
      </c>
      <c r="D37" s="117" t="s">
        <v>69</v>
      </c>
      <c r="E37" s="118" t="s">
        <v>108</v>
      </c>
      <c r="F37" s="119" t="s">
        <v>109</v>
      </c>
      <c r="G37" s="120" t="s">
        <v>62</v>
      </c>
      <c r="H37" s="121">
        <v>2750.06</v>
      </c>
      <c r="I37" s="122">
        <v>187.93</v>
      </c>
      <c r="J37" s="122">
        <v>516818.78</v>
      </c>
      <c r="K37" s="85">
        <f t="shared" si="5"/>
        <v>41.25</v>
      </c>
      <c r="L37" s="86">
        <f t="shared" si="0"/>
        <v>187.93</v>
      </c>
      <c r="M37" s="277">
        <f t="shared" si="1"/>
        <v>7752.1125000000002</v>
      </c>
      <c r="N37" s="87">
        <f t="shared" si="2"/>
        <v>2791.31</v>
      </c>
      <c r="O37" s="88">
        <f t="shared" si="3"/>
        <v>187.93</v>
      </c>
      <c r="P37" s="278">
        <f t="shared" si="4"/>
        <v>524570.88829999999</v>
      </c>
    </row>
    <row r="38" spans="1:30" s="109" customFormat="1" ht="33" customHeight="1" x14ac:dyDescent="0.2">
      <c r="A38" s="97"/>
      <c r="B38" s="116"/>
      <c r="C38" s="117" t="s">
        <v>131</v>
      </c>
      <c r="D38" s="117" t="s">
        <v>69</v>
      </c>
      <c r="E38" s="118" t="s">
        <v>110</v>
      </c>
      <c r="F38" s="119" t="s">
        <v>111</v>
      </c>
      <c r="G38" s="120" t="s">
        <v>62</v>
      </c>
      <c r="H38" s="121">
        <v>1601.21</v>
      </c>
      <c r="I38" s="122">
        <v>44.72</v>
      </c>
      <c r="J38" s="122">
        <v>71606.11</v>
      </c>
      <c r="K38" s="85">
        <f t="shared" si="5"/>
        <v>24.02</v>
      </c>
      <c r="L38" s="86">
        <f t="shared" si="0"/>
        <v>44.72</v>
      </c>
      <c r="M38" s="277">
        <f t="shared" si="1"/>
        <v>1074.1743999999999</v>
      </c>
      <c r="N38" s="87">
        <f t="shared" si="2"/>
        <v>1625.23</v>
      </c>
      <c r="O38" s="88">
        <f t="shared" si="3"/>
        <v>44.72</v>
      </c>
      <c r="P38" s="278">
        <f t="shared" si="4"/>
        <v>72680.285600000003</v>
      </c>
    </row>
    <row r="39" spans="1:30" s="109" customFormat="1" ht="44.25" customHeight="1" x14ac:dyDescent="0.2">
      <c r="A39" s="97"/>
      <c r="B39" s="116"/>
      <c r="C39" s="117" t="s">
        <v>135</v>
      </c>
      <c r="D39" s="117" t="s">
        <v>69</v>
      </c>
      <c r="E39" s="118" t="s">
        <v>112</v>
      </c>
      <c r="F39" s="119" t="s">
        <v>113</v>
      </c>
      <c r="G39" s="120" t="s">
        <v>62</v>
      </c>
      <c r="H39" s="121">
        <v>452.4</v>
      </c>
      <c r="I39" s="122">
        <v>247.39</v>
      </c>
      <c r="J39" s="122">
        <v>111919.24</v>
      </c>
      <c r="K39" s="85">
        <f t="shared" si="5"/>
        <v>6.79</v>
      </c>
      <c r="L39" s="86">
        <f t="shared" si="0"/>
        <v>247.39</v>
      </c>
      <c r="M39" s="277">
        <f t="shared" si="1"/>
        <v>1679.7781</v>
      </c>
      <c r="N39" s="87">
        <f t="shared" si="2"/>
        <v>459.19</v>
      </c>
      <c r="O39" s="88">
        <f t="shared" si="3"/>
        <v>247.39</v>
      </c>
      <c r="P39" s="278">
        <f t="shared" si="4"/>
        <v>113599.0141</v>
      </c>
      <c r="X39" s="109" t="s">
        <v>1008</v>
      </c>
    </row>
    <row r="40" spans="1:30" s="109" customFormat="1" ht="16.5" customHeight="1" x14ac:dyDescent="0.2">
      <c r="A40" s="97"/>
      <c r="B40" s="116"/>
      <c r="C40" s="117" t="s">
        <v>139</v>
      </c>
      <c r="D40" s="117" t="s">
        <v>69</v>
      </c>
      <c r="E40" s="118" t="s">
        <v>115</v>
      </c>
      <c r="F40" s="119" t="s">
        <v>116</v>
      </c>
      <c r="G40" s="120" t="s">
        <v>62</v>
      </c>
      <c r="H40" s="121">
        <v>452.4</v>
      </c>
      <c r="I40" s="122">
        <v>11.84</v>
      </c>
      <c r="J40" s="122">
        <v>5356.42</v>
      </c>
      <c r="K40" s="85">
        <f t="shared" si="5"/>
        <v>6.79</v>
      </c>
      <c r="L40" s="86">
        <f t="shared" si="0"/>
        <v>11.84</v>
      </c>
      <c r="M40" s="277">
        <f t="shared" si="1"/>
        <v>80.393600000000006</v>
      </c>
      <c r="N40" s="87">
        <f t="shared" si="2"/>
        <v>459.19</v>
      </c>
      <c r="O40" s="88">
        <f t="shared" si="3"/>
        <v>11.84</v>
      </c>
      <c r="P40" s="278">
        <f t="shared" si="4"/>
        <v>5436.8095999999996</v>
      </c>
      <c r="X40" s="109" t="s">
        <v>1008</v>
      </c>
    </row>
    <row r="41" spans="1:30" s="109" customFormat="1" ht="24" x14ac:dyDescent="0.2">
      <c r="A41" s="97"/>
      <c r="B41" s="116"/>
      <c r="C41" s="117" t="s">
        <v>142</v>
      </c>
      <c r="D41" s="117" t="s">
        <v>69</v>
      </c>
      <c r="E41" s="118" t="s">
        <v>118</v>
      </c>
      <c r="F41" s="119" t="s">
        <v>837</v>
      </c>
      <c r="G41" s="120" t="s">
        <v>120</v>
      </c>
      <c r="H41" s="121">
        <v>723.00400000000002</v>
      </c>
      <c r="I41" s="122">
        <v>116</v>
      </c>
      <c r="J41" s="122">
        <v>83868.460000000006</v>
      </c>
      <c r="K41" s="85">
        <f t="shared" si="5"/>
        <v>10.84</v>
      </c>
      <c r="L41" s="86">
        <f t="shared" si="0"/>
        <v>116</v>
      </c>
      <c r="M41" s="277">
        <f t="shared" si="1"/>
        <v>1257.44</v>
      </c>
      <c r="N41" s="87">
        <f t="shared" si="2"/>
        <v>733.84400000000005</v>
      </c>
      <c r="O41" s="88">
        <f t="shared" si="3"/>
        <v>116</v>
      </c>
      <c r="P41" s="278">
        <f t="shared" si="4"/>
        <v>85125.90400000001</v>
      </c>
      <c r="W41" s="150" t="s">
        <v>1141</v>
      </c>
      <c r="X41" s="109" t="s">
        <v>1008</v>
      </c>
    </row>
    <row r="42" spans="1:30" s="109" customFormat="1" ht="21.75" customHeight="1" x14ac:dyDescent="0.2">
      <c r="A42" s="97"/>
      <c r="B42" s="116"/>
      <c r="C42" s="117" t="s">
        <v>145</v>
      </c>
      <c r="D42" s="117" t="s">
        <v>69</v>
      </c>
      <c r="E42" s="118" t="s">
        <v>121</v>
      </c>
      <c r="F42" s="119" t="s">
        <v>838</v>
      </c>
      <c r="G42" s="120" t="s">
        <v>62</v>
      </c>
      <c r="H42" s="121">
        <v>1148.8499999999999</v>
      </c>
      <c r="I42" s="122">
        <v>286.72000000000003</v>
      </c>
      <c r="J42" s="122">
        <v>329398.27</v>
      </c>
      <c r="K42" s="85">
        <f t="shared" si="5"/>
        <v>17.23</v>
      </c>
      <c r="L42" s="86">
        <f t="shared" si="0"/>
        <v>286.72000000000003</v>
      </c>
      <c r="M42" s="277">
        <f t="shared" si="1"/>
        <v>4940.1856000000007</v>
      </c>
      <c r="N42" s="87">
        <f t="shared" si="2"/>
        <v>1166.08</v>
      </c>
      <c r="O42" s="88">
        <f t="shared" si="3"/>
        <v>286.72000000000003</v>
      </c>
      <c r="P42" s="278">
        <f t="shared" si="4"/>
        <v>334338.45760000002</v>
      </c>
    </row>
    <row r="43" spans="1:30" s="109" customFormat="1" ht="55.5" customHeight="1" x14ac:dyDescent="0.2">
      <c r="A43" s="97"/>
      <c r="B43" s="116"/>
      <c r="C43" s="117" t="s">
        <v>148</v>
      </c>
      <c r="D43" s="117" t="s">
        <v>69</v>
      </c>
      <c r="E43" s="118" t="s">
        <v>124</v>
      </c>
      <c r="F43" s="119" t="s">
        <v>839</v>
      </c>
      <c r="G43" s="120" t="s">
        <v>62</v>
      </c>
      <c r="H43" s="121">
        <v>342.55</v>
      </c>
      <c r="I43" s="122">
        <v>318.27999999999997</v>
      </c>
      <c r="J43" s="122">
        <v>109026.81</v>
      </c>
      <c r="K43" s="85">
        <f t="shared" si="5"/>
        <v>5.14</v>
      </c>
      <c r="L43" s="86">
        <f t="shared" si="0"/>
        <v>318.27999999999997</v>
      </c>
      <c r="M43" s="277">
        <f t="shared" si="1"/>
        <v>1635.9591999999998</v>
      </c>
      <c r="N43" s="87">
        <f t="shared" si="2"/>
        <v>347.69</v>
      </c>
      <c r="O43" s="88">
        <f t="shared" si="3"/>
        <v>318.27999999999997</v>
      </c>
      <c r="P43" s="278">
        <f t="shared" si="4"/>
        <v>110662.7732</v>
      </c>
    </row>
    <row r="44" spans="1:30" s="109" customFormat="1" ht="16.5" customHeight="1" x14ac:dyDescent="0.2">
      <c r="A44" s="97"/>
      <c r="B44" s="116"/>
      <c r="C44" s="123" t="s">
        <v>151</v>
      </c>
      <c r="D44" s="123" t="s">
        <v>127</v>
      </c>
      <c r="E44" s="124" t="s">
        <v>128</v>
      </c>
      <c r="F44" s="125" t="s">
        <v>840</v>
      </c>
      <c r="G44" s="126" t="s">
        <v>120</v>
      </c>
      <c r="H44" s="127">
        <v>616.59</v>
      </c>
      <c r="I44" s="128">
        <v>190.76</v>
      </c>
      <c r="J44" s="128">
        <v>117620.71</v>
      </c>
      <c r="K44" s="85">
        <f t="shared" si="5"/>
        <v>9.25</v>
      </c>
      <c r="L44" s="86">
        <f t="shared" si="0"/>
        <v>190.76</v>
      </c>
      <c r="M44" s="277">
        <f t="shared" si="1"/>
        <v>1764.53</v>
      </c>
      <c r="N44" s="87">
        <f t="shared" si="2"/>
        <v>625.84</v>
      </c>
      <c r="O44" s="88">
        <f t="shared" si="3"/>
        <v>190.76</v>
      </c>
      <c r="P44" s="278">
        <f t="shared" si="4"/>
        <v>119385.2384</v>
      </c>
    </row>
    <row r="45" spans="1:30" s="110" customFormat="1" ht="22.9" customHeight="1" x14ac:dyDescent="0.2">
      <c r="C45" s="245"/>
      <c r="D45" s="246" t="s">
        <v>3</v>
      </c>
      <c r="E45" s="247" t="s">
        <v>76</v>
      </c>
      <c r="F45" s="247" t="s">
        <v>130</v>
      </c>
      <c r="G45" s="245"/>
      <c r="H45" s="245"/>
      <c r="I45" s="245"/>
      <c r="J45" s="248">
        <v>24872.080000000002</v>
      </c>
      <c r="K45" s="243"/>
      <c r="L45" s="244"/>
      <c r="M45" s="279">
        <f>SUM(M46:M50)</f>
        <v>841.73680000000002</v>
      </c>
      <c r="N45" s="280"/>
      <c r="O45" s="244"/>
      <c r="P45" s="279">
        <f>SUM(P46:P50)</f>
        <v>82836.184200000003</v>
      </c>
    </row>
    <row r="46" spans="1:30" s="109" customFormat="1" ht="16.5" customHeight="1" x14ac:dyDescent="0.2">
      <c r="A46" s="97"/>
      <c r="B46" s="116"/>
      <c r="C46" s="117" t="s">
        <v>155</v>
      </c>
      <c r="D46" s="117" t="s">
        <v>69</v>
      </c>
      <c r="E46" s="118" t="s">
        <v>132</v>
      </c>
      <c r="F46" s="119" t="s">
        <v>133</v>
      </c>
      <c r="G46" s="120" t="s">
        <v>61</v>
      </c>
      <c r="H46" s="121">
        <v>756.45</v>
      </c>
      <c r="I46" s="122">
        <v>32.880000000000003</v>
      </c>
      <c r="J46" s="122">
        <v>24872.080000000002</v>
      </c>
      <c r="K46" s="85">
        <v>0</v>
      </c>
      <c r="L46" s="86">
        <f t="shared" si="0"/>
        <v>32.880000000000003</v>
      </c>
      <c r="M46" s="277">
        <f t="shared" si="1"/>
        <v>0</v>
      </c>
      <c r="N46" s="87">
        <f t="shared" si="2"/>
        <v>756.45</v>
      </c>
      <c r="O46" s="88">
        <f t="shared" si="3"/>
        <v>32.880000000000003</v>
      </c>
      <c r="P46" s="278">
        <f t="shared" si="4"/>
        <v>24872.076000000005</v>
      </c>
      <c r="AA46" s="148" t="s">
        <v>1164</v>
      </c>
      <c r="AB46" s="109" t="s">
        <v>1008</v>
      </c>
      <c r="AC46" s="148" t="s">
        <v>1194</v>
      </c>
      <c r="AD46" s="109" t="s">
        <v>1035</v>
      </c>
    </row>
    <row r="47" spans="1:30" s="110" customFormat="1" ht="22.9" customHeight="1" x14ac:dyDescent="0.2">
      <c r="C47" s="304"/>
      <c r="D47" s="305" t="s">
        <v>3</v>
      </c>
      <c r="E47" s="306" t="s">
        <v>73</v>
      </c>
      <c r="F47" s="306" t="s">
        <v>134</v>
      </c>
      <c r="G47" s="304"/>
      <c r="H47" s="304"/>
      <c r="I47" s="304"/>
      <c r="J47" s="307">
        <v>57122.37</v>
      </c>
      <c r="K47" s="308"/>
      <c r="L47" s="309"/>
      <c r="M47" s="310">
        <f t="shared" si="1"/>
        <v>0</v>
      </c>
      <c r="N47" s="311"/>
      <c r="O47" s="312"/>
      <c r="P47" s="313">
        <f t="shared" si="4"/>
        <v>0</v>
      </c>
    </row>
    <row r="48" spans="1:30" s="109" customFormat="1" ht="21.75" customHeight="1" x14ac:dyDescent="0.2">
      <c r="A48" s="97"/>
      <c r="B48" s="116"/>
      <c r="C48" s="117" t="s">
        <v>158</v>
      </c>
      <c r="D48" s="117" t="s">
        <v>69</v>
      </c>
      <c r="E48" s="118" t="s">
        <v>398</v>
      </c>
      <c r="F48" s="119" t="s">
        <v>841</v>
      </c>
      <c r="G48" s="120" t="s">
        <v>62</v>
      </c>
      <c r="H48" s="121">
        <v>82.77</v>
      </c>
      <c r="I48" s="122">
        <v>678.82</v>
      </c>
      <c r="J48" s="122">
        <v>56185.93</v>
      </c>
      <c r="K48" s="85">
        <f t="shared" ref="K48" si="6">ROUND(13.94/929.4*H48,2)</f>
        <v>1.24</v>
      </c>
      <c r="L48" s="86">
        <f t="shared" si="0"/>
        <v>678.82</v>
      </c>
      <c r="M48" s="277">
        <f t="shared" si="1"/>
        <v>841.73680000000002</v>
      </c>
      <c r="N48" s="87">
        <f t="shared" si="2"/>
        <v>84.009999999999991</v>
      </c>
      <c r="O48" s="88">
        <f t="shared" si="3"/>
        <v>678.82</v>
      </c>
      <c r="P48" s="278">
        <f t="shared" si="4"/>
        <v>57027.6682</v>
      </c>
    </row>
    <row r="49" spans="1:30" s="109" customFormat="1" ht="16.5" customHeight="1" x14ac:dyDescent="0.2">
      <c r="A49" s="97"/>
      <c r="B49" s="116"/>
      <c r="C49" s="117" t="s">
        <v>161</v>
      </c>
      <c r="D49" s="117" t="s">
        <v>69</v>
      </c>
      <c r="E49" s="118" t="s">
        <v>136</v>
      </c>
      <c r="F49" s="119" t="s">
        <v>842</v>
      </c>
      <c r="G49" s="120" t="s">
        <v>138</v>
      </c>
      <c r="H49" s="121">
        <v>2</v>
      </c>
      <c r="I49" s="122">
        <v>122.32</v>
      </c>
      <c r="J49" s="122">
        <v>244.64</v>
      </c>
      <c r="K49" s="85">
        <v>0</v>
      </c>
      <c r="L49" s="86">
        <f t="shared" si="0"/>
        <v>122.32</v>
      </c>
      <c r="M49" s="277">
        <f t="shared" si="1"/>
        <v>0</v>
      </c>
      <c r="N49" s="87">
        <f t="shared" si="2"/>
        <v>2</v>
      </c>
      <c r="O49" s="88">
        <f t="shared" si="3"/>
        <v>122.32</v>
      </c>
      <c r="P49" s="278">
        <f t="shared" si="4"/>
        <v>244.64</v>
      </c>
    </row>
    <row r="50" spans="1:30" s="109" customFormat="1" ht="16.5" customHeight="1" x14ac:dyDescent="0.2">
      <c r="A50" s="97"/>
      <c r="B50" s="116"/>
      <c r="C50" s="123" t="s">
        <v>164</v>
      </c>
      <c r="D50" s="123" t="s">
        <v>127</v>
      </c>
      <c r="E50" s="124" t="s">
        <v>146</v>
      </c>
      <c r="F50" s="125" t="s">
        <v>147</v>
      </c>
      <c r="G50" s="126" t="s">
        <v>138</v>
      </c>
      <c r="H50" s="127">
        <v>2</v>
      </c>
      <c r="I50" s="128">
        <v>345.9</v>
      </c>
      <c r="J50" s="128">
        <v>691.8</v>
      </c>
      <c r="K50" s="85">
        <v>0</v>
      </c>
      <c r="L50" s="86">
        <f t="shared" si="0"/>
        <v>345.9</v>
      </c>
      <c r="M50" s="277">
        <f t="shared" si="1"/>
        <v>0</v>
      </c>
      <c r="N50" s="87">
        <f t="shared" si="2"/>
        <v>2</v>
      </c>
      <c r="O50" s="88">
        <f t="shared" si="3"/>
        <v>345.9</v>
      </c>
      <c r="P50" s="278">
        <f t="shared" si="4"/>
        <v>691.8</v>
      </c>
    </row>
    <row r="51" spans="1:30" s="110" customFormat="1" ht="22.9" customHeight="1" x14ac:dyDescent="0.2">
      <c r="C51" s="245" t="s">
        <v>1268</v>
      </c>
      <c r="D51" s="246" t="s">
        <v>3</v>
      </c>
      <c r="E51" s="247" t="s">
        <v>81</v>
      </c>
      <c r="F51" s="247" t="s">
        <v>154</v>
      </c>
      <c r="G51" s="245"/>
      <c r="H51" s="245"/>
      <c r="I51" s="245"/>
      <c r="J51" s="248">
        <v>207677.46</v>
      </c>
      <c r="K51" s="243"/>
      <c r="L51" s="244"/>
      <c r="M51" s="279">
        <f>SUM(M52:M57)</f>
        <v>0</v>
      </c>
      <c r="N51" s="280"/>
      <c r="O51" s="244"/>
      <c r="P51" s="279">
        <f>SUM(P52:P57)</f>
        <v>207677.45291999998</v>
      </c>
    </row>
    <row r="52" spans="1:30" s="109" customFormat="1" ht="21.75" customHeight="1" x14ac:dyDescent="0.2">
      <c r="A52" s="97"/>
      <c r="B52" s="116"/>
      <c r="C52" s="117" t="s">
        <v>167</v>
      </c>
      <c r="D52" s="117" t="s">
        <v>69</v>
      </c>
      <c r="E52" s="118" t="s">
        <v>156</v>
      </c>
      <c r="F52" s="119" t="s">
        <v>843</v>
      </c>
      <c r="G52" s="120" t="s">
        <v>72</v>
      </c>
      <c r="H52" s="121">
        <v>92.938999999999993</v>
      </c>
      <c r="I52" s="122">
        <v>302.54000000000002</v>
      </c>
      <c r="J52" s="122">
        <v>28117.77</v>
      </c>
      <c r="K52" s="85">
        <v>0</v>
      </c>
      <c r="L52" s="86">
        <f t="shared" si="0"/>
        <v>302.54000000000002</v>
      </c>
      <c r="M52" s="277">
        <f t="shared" si="1"/>
        <v>0</v>
      </c>
      <c r="N52" s="87">
        <f t="shared" si="2"/>
        <v>92.938999999999993</v>
      </c>
      <c r="O52" s="88">
        <f t="shared" si="3"/>
        <v>302.54000000000002</v>
      </c>
      <c r="P52" s="278">
        <f t="shared" si="4"/>
        <v>28117.765060000002</v>
      </c>
    </row>
    <row r="53" spans="1:30" s="109" customFormat="1" ht="21.75" customHeight="1" x14ac:dyDescent="0.2">
      <c r="A53" s="97"/>
      <c r="B53" s="116"/>
      <c r="C53" s="117" t="s">
        <v>170</v>
      </c>
      <c r="D53" s="117" t="s">
        <v>69</v>
      </c>
      <c r="E53" s="118" t="s">
        <v>162</v>
      </c>
      <c r="F53" s="119" t="s">
        <v>163</v>
      </c>
      <c r="G53" s="120" t="s">
        <v>72</v>
      </c>
      <c r="H53" s="121">
        <v>92.938999999999993</v>
      </c>
      <c r="I53" s="122">
        <v>155.66999999999999</v>
      </c>
      <c r="J53" s="122">
        <v>14467.81</v>
      </c>
      <c r="K53" s="85">
        <v>0</v>
      </c>
      <c r="L53" s="86">
        <f t="shared" si="0"/>
        <v>155.66999999999999</v>
      </c>
      <c r="M53" s="277">
        <f t="shared" si="1"/>
        <v>0</v>
      </c>
      <c r="N53" s="87">
        <f t="shared" si="2"/>
        <v>92.938999999999993</v>
      </c>
      <c r="O53" s="88">
        <f t="shared" si="3"/>
        <v>155.66999999999999</v>
      </c>
      <c r="P53" s="278">
        <f t="shared" si="4"/>
        <v>14467.814129999997</v>
      </c>
      <c r="AA53" s="148" t="s">
        <v>1167</v>
      </c>
      <c r="AB53" s="109" t="s">
        <v>1180</v>
      </c>
      <c r="AC53" s="150" t="s">
        <v>1193</v>
      </c>
      <c r="AD53" s="109" t="s">
        <v>1199</v>
      </c>
    </row>
    <row r="54" spans="1:30" s="109" customFormat="1" ht="21.75" customHeight="1" x14ac:dyDescent="0.2">
      <c r="A54" s="97"/>
      <c r="B54" s="116"/>
      <c r="C54" s="117" t="s">
        <v>173</v>
      </c>
      <c r="D54" s="117" t="s">
        <v>69</v>
      </c>
      <c r="E54" s="118" t="s">
        <v>844</v>
      </c>
      <c r="F54" s="119" t="s">
        <v>845</v>
      </c>
      <c r="G54" s="120" t="s">
        <v>72</v>
      </c>
      <c r="H54" s="121">
        <v>106.59</v>
      </c>
      <c r="I54" s="122">
        <v>206.97</v>
      </c>
      <c r="J54" s="122">
        <v>22060.93</v>
      </c>
      <c r="K54" s="85">
        <v>0</v>
      </c>
      <c r="L54" s="86">
        <f t="shared" si="0"/>
        <v>206.97</v>
      </c>
      <c r="M54" s="277">
        <f t="shared" si="1"/>
        <v>0</v>
      </c>
      <c r="N54" s="87">
        <f t="shared" si="2"/>
        <v>106.59</v>
      </c>
      <c r="O54" s="88">
        <f t="shared" si="3"/>
        <v>206.97</v>
      </c>
      <c r="P54" s="278">
        <f t="shared" si="4"/>
        <v>22060.9323</v>
      </c>
    </row>
    <row r="55" spans="1:30" s="109" customFormat="1" ht="21.75" customHeight="1" x14ac:dyDescent="0.2">
      <c r="A55" s="97"/>
      <c r="B55" s="116"/>
      <c r="C55" s="117" t="s">
        <v>176</v>
      </c>
      <c r="D55" s="117" t="s">
        <v>69</v>
      </c>
      <c r="E55" s="118" t="s">
        <v>168</v>
      </c>
      <c r="F55" s="119" t="s">
        <v>846</v>
      </c>
      <c r="G55" s="120" t="s">
        <v>72</v>
      </c>
      <c r="H55" s="121">
        <v>143.63300000000001</v>
      </c>
      <c r="I55" s="122">
        <v>18.04</v>
      </c>
      <c r="J55" s="122">
        <v>2591.14</v>
      </c>
      <c r="K55" s="85">
        <v>0</v>
      </c>
      <c r="L55" s="86">
        <f t="shared" si="0"/>
        <v>18.04</v>
      </c>
      <c r="M55" s="277">
        <f t="shared" si="1"/>
        <v>0</v>
      </c>
      <c r="N55" s="87">
        <f t="shared" si="2"/>
        <v>143.63300000000001</v>
      </c>
      <c r="O55" s="88">
        <f t="shared" si="3"/>
        <v>18.04</v>
      </c>
      <c r="P55" s="278">
        <f t="shared" si="4"/>
        <v>2591.1393200000002</v>
      </c>
    </row>
    <row r="56" spans="1:30" s="109" customFormat="1" ht="21.75" customHeight="1" x14ac:dyDescent="0.2">
      <c r="A56" s="97"/>
      <c r="B56" s="116"/>
      <c r="C56" s="117" t="s">
        <v>179</v>
      </c>
      <c r="D56" s="117" t="s">
        <v>69</v>
      </c>
      <c r="E56" s="118" t="s">
        <v>171</v>
      </c>
      <c r="F56" s="119" t="s">
        <v>847</v>
      </c>
      <c r="G56" s="120" t="s">
        <v>72</v>
      </c>
      <c r="H56" s="121">
        <v>250.22300000000001</v>
      </c>
      <c r="I56" s="122">
        <v>396.71</v>
      </c>
      <c r="J56" s="122">
        <v>99265.97</v>
      </c>
      <c r="K56" s="85">
        <v>0</v>
      </c>
      <c r="L56" s="86">
        <f t="shared" si="0"/>
        <v>396.71</v>
      </c>
      <c r="M56" s="277">
        <f t="shared" si="1"/>
        <v>0</v>
      </c>
      <c r="N56" s="87">
        <f t="shared" si="2"/>
        <v>250.22300000000001</v>
      </c>
      <c r="O56" s="88">
        <f t="shared" si="3"/>
        <v>396.71</v>
      </c>
      <c r="P56" s="278">
        <f t="shared" si="4"/>
        <v>99265.966329999996</v>
      </c>
    </row>
    <row r="57" spans="1:30" s="109" customFormat="1" ht="21.75" customHeight="1" x14ac:dyDescent="0.2">
      <c r="A57" s="97"/>
      <c r="B57" s="116"/>
      <c r="C57" s="117" t="s">
        <v>183</v>
      </c>
      <c r="D57" s="117" t="s">
        <v>69</v>
      </c>
      <c r="E57" s="118" t="s">
        <v>174</v>
      </c>
      <c r="F57" s="119" t="s">
        <v>848</v>
      </c>
      <c r="G57" s="120" t="s">
        <v>72</v>
      </c>
      <c r="H57" s="121">
        <v>92.938999999999993</v>
      </c>
      <c r="I57" s="122">
        <v>443.02</v>
      </c>
      <c r="J57" s="122">
        <v>41173.839999999997</v>
      </c>
      <c r="K57" s="85">
        <v>0</v>
      </c>
      <c r="L57" s="86">
        <f t="shared" si="0"/>
        <v>443.02</v>
      </c>
      <c r="M57" s="277">
        <f t="shared" si="1"/>
        <v>0</v>
      </c>
      <c r="N57" s="87">
        <f t="shared" si="2"/>
        <v>92.938999999999993</v>
      </c>
      <c r="O57" s="88">
        <f t="shared" si="3"/>
        <v>443.02</v>
      </c>
      <c r="P57" s="278">
        <f t="shared" si="4"/>
        <v>41173.835779999994</v>
      </c>
    </row>
    <row r="58" spans="1:30" s="110" customFormat="1" ht="22.9" customHeight="1" x14ac:dyDescent="0.2">
      <c r="C58" s="245"/>
      <c r="D58" s="246" t="s">
        <v>3</v>
      </c>
      <c r="E58" s="247" t="s">
        <v>90</v>
      </c>
      <c r="F58" s="247" t="s">
        <v>182</v>
      </c>
      <c r="G58" s="245"/>
      <c r="H58" s="245"/>
      <c r="I58" s="245"/>
      <c r="J58" s="248">
        <v>1367728.01</v>
      </c>
      <c r="K58" s="243"/>
      <c r="L58" s="244"/>
      <c r="M58" s="279">
        <f>SUM(M59:M100)</f>
        <v>15935.251999999999</v>
      </c>
      <c r="N58" s="280"/>
      <c r="O58" s="244"/>
      <c r="P58" s="279">
        <f>SUM(P59:P100)</f>
        <v>1383663.2694300001</v>
      </c>
    </row>
    <row r="59" spans="1:30" s="109" customFormat="1" ht="33" customHeight="1" x14ac:dyDescent="0.2">
      <c r="A59" s="97"/>
      <c r="B59" s="116"/>
      <c r="C59" s="117" t="s">
        <v>186</v>
      </c>
      <c r="D59" s="117" t="s">
        <v>69</v>
      </c>
      <c r="E59" s="118" t="s">
        <v>849</v>
      </c>
      <c r="F59" s="119" t="s">
        <v>850</v>
      </c>
      <c r="G59" s="120" t="s">
        <v>138</v>
      </c>
      <c r="H59" s="121">
        <v>2</v>
      </c>
      <c r="I59" s="122">
        <v>476.11</v>
      </c>
      <c r="J59" s="122">
        <v>952.22</v>
      </c>
      <c r="K59" s="85">
        <v>0</v>
      </c>
      <c r="L59" s="86">
        <f t="shared" si="0"/>
        <v>476.11</v>
      </c>
      <c r="M59" s="277">
        <f t="shared" si="1"/>
        <v>0</v>
      </c>
      <c r="N59" s="87">
        <f t="shared" si="2"/>
        <v>2</v>
      </c>
      <c r="O59" s="88">
        <f t="shared" si="3"/>
        <v>476.11</v>
      </c>
      <c r="P59" s="278">
        <f t="shared" si="4"/>
        <v>952.22</v>
      </c>
    </row>
    <row r="60" spans="1:30" s="109" customFormat="1" ht="33" customHeight="1" x14ac:dyDescent="0.2">
      <c r="A60" s="97"/>
      <c r="B60" s="116"/>
      <c r="C60" s="123" t="s">
        <v>189</v>
      </c>
      <c r="D60" s="123" t="s">
        <v>127</v>
      </c>
      <c r="E60" s="124" t="s">
        <v>851</v>
      </c>
      <c r="F60" s="125" t="s">
        <v>852</v>
      </c>
      <c r="G60" s="126" t="s">
        <v>138</v>
      </c>
      <c r="H60" s="127">
        <v>2</v>
      </c>
      <c r="I60" s="128">
        <v>2041.22</v>
      </c>
      <c r="J60" s="128">
        <v>4082.44</v>
      </c>
      <c r="K60" s="85">
        <v>0</v>
      </c>
      <c r="L60" s="86">
        <f t="shared" si="0"/>
        <v>2041.22</v>
      </c>
      <c r="M60" s="277">
        <f t="shared" si="1"/>
        <v>0</v>
      </c>
      <c r="N60" s="87">
        <f t="shared" si="2"/>
        <v>2</v>
      </c>
      <c r="O60" s="88">
        <f t="shared" si="3"/>
        <v>2041.22</v>
      </c>
      <c r="P60" s="278">
        <f t="shared" si="4"/>
        <v>4082.44</v>
      </c>
    </row>
    <row r="61" spans="1:30" s="109" customFormat="1" ht="33" customHeight="1" x14ac:dyDescent="0.2">
      <c r="A61" s="97"/>
      <c r="B61" s="116"/>
      <c r="C61" s="117" t="s">
        <v>192</v>
      </c>
      <c r="D61" s="117" t="s">
        <v>69</v>
      </c>
      <c r="E61" s="118" t="s">
        <v>853</v>
      </c>
      <c r="F61" s="119" t="s">
        <v>854</v>
      </c>
      <c r="G61" s="120" t="s">
        <v>138</v>
      </c>
      <c r="H61" s="121">
        <v>8</v>
      </c>
      <c r="I61" s="122">
        <v>323.54000000000002</v>
      </c>
      <c r="J61" s="122">
        <v>2588.3200000000002</v>
      </c>
      <c r="K61" s="85">
        <v>0</v>
      </c>
      <c r="L61" s="86">
        <f t="shared" si="0"/>
        <v>323.54000000000002</v>
      </c>
      <c r="M61" s="277">
        <f t="shared" si="1"/>
        <v>0</v>
      </c>
      <c r="N61" s="87">
        <f t="shared" si="2"/>
        <v>8</v>
      </c>
      <c r="O61" s="88">
        <f t="shared" si="3"/>
        <v>323.54000000000002</v>
      </c>
      <c r="P61" s="278">
        <f t="shared" si="4"/>
        <v>2588.3200000000002</v>
      </c>
    </row>
    <row r="62" spans="1:30" s="109" customFormat="1" ht="16.5" customHeight="1" x14ac:dyDescent="0.2">
      <c r="A62" s="97"/>
      <c r="B62" s="116"/>
      <c r="C62" s="123" t="s">
        <v>195</v>
      </c>
      <c r="D62" s="123" t="s">
        <v>127</v>
      </c>
      <c r="E62" s="124" t="s">
        <v>855</v>
      </c>
      <c r="F62" s="125" t="s">
        <v>856</v>
      </c>
      <c r="G62" s="126" t="s">
        <v>138</v>
      </c>
      <c r="H62" s="127">
        <v>1</v>
      </c>
      <c r="I62" s="128">
        <v>4429.66</v>
      </c>
      <c r="J62" s="128">
        <v>4429.66</v>
      </c>
      <c r="K62" s="85">
        <v>0</v>
      </c>
      <c r="L62" s="86">
        <f t="shared" si="0"/>
        <v>4429.66</v>
      </c>
      <c r="M62" s="277">
        <f t="shared" si="1"/>
        <v>0</v>
      </c>
      <c r="N62" s="87">
        <f t="shared" si="2"/>
        <v>1</v>
      </c>
      <c r="O62" s="88">
        <f t="shared" si="3"/>
        <v>4429.66</v>
      </c>
      <c r="P62" s="278">
        <f t="shared" si="4"/>
        <v>4429.66</v>
      </c>
    </row>
    <row r="63" spans="1:30" s="109" customFormat="1" ht="16.5" customHeight="1" x14ac:dyDescent="0.2">
      <c r="A63" s="97"/>
      <c r="B63" s="116"/>
      <c r="C63" s="123" t="s">
        <v>198</v>
      </c>
      <c r="D63" s="123" t="s">
        <v>127</v>
      </c>
      <c r="E63" s="124" t="s">
        <v>857</v>
      </c>
      <c r="F63" s="125" t="s">
        <v>858</v>
      </c>
      <c r="G63" s="126" t="s">
        <v>138</v>
      </c>
      <c r="H63" s="127">
        <v>1</v>
      </c>
      <c r="I63" s="128">
        <v>3676.04</v>
      </c>
      <c r="J63" s="128">
        <v>3676.04</v>
      </c>
      <c r="K63" s="85">
        <v>0</v>
      </c>
      <c r="L63" s="86">
        <f t="shared" si="0"/>
        <v>3676.04</v>
      </c>
      <c r="M63" s="277">
        <f t="shared" si="1"/>
        <v>0</v>
      </c>
      <c r="N63" s="87">
        <f t="shared" si="2"/>
        <v>1</v>
      </c>
      <c r="O63" s="88">
        <f t="shared" si="3"/>
        <v>3676.04</v>
      </c>
      <c r="P63" s="278">
        <f t="shared" si="4"/>
        <v>3676.04</v>
      </c>
    </row>
    <row r="64" spans="1:30" s="109" customFormat="1" ht="16.5" customHeight="1" x14ac:dyDescent="0.2">
      <c r="A64" s="97"/>
      <c r="B64" s="116"/>
      <c r="C64" s="123" t="s">
        <v>201</v>
      </c>
      <c r="D64" s="123" t="s">
        <v>127</v>
      </c>
      <c r="E64" s="124" t="s">
        <v>859</v>
      </c>
      <c r="F64" s="125" t="s">
        <v>860</v>
      </c>
      <c r="G64" s="126" t="s">
        <v>138</v>
      </c>
      <c r="H64" s="127">
        <v>1</v>
      </c>
      <c r="I64" s="128">
        <v>1871.56</v>
      </c>
      <c r="J64" s="128">
        <v>1871.56</v>
      </c>
      <c r="K64" s="85">
        <v>0</v>
      </c>
      <c r="L64" s="86">
        <f t="shared" si="0"/>
        <v>1871.56</v>
      </c>
      <c r="M64" s="277">
        <f t="shared" si="1"/>
        <v>0</v>
      </c>
      <c r="N64" s="87">
        <f t="shared" si="2"/>
        <v>1</v>
      </c>
      <c r="O64" s="88">
        <f t="shared" si="3"/>
        <v>1871.56</v>
      </c>
      <c r="P64" s="278">
        <f t="shared" si="4"/>
        <v>1871.56</v>
      </c>
    </row>
    <row r="65" spans="1:24" s="109" customFormat="1" ht="16.5" customHeight="1" x14ac:dyDescent="0.2">
      <c r="A65" s="97"/>
      <c r="B65" s="116"/>
      <c r="C65" s="123" t="s">
        <v>204</v>
      </c>
      <c r="D65" s="123" t="s">
        <v>127</v>
      </c>
      <c r="E65" s="124" t="s">
        <v>861</v>
      </c>
      <c r="F65" s="125" t="s">
        <v>862</v>
      </c>
      <c r="G65" s="126" t="s">
        <v>138</v>
      </c>
      <c r="H65" s="127">
        <v>4</v>
      </c>
      <c r="I65" s="128">
        <v>3239.39</v>
      </c>
      <c r="J65" s="128">
        <v>12957.56</v>
      </c>
      <c r="K65" s="85">
        <v>0</v>
      </c>
      <c r="L65" s="86">
        <f t="shared" si="0"/>
        <v>3239.39</v>
      </c>
      <c r="M65" s="277">
        <f t="shared" si="1"/>
        <v>0</v>
      </c>
      <c r="N65" s="87">
        <f t="shared" si="2"/>
        <v>4</v>
      </c>
      <c r="O65" s="88">
        <f t="shared" si="3"/>
        <v>3239.39</v>
      </c>
      <c r="P65" s="278">
        <f t="shared" si="4"/>
        <v>12957.56</v>
      </c>
    </row>
    <row r="66" spans="1:24" s="109" customFormat="1" ht="16.5" customHeight="1" x14ac:dyDescent="0.2">
      <c r="A66" s="97"/>
      <c r="B66" s="116"/>
      <c r="C66" s="123" t="s">
        <v>207</v>
      </c>
      <c r="D66" s="123" t="s">
        <v>127</v>
      </c>
      <c r="E66" s="124" t="s">
        <v>863</v>
      </c>
      <c r="F66" s="125" t="s">
        <v>864</v>
      </c>
      <c r="G66" s="126" t="s">
        <v>138</v>
      </c>
      <c r="H66" s="127">
        <v>1</v>
      </c>
      <c r="I66" s="128">
        <v>3084.19</v>
      </c>
      <c r="J66" s="128">
        <v>3084.19</v>
      </c>
      <c r="K66" s="85">
        <v>0</v>
      </c>
      <c r="L66" s="86">
        <f t="shared" si="0"/>
        <v>3084.19</v>
      </c>
      <c r="M66" s="277">
        <f t="shared" si="1"/>
        <v>0</v>
      </c>
      <c r="N66" s="87">
        <f t="shared" si="2"/>
        <v>1</v>
      </c>
      <c r="O66" s="88">
        <f t="shared" si="3"/>
        <v>3084.19</v>
      </c>
      <c r="P66" s="278">
        <f t="shared" si="4"/>
        <v>3084.19</v>
      </c>
    </row>
    <row r="67" spans="1:24" s="109" customFormat="1" ht="33" customHeight="1" x14ac:dyDescent="0.2">
      <c r="A67" s="97"/>
      <c r="B67" s="116"/>
      <c r="C67" s="117" t="s">
        <v>210</v>
      </c>
      <c r="D67" s="117" t="s">
        <v>69</v>
      </c>
      <c r="E67" s="118" t="s">
        <v>865</v>
      </c>
      <c r="F67" s="119" t="s">
        <v>866</v>
      </c>
      <c r="G67" s="120" t="s">
        <v>61</v>
      </c>
      <c r="H67" s="121">
        <v>929.4</v>
      </c>
      <c r="I67" s="122">
        <v>140.72999999999999</v>
      </c>
      <c r="J67" s="122">
        <v>130794.46</v>
      </c>
      <c r="K67" s="85">
        <f t="shared" ref="K67:K68" si="7">ROUND(13.94/929.4*H67,2)</f>
        <v>13.94</v>
      </c>
      <c r="L67" s="86">
        <f t="shared" si="0"/>
        <v>140.72999999999999</v>
      </c>
      <c r="M67" s="277">
        <f t="shared" si="1"/>
        <v>1961.7761999999998</v>
      </c>
      <c r="N67" s="87">
        <f t="shared" si="2"/>
        <v>943.34</v>
      </c>
      <c r="O67" s="88">
        <f t="shared" si="3"/>
        <v>140.72999999999999</v>
      </c>
      <c r="P67" s="278">
        <f t="shared" si="4"/>
        <v>132756.23819999999</v>
      </c>
      <c r="Q67" s="150" t="s">
        <v>1095</v>
      </c>
    </row>
    <row r="68" spans="1:24" s="109" customFormat="1" ht="21.75" customHeight="1" x14ac:dyDescent="0.2">
      <c r="A68" s="97"/>
      <c r="B68" s="116"/>
      <c r="C68" s="123" t="s">
        <v>214</v>
      </c>
      <c r="D68" s="123" t="s">
        <v>127</v>
      </c>
      <c r="E68" s="124" t="s">
        <v>867</v>
      </c>
      <c r="F68" s="125" t="s">
        <v>868</v>
      </c>
      <c r="G68" s="126" t="s">
        <v>61</v>
      </c>
      <c r="H68" s="127">
        <v>943.34100000000001</v>
      </c>
      <c r="I68" s="128">
        <v>815.13</v>
      </c>
      <c r="J68" s="128">
        <v>768945.55</v>
      </c>
      <c r="K68" s="85">
        <f t="shared" si="7"/>
        <v>14.15</v>
      </c>
      <c r="L68" s="86">
        <f t="shared" si="0"/>
        <v>815.13</v>
      </c>
      <c r="M68" s="277">
        <f t="shared" si="1"/>
        <v>11534.0895</v>
      </c>
      <c r="N68" s="87">
        <f t="shared" si="2"/>
        <v>957.49099999999999</v>
      </c>
      <c r="O68" s="88">
        <f t="shared" si="3"/>
        <v>815.13</v>
      </c>
      <c r="P68" s="278">
        <f t="shared" si="4"/>
        <v>780479.63882999995</v>
      </c>
      <c r="R68" s="109" t="s">
        <v>1008</v>
      </c>
    </row>
    <row r="69" spans="1:24" s="109" customFormat="1" ht="33" customHeight="1" x14ac:dyDescent="0.2">
      <c r="A69" s="97"/>
      <c r="B69" s="116"/>
      <c r="C69" s="117" t="s">
        <v>217</v>
      </c>
      <c r="D69" s="117" t="s">
        <v>69</v>
      </c>
      <c r="E69" s="118" t="s">
        <v>869</v>
      </c>
      <c r="F69" s="119" t="s">
        <v>870</v>
      </c>
      <c r="G69" s="120" t="s">
        <v>138</v>
      </c>
      <c r="H69" s="121">
        <v>14</v>
      </c>
      <c r="I69" s="122">
        <v>840.43</v>
      </c>
      <c r="J69" s="122">
        <v>11766.02</v>
      </c>
      <c r="K69" s="85">
        <v>0</v>
      </c>
      <c r="L69" s="86">
        <f t="shared" si="0"/>
        <v>840.43</v>
      </c>
      <c r="M69" s="277">
        <f t="shared" si="1"/>
        <v>0</v>
      </c>
      <c r="N69" s="87">
        <f t="shared" si="2"/>
        <v>14</v>
      </c>
      <c r="O69" s="88">
        <f t="shared" si="3"/>
        <v>840.43</v>
      </c>
      <c r="P69" s="278">
        <f t="shared" si="4"/>
        <v>11766.019999999999</v>
      </c>
      <c r="W69" s="327" t="s">
        <v>1142</v>
      </c>
      <c r="X69" s="109" t="s">
        <v>1149</v>
      </c>
    </row>
    <row r="70" spans="1:24" s="109" customFormat="1" ht="16.5" customHeight="1" x14ac:dyDescent="0.2">
      <c r="A70" s="97"/>
      <c r="B70" s="116"/>
      <c r="C70" s="123" t="s">
        <v>220</v>
      </c>
      <c r="D70" s="123" t="s">
        <v>127</v>
      </c>
      <c r="E70" s="124" t="s">
        <v>635</v>
      </c>
      <c r="F70" s="125" t="s">
        <v>871</v>
      </c>
      <c r="G70" s="126" t="s">
        <v>138</v>
      </c>
      <c r="H70" s="127">
        <v>14</v>
      </c>
      <c r="I70" s="128">
        <v>414.29</v>
      </c>
      <c r="J70" s="128">
        <v>5800.06</v>
      </c>
      <c r="K70" s="85">
        <v>0</v>
      </c>
      <c r="L70" s="86">
        <f t="shared" si="0"/>
        <v>414.29</v>
      </c>
      <c r="M70" s="277">
        <f t="shared" si="1"/>
        <v>0</v>
      </c>
      <c r="N70" s="87">
        <f t="shared" si="2"/>
        <v>14</v>
      </c>
      <c r="O70" s="88">
        <f t="shared" si="3"/>
        <v>414.29</v>
      </c>
      <c r="P70" s="278">
        <f t="shared" si="4"/>
        <v>5800.06</v>
      </c>
      <c r="W70" s="327"/>
      <c r="X70" s="109" t="s">
        <v>1149</v>
      </c>
    </row>
    <row r="71" spans="1:24" s="109" customFormat="1" ht="33" customHeight="1" x14ac:dyDescent="0.2">
      <c r="A71" s="97"/>
      <c r="B71" s="116"/>
      <c r="C71" s="117" t="s">
        <v>223</v>
      </c>
      <c r="D71" s="117" t="s">
        <v>69</v>
      </c>
      <c r="E71" s="118" t="s">
        <v>872</v>
      </c>
      <c r="F71" s="119" t="s">
        <v>873</v>
      </c>
      <c r="G71" s="120" t="s">
        <v>138</v>
      </c>
      <c r="H71" s="121">
        <v>7</v>
      </c>
      <c r="I71" s="122">
        <v>840.43</v>
      </c>
      <c r="J71" s="122">
        <v>5883.01</v>
      </c>
      <c r="K71" s="85">
        <v>0</v>
      </c>
      <c r="L71" s="86">
        <f t="shared" si="0"/>
        <v>840.43</v>
      </c>
      <c r="M71" s="277">
        <f t="shared" si="1"/>
        <v>0</v>
      </c>
      <c r="N71" s="87">
        <f t="shared" si="2"/>
        <v>7</v>
      </c>
      <c r="O71" s="88">
        <f t="shared" si="3"/>
        <v>840.43</v>
      </c>
      <c r="P71" s="278">
        <f t="shared" si="4"/>
        <v>5883.0099999999993</v>
      </c>
      <c r="W71" s="327"/>
      <c r="X71" s="109" t="s">
        <v>1008</v>
      </c>
    </row>
    <row r="72" spans="1:24" s="109" customFormat="1" ht="16.5" customHeight="1" x14ac:dyDescent="0.2">
      <c r="A72" s="97"/>
      <c r="B72" s="116"/>
      <c r="C72" s="123" t="s">
        <v>226</v>
      </c>
      <c r="D72" s="123" t="s">
        <v>127</v>
      </c>
      <c r="E72" s="124" t="s">
        <v>874</v>
      </c>
      <c r="F72" s="125" t="s">
        <v>875</v>
      </c>
      <c r="G72" s="126" t="s">
        <v>138</v>
      </c>
      <c r="H72" s="127">
        <v>5</v>
      </c>
      <c r="I72" s="128">
        <v>1707.15</v>
      </c>
      <c r="J72" s="128">
        <v>8535.75</v>
      </c>
      <c r="K72" s="85">
        <v>0</v>
      </c>
      <c r="L72" s="86">
        <f t="shared" si="0"/>
        <v>1707.15</v>
      </c>
      <c r="M72" s="277">
        <f t="shared" si="1"/>
        <v>0</v>
      </c>
      <c r="N72" s="87">
        <f t="shared" si="2"/>
        <v>5</v>
      </c>
      <c r="O72" s="88">
        <f t="shared" si="3"/>
        <v>1707.15</v>
      </c>
      <c r="P72" s="278">
        <f t="shared" si="4"/>
        <v>8535.75</v>
      </c>
      <c r="W72" s="327"/>
      <c r="X72" s="109" t="s">
        <v>1008</v>
      </c>
    </row>
    <row r="73" spans="1:24" s="109" customFormat="1" ht="16.5" customHeight="1" x14ac:dyDescent="0.2">
      <c r="A73" s="97"/>
      <c r="B73" s="116"/>
      <c r="C73" s="123" t="s">
        <v>229</v>
      </c>
      <c r="D73" s="123" t="s">
        <v>127</v>
      </c>
      <c r="E73" s="124" t="s">
        <v>876</v>
      </c>
      <c r="F73" s="125" t="s">
        <v>877</v>
      </c>
      <c r="G73" s="126" t="s">
        <v>138</v>
      </c>
      <c r="H73" s="127">
        <v>2</v>
      </c>
      <c r="I73" s="128">
        <v>1707.15</v>
      </c>
      <c r="J73" s="128">
        <v>3414.3</v>
      </c>
      <c r="K73" s="85">
        <v>0</v>
      </c>
      <c r="L73" s="86">
        <f t="shared" si="0"/>
        <v>1707.15</v>
      </c>
      <c r="M73" s="277">
        <f t="shared" si="1"/>
        <v>0</v>
      </c>
      <c r="N73" s="87">
        <f t="shared" si="2"/>
        <v>2</v>
      </c>
      <c r="O73" s="88">
        <f t="shared" si="3"/>
        <v>1707.15</v>
      </c>
      <c r="P73" s="278">
        <f t="shared" si="4"/>
        <v>3414.3</v>
      </c>
      <c r="W73" s="327"/>
      <c r="X73" s="109" t="s">
        <v>1008</v>
      </c>
    </row>
    <row r="74" spans="1:24" s="109" customFormat="1" ht="33" customHeight="1" x14ac:dyDescent="0.2">
      <c r="A74" s="97"/>
      <c r="B74" s="116"/>
      <c r="C74" s="117" t="s">
        <v>232</v>
      </c>
      <c r="D74" s="117" t="s">
        <v>69</v>
      </c>
      <c r="E74" s="118" t="s">
        <v>878</v>
      </c>
      <c r="F74" s="119" t="s">
        <v>879</v>
      </c>
      <c r="G74" s="120" t="s">
        <v>138</v>
      </c>
      <c r="H74" s="121">
        <v>7</v>
      </c>
      <c r="I74" s="122">
        <v>410.35</v>
      </c>
      <c r="J74" s="122">
        <v>2872.45</v>
      </c>
      <c r="K74" s="85">
        <v>0</v>
      </c>
      <c r="L74" s="86">
        <f t="shared" si="0"/>
        <v>410.35</v>
      </c>
      <c r="M74" s="277">
        <f t="shared" si="1"/>
        <v>0</v>
      </c>
      <c r="N74" s="87">
        <f t="shared" si="2"/>
        <v>7</v>
      </c>
      <c r="O74" s="88">
        <f t="shared" si="3"/>
        <v>410.35</v>
      </c>
      <c r="P74" s="278">
        <f t="shared" si="4"/>
        <v>2872.4500000000003</v>
      </c>
    </row>
    <row r="75" spans="1:24" s="109" customFormat="1" ht="21.75" customHeight="1" x14ac:dyDescent="0.2">
      <c r="A75" s="97"/>
      <c r="B75" s="116"/>
      <c r="C75" s="123" t="s">
        <v>235</v>
      </c>
      <c r="D75" s="123" t="s">
        <v>127</v>
      </c>
      <c r="E75" s="124" t="s">
        <v>880</v>
      </c>
      <c r="F75" s="125" t="s">
        <v>881</v>
      </c>
      <c r="G75" s="126" t="s">
        <v>138</v>
      </c>
      <c r="H75" s="127">
        <v>2</v>
      </c>
      <c r="I75" s="128">
        <v>18532.759999999998</v>
      </c>
      <c r="J75" s="128">
        <v>37065.519999999997</v>
      </c>
      <c r="K75" s="85">
        <v>0</v>
      </c>
      <c r="L75" s="86">
        <f t="shared" si="0"/>
        <v>18532.759999999998</v>
      </c>
      <c r="M75" s="277">
        <f t="shared" si="1"/>
        <v>0</v>
      </c>
      <c r="N75" s="87">
        <f t="shared" si="2"/>
        <v>2</v>
      </c>
      <c r="O75" s="88">
        <f t="shared" si="3"/>
        <v>18532.759999999998</v>
      </c>
      <c r="P75" s="278">
        <f t="shared" si="4"/>
        <v>37065.519999999997</v>
      </c>
    </row>
    <row r="76" spans="1:24" s="109" customFormat="1" ht="21.75" customHeight="1" x14ac:dyDescent="0.2">
      <c r="A76" s="97"/>
      <c r="B76" s="116"/>
      <c r="C76" s="123" t="s">
        <v>238</v>
      </c>
      <c r="D76" s="123" t="s">
        <v>127</v>
      </c>
      <c r="E76" s="124" t="s">
        <v>882</v>
      </c>
      <c r="F76" s="125" t="s">
        <v>883</v>
      </c>
      <c r="G76" s="126" t="s">
        <v>138</v>
      </c>
      <c r="H76" s="127">
        <v>1</v>
      </c>
      <c r="I76" s="128">
        <v>7471.76</v>
      </c>
      <c r="J76" s="128">
        <v>7471.76</v>
      </c>
      <c r="K76" s="85">
        <v>0</v>
      </c>
      <c r="L76" s="86">
        <f t="shared" si="0"/>
        <v>7471.76</v>
      </c>
      <c r="M76" s="277">
        <f t="shared" si="1"/>
        <v>0</v>
      </c>
      <c r="N76" s="87">
        <f t="shared" si="2"/>
        <v>1</v>
      </c>
      <c r="O76" s="88">
        <f t="shared" si="3"/>
        <v>7471.76</v>
      </c>
      <c r="P76" s="278">
        <f t="shared" si="4"/>
        <v>7471.76</v>
      </c>
    </row>
    <row r="77" spans="1:24" s="109" customFormat="1" ht="16.5" customHeight="1" x14ac:dyDescent="0.2">
      <c r="A77" s="97"/>
      <c r="B77" s="116"/>
      <c r="C77" s="123" t="s">
        <v>241</v>
      </c>
      <c r="D77" s="123" t="s">
        <v>127</v>
      </c>
      <c r="E77" s="124" t="s">
        <v>884</v>
      </c>
      <c r="F77" s="125" t="s">
        <v>885</v>
      </c>
      <c r="G77" s="126" t="s">
        <v>138</v>
      </c>
      <c r="H77" s="127">
        <v>4</v>
      </c>
      <c r="I77" s="128">
        <v>12851.01</v>
      </c>
      <c r="J77" s="128">
        <v>51404.04</v>
      </c>
      <c r="K77" s="85">
        <v>0</v>
      </c>
      <c r="L77" s="86">
        <f t="shared" si="0"/>
        <v>12851.01</v>
      </c>
      <c r="M77" s="277">
        <f t="shared" si="1"/>
        <v>0</v>
      </c>
      <c r="N77" s="87">
        <f t="shared" si="2"/>
        <v>4</v>
      </c>
      <c r="O77" s="88">
        <f t="shared" si="3"/>
        <v>12851.01</v>
      </c>
      <c r="P77" s="278">
        <f t="shared" si="4"/>
        <v>51404.04</v>
      </c>
    </row>
    <row r="78" spans="1:24" s="109" customFormat="1" ht="16.5" customHeight="1" x14ac:dyDescent="0.2">
      <c r="A78" s="97"/>
      <c r="B78" s="116"/>
      <c r="C78" s="117" t="s">
        <v>244</v>
      </c>
      <c r="D78" s="117" t="s">
        <v>69</v>
      </c>
      <c r="E78" s="118" t="s">
        <v>886</v>
      </c>
      <c r="F78" s="119" t="s">
        <v>887</v>
      </c>
      <c r="G78" s="120" t="s">
        <v>61</v>
      </c>
      <c r="H78" s="121">
        <v>929.4</v>
      </c>
      <c r="I78" s="122">
        <v>67.08</v>
      </c>
      <c r="J78" s="122">
        <v>62344.15</v>
      </c>
      <c r="K78" s="85">
        <f>ROUND(13.94/929.4*H78,2)</f>
        <v>13.94</v>
      </c>
      <c r="L78" s="86">
        <f t="shared" si="0"/>
        <v>67.08</v>
      </c>
      <c r="M78" s="277">
        <f t="shared" si="1"/>
        <v>935.09519999999998</v>
      </c>
      <c r="N78" s="87">
        <f t="shared" si="2"/>
        <v>943.34</v>
      </c>
      <c r="O78" s="88">
        <f t="shared" si="3"/>
        <v>67.08</v>
      </c>
      <c r="P78" s="278">
        <f t="shared" si="4"/>
        <v>63279.247199999998</v>
      </c>
    </row>
    <row r="79" spans="1:24" s="109" customFormat="1" ht="21.75" customHeight="1" x14ac:dyDescent="0.2">
      <c r="A79" s="97"/>
      <c r="B79" s="116"/>
      <c r="C79" s="117" t="s">
        <v>247</v>
      </c>
      <c r="D79" s="117" t="s">
        <v>69</v>
      </c>
      <c r="E79" s="118" t="s">
        <v>447</v>
      </c>
      <c r="F79" s="119" t="s">
        <v>448</v>
      </c>
      <c r="G79" s="120" t="s">
        <v>138</v>
      </c>
      <c r="H79" s="121">
        <v>0</v>
      </c>
      <c r="I79" s="122">
        <v>1262.6099999999999</v>
      </c>
      <c r="J79" s="122">
        <v>0</v>
      </c>
      <c r="K79" s="85">
        <v>0</v>
      </c>
      <c r="L79" s="86">
        <f t="shared" si="0"/>
        <v>1262.6099999999999</v>
      </c>
      <c r="M79" s="277">
        <f t="shared" si="1"/>
        <v>0</v>
      </c>
      <c r="N79" s="87">
        <f t="shared" si="2"/>
        <v>0</v>
      </c>
      <c r="O79" s="88">
        <f t="shared" si="3"/>
        <v>1262.6099999999999</v>
      </c>
      <c r="P79" s="278">
        <f t="shared" si="4"/>
        <v>0</v>
      </c>
    </row>
    <row r="80" spans="1:24" s="109" customFormat="1" ht="16.5" customHeight="1" x14ac:dyDescent="0.2">
      <c r="A80" s="97"/>
      <c r="B80" s="116"/>
      <c r="C80" s="117" t="s">
        <v>250</v>
      </c>
      <c r="D80" s="117" t="s">
        <v>69</v>
      </c>
      <c r="E80" s="118" t="s">
        <v>215</v>
      </c>
      <c r="F80" s="119" t="s">
        <v>888</v>
      </c>
      <c r="G80" s="120" t="s">
        <v>138</v>
      </c>
      <c r="H80" s="121">
        <v>4</v>
      </c>
      <c r="I80" s="122">
        <v>2016.23</v>
      </c>
      <c r="J80" s="122">
        <v>8064.92</v>
      </c>
      <c r="K80" s="85">
        <v>0</v>
      </c>
      <c r="L80" s="86">
        <f t="shared" ref="L80:L115" si="8">I80</f>
        <v>2016.23</v>
      </c>
      <c r="M80" s="277">
        <f t="shared" ref="M80:M115" si="9">K80*L80</f>
        <v>0</v>
      </c>
      <c r="N80" s="87">
        <f t="shared" ref="N80:N115" si="10">H80+K80</f>
        <v>4</v>
      </c>
      <c r="O80" s="88">
        <f t="shared" ref="O80:O115" si="11">I80</f>
        <v>2016.23</v>
      </c>
      <c r="P80" s="278">
        <f t="shared" ref="P80:P115" si="12">N80*O80</f>
        <v>8064.92</v>
      </c>
    </row>
    <row r="81" spans="1:16" s="109" customFormat="1" ht="16.5" customHeight="1" x14ac:dyDescent="0.2">
      <c r="A81" s="97"/>
      <c r="B81" s="116"/>
      <c r="C81" s="123" t="s">
        <v>253</v>
      </c>
      <c r="D81" s="123" t="s">
        <v>127</v>
      </c>
      <c r="E81" s="124" t="s">
        <v>221</v>
      </c>
      <c r="F81" s="125" t="s">
        <v>222</v>
      </c>
      <c r="G81" s="126" t="s">
        <v>138</v>
      </c>
      <c r="H81" s="127">
        <v>2</v>
      </c>
      <c r="I81" s="128">
        <v>14898.16</v>
      </c>
      <c r="J81" s="128">
        <v>29796.32</v>
      </c>
      <c r="K81" s="85">
        <v>0</v>
      </c>
      <c r="L81" s="86">
        <f t="shared" si="8"/>
        <v>14898.16</v>
      </c>
      <c r="M81" s="277">
        <f t="shared" si="9"/>
        <v>0</v>
      </c>
      <c r="N81" s="87">
        <f t="shared" si="10"/>
        <v>2</v>
      </c>
      <c r="O81" s="88">
        <f t="shared" si="11"/>
        <v>14898.16</v>
      </c>
      <c r="P81" s="278">
        <f t="shared" si="12"/>
        <v>29796.32</v>
      </c>
    </row>
    <row r="82" spans="1:16" s="109" customFormat="1" ht="21.75" customHeight="1" x14ac:dyDescent="0.2">
      <c r="A82" s="97"/>
      <c r="B82" s="116"/>
      <c r="C82" s="123" t="s">
        <v>256</v>
      </c>
      <c r="D82" s="123" t="s">
        <v>127</v>
      </c>
      <c r="E82" s="124" t="s">
        <v>224</v>
      </c>
      <c r="F82" s="125" t="s">
        <v>889</v>
      </c>
      <c r="G82" s="126" t="s">
        <v>138</v>
      </c>
      <c r="H82" s="127">
        <v>2</v>
      </c>
      <c r="I82" s="128">
        <v>1530.92</v>
      </c>
      <c r="J82" s="128">
        <v>3061.84</v>
      </c>
      <c r="K82" s="85">
        <v>0</v>
      </c>
      <c r="L82" s="86">
        <f t="shared" si="8"/>
        <v>1530.92</v>
      </c>
      <c r="M82" s="277">
        <f t="shared" si="9"/>
        <v>0</v>
      </c>
      <c r="N82" s="87">
        <f t="shared" si="10"/>
        <v>2</v>
      </c>
      <c r="O82" s="88">
        <f t="shared" si="11"/>
        <v>1530.92</v>
      </c>
      <c r="P82" s="278">
        <f t="shared" si="12"/>
        <v>3061.84</v>
      </c>
    </row>
    <row r="83" spans="1:16" s="109" customFormat="1" ht="21.75" customHeight="1" x14ac:dyDescent="0.2">
      <c r="A83" s="97"/>
      <c r="B83" s="116"/>
      <c r="C83" s="123" t="s">
        <v>259</v>
      </c>
      <c r="D83" s="123" t="s">
        <v>127</v>
      </c>
      <c r="E83" s="124" t="s">
        <v>230</v>
      </c>
      <c r="F83" s="125" t="s">
        <v>231</v>
      </c>
      <c r="G83" s="126" t="s">
        <v>138</v>
      </c>
      <c r="H83" s="127">
        <v>3</v>
      </c>
      <c r="I83" s="128">
        <v>1202.1099999999999</v>
      </c>
      <c r="J83" s="128">
        <v>3606.33</v>
      </c>
      <c r="K83" s="85">
        <v>0</v>
      </c>
      <c r="L83" s="86">
        <f t="shared" si="8"/>
        <v>1202.1099999999999</v>
      </c>
      <c r="M83" s="277">
        <f t="shared" si="9"/>
        <v>0</v>
      </c>
      <c r="N83" s="87">
        <f t="shared" si="10"/>
        <v>3</v>
      </c>
      <c r="O83" s="88">
        <f t="shared" si="11"/>
        <v>1202.1099999999999</v>
      </c>
      <c r="P83" s="278">
        <f t="shared" si="12"/>
        <v>3606.33</v>
      </c>
    </row>
    <row r="84" spans="1:16" s="109" customFormat="1" ht="21.75" customHeight="1" x14ac:dyDescent="0.2">
      <c r="A84" s="97"/>
      <c r="B84" s="116"/>
      <c r="C84" s="123" t="s">
        <v>262</v>
      </c>
      <c r="D84" s="123" t="s">
        <v>127</v>
      </c>
      <c r="E84" s="124" t="s">
        <v>236</v>
      </c>
      <c r="F84" s="125" t="s">
        <v>237</v>
      </c>
      <c r="G84" s="126" t="s">
        <v>138</v>
      </c>
      <c r="H84" s="127">
        <v>2</v>
      </c>
      <c r="I84" s="128">
        <v>211.75</v>
      </c>
      <c r="J84" s="128">
        <v>423.5</v>
      </c>
      <c r="K84" s="85">
        <v>0</v>
      </c>
      <c r="L84" s="86">
        <f t="shared" si="8"/>
        <v>211.75</v>
      </c>
      <c r="M84" s="277">
        <f t="shared" si="9"/>
        <v>0</v>
      </c>
      <c r="N84" s="87">
        <f t="shared" si="10"/>
        <v>2</v>
      </c>
      <c r="O84" s="88">
        <f t="shared" si="11"/>
        <v>211.75</v>
      </c>
      <c r="P84" s="278">
        <f t="shared" si="12"/>
        <v>423.5</v>
      </c>
    </row>
    <row r="85" spans="1:16" s="109" customFormat="1" ht="33" customHeight="1" x14ac:dyDescent="0.2">
      <c r="A85" s="97"/>
      <c r="B85" s="116"/>
      <c r="C85" s="117" t="s">
        <v>265</v>
      </c>
      <c r="D85" s="117" t="s">
        <v>69</v>
      </c>
      <c r="E85" s="118" t="s">
        <v>239</v>
      </c>
      <c r="F85" s="119" t="s">
        <v>240</v>
      </c>
      <c r="G85" s="120" t="s">
        <v>138</v>
      </c>
      <c r="H85" s="121">
        <v>2</v>
      </c>
      <c r="I85" s="122">
        <v>5935.59</v>
      </c>
      <c r="J85" s="122">
        <v>11871.18</v>
      </c>
      <c r="K85" s="85">
        <v>0</v>
      </c>
      <c r="L85" s="86">
        <f t="shared" si="8"/>
        <v>5935.59</v>
      </c>
      <c r="M85" s="277">
        <f t="shared" si="9"/>
        <v>0</v>
      </c>
      <c r="N85" s="87">
        <f t="shared" si="10"/>
        <v>2</v>
      </c>
      <c r="O85" s="88">
        <f t="shared" si="11"/>
        <v>5935.59</v>
      </c>
      <c r="P85" s="278">
        <f t="shared" si="12"/>
        <v>11871.18</v>
      </c>
    </row>
    <row r="86" spans="1:16" s="109" customFormat="1" ht="21.75" customHeight="1" x14ac:dyDescent="0.2">
      <c r="A86" s="97"/>
      <c r="B86" s="116"/>
      <c r="C86" s="117" t="s">
        <v>269</v>
      </c>
      <c r="D86" s="117" t="s">
        <v>69</v>
      </c>
      <c r="E86" s="118" t="s">
        <v>242</v>
      </c>
      <c r="F86" s="119" t="s">
        <v>243</v>
      </c>
      <c r="G86" s="120" t="s">
        <v>138</v>
      </c>
      <c r="H86" s="121">
        <v>2</v>
      </c>
      <c r="I86" s="122">
        <v>485.32</v>
      </c>
      <c r="J86" s="122">
        <v>970.64</v>
      </c>
      <c r="K86" s="85">
        <v>0</v>
      </c>
      <c r="L86" s="86">
        <f t="shared" si="8"/>
        <v>485.32</v>
      </c>
      <c r="M86" s="277">
        <f t="shared" si="9"/>
        <v>0</v>
      </c>
      <c r="N86" s="87">
        <f t="shared" si="10"/>
        <v>2</v>
      </c>
      <c r="O86" s="88">
        <f t="shared" si="11"/>
        <v>485.32</v>
      </c>
      <c r="P86" s="278">
        <f t="shared" si="12"/>
        <v>970.64</v>
      </c>
    </row>
    <row r="87" spans="1:16" s="109" customFormat="1" ht="33" customHeight="1" x14ac:dyDescent="0.2">
      <c r="A87" s="97"/>
      <c r="B87" s="116"/>
      <c r="C87" s="123" t="s">
        <v>272</v>
      </c>
      <c r="D87" s="123" t="s">
        <v>127</v>
      </c>
      <c r="E87" s="124" t="s">
        <v>245</v>
      </c>
      <c r="F87" s="125" t="s">
        <v>890</v>
      </c>
      <c r="G87" s="126" t="s">
        <v>138</v>
      </c>
      <c r="H87" s="127">
        <v>1</v>
      </c>
      <c r="I87" s="128">
        <v>6510.34</v>
      </c>
      <c r="J87" s="128">
        <v>6510.34</v>
      </c>
      <c r="K87" s="85">
        <v>0</v>
      </c>
      <c r="L87" s="86">
        <f t="shared" si="8"/>
        <v>6510.34</v>
      </c>
      <c r="M87" s="277">
        <f t="shared" si="9"/>
        <v>0</v>
      </c>
      <c r="N87" s="87">
        <f t="shared" si="10"/>
        <v>1</v>
      </c>
      <c r="O87" s="88">
        <f t="shared" si="11"/>
        <v>6510.34</v>
      </c>
      <c r="P87" s="278">
        <f t="shared" si="12"/>
        <v>6510.34</v>
      </c>
    </row>
    <row r="88" spans="1:16" s="109" customFormat="1" ht="21.75" customHeight="1" x14ac:dyDescent="0.2">
      <c r="A88" s="97"/>
      <c r="B88" s="116"/>
      <c r="C88" s="123" t="s">
        <v>275</v>
      </c>
      <c r="D88" s="123" t="s">
        <v>127</v>
      </c>
      <c r="E88" s="124" t="s">
        <v>248</v>
      </c>
      <c r="F88" s="125" t="s">
        <v>249</v>
      </c>
      <c r="G88" s="126" t="s">
        <v>138</v>
      </c>
      <c r="H88" s="127">
        <v>1</v>
      </c>
      <c r="I88" s="128">
        <v>6510.34</v>
      </c>
      <c r="J88" s="128">
        <v>6510.34</v>
      </c>
      <c r="K88" s="85">
        <v>0</v>
      </c>
      <c r="L88" s="86">
        <f t="shared" si="8"/>
        <v>6510.34</v>
      </c>
      <c r="M88" s="277">
        <f t="shared" si="9"/>
        <v>0</v>
      </c>
      <c r="N88" s="87">
        <f t="shared" si="10"/>
        <v>1</v>
      </c>
      <c r="O88" s="88">
        <f t="shared" si="11"/>
        <v>6510.34</v>
      </c>
      <c r="P88" s="278">
        <f t="shared" si="12"/>
        <v>6510.34</v>
      </c>
    </row>
    <row r="89" spans="1:16" s="109" customFormat="1" ht="16.5" customHeight="1" x14ac:dyDescent="0.2">
      <c r="A89" s="97"/>
      <c r="B89" s="116"/>
      <c r="C89" s="117" t="s">
        <v>278</v>
      </c>
      <c r="D89" s="117" t="s">
        <v>69</v>
      </c>
      <c r="E89" s="118" t="s">
        <v>449</v>
      </c>
      <c r="F89" s="119" t="s">
        <v>450</v>
      </c>
      <c r="G89" s="120" t="s">
        <v>138</v>
      </c>
      <c r="H89" s="121">
        <v>6</v>
      </c>
      <c r="I89" s="122">
        <v>399.83</v>
      </c>
      <c r="J89" s="122">
        <v>2398.98</v>
      </c>
      <c r="K89" s="85">
        <v>0</v>
      </c>
      <c r="L89" s="86">
        <f t="shared" si="8"/>
        <v>399.83</v>
      </c>
      <c r="M89" s="277">
        <f t="shared" si="9"/>
        <v>0</v>
      </c>
      <c r="N89" s="87">
        <f t="shared" si="10"/>
        <v>6</v>
      </c>
      <c r="O89" s="88">
        <f t="shared" si="11"/>
        <v>399.83</v>
      </c>
      <c r="P89" s="278">
        <f t="shared" si="12"/>
        <v>2398.98</v>
      </c>
    </row>
    <row r="90" spans="1:16" s="109" customFormat="1" ht="16.5" customHeight="1" x14ac:dyDescent="0.2">
      <c r="A90" s="97"/>
      <c r="B90" s="116"/>
      <c r="C90" s="123" t="s">
        <v>283</v>
      </c>
      <c r="D90" s="123" t="s">
        <v>127</v>
      </c>
      <c r="E90" s="124" t="s">
        <v>451</v>
      </c>
      <c r="F90" s="125" t="s">
        <v>452</v>
      </c>
      <c r="G90" s="126" t="s">
        <v>436</v>
      </c>
      <c r="H90" s="127">
        <v>6</v>
      </c>
      <c r="I90" s="128">
        <v>664.19</v>
      </c>
      <c r="J90" s="128">
        <v>3985.14</v>
      </c>
      <c r="K90" s="85">
        <v>0</v>
      </c>
      <c r="L90" s="86">
        <f t="shared" si="8"/>
        <v>664.19</v>
      </c>
      <c r="M90" s="277">
        <f t="shared" si="9"/>
        <v>0</v>
      </c>
      <c r="N90" s="87">
        <f t="shared" si="10"/>
        <v>6</v>
      </c>
      <c r="O90" s="88">
        <f t="shared" si="11"/>
        <v>664.19</v>
      </c>
      <c r="P90" s="278">
        <f t="shared" si="12"/>
        <v>3985.1400000000003</v>
      </c>
    </row>
    <row r="91" spans="1:16" s="109" customFormat="1" ht="16.5" customHeight="1" x14ac:dyDescent="0.2">
      <c r="A91" s="97"/>
      <c r="B91" s="116"/>
      <c r="C91" s="123" t="s">
        <v>286</v>
      </c>
      <c r="D91" s="123" t="s">
        <v>127</v>
      </c>
      <c r="E91" s="124" t="s">
        <v>453</v>
      </c>
      <c r="F91" s="125" t="s">
        <v>454</v>
      </c>
      <c r="G91" s="126" t="s">
        <v>138</v>
      </c>
      <c r="H91" s="127">
        <v>6</v>
      </c>
      <c r="I91" s="128">
        <v>174.92</v>
      </c>
      <c r="J91" s="128">
        <v>1049.52</v>
      </c>
      <c r="K91" s="85">
        <v>0</v>
      </c>
      <c r="L91" s="86">
        <f t="shared" si="8"/>
        <v>174.92</v>
      </c>
      <c r="M91" s="277">
        <f t="shared" si="9"/>
        <v>0</v>
      </c>
      <c r="N91" s="87">
        <f t="shared" si="10"/>
        <v>6</v>
      </c>
      <c r="O91" s="88">
        <f t="shared" si="11"/>
        <v>174.92</v>
      </c>
      <c r="P91" s="278">
        <f t="shared" si="12"/>
        <v>1049.52</v>
      </c>
    </row>
    <row r="92" spans="1:16" s="109" customFormat="1" ht="33" customHeight="1" x14ac:dyDescent="0.2">
      <c r="A92" s="97"/>
      <c r="B92" s="116"/>
      <c r="C92" s="123" t="s">
        <v>289</v>
      </c>
      <c r="D92" s="123" t="s">
        <v>127</v>
      </c>
      <c r="E92" s="124" t="s">
        <v>455</v>
      </c>
      <c r="F92" s="125" t="s">
        <v>456</v>
      </c>
      <c r="G92" s="126" t="s">
        <v>436</v>
      </c>
      <c r="H92" s="127">
        <v>6</v>
      </c>
      <c r="I92" s="128">
        <v>1070.5899999999999</v>
      </c>
      <c r="J92" s="128">
        <v>6423.54</v>
      </c>
      <c r="K92" s="85">
        <v>0</v>
      </c>
      <c r="L92" s="86">
        <f t="shared" si="8"/>
        <v>1070.5899999999999</v>
      </c>
      <c r="M92" s="277">
        <f t="shared" si="9"/>
        <v>0</v>
      </c>
      <c r="N92" s="87">
        <f t="shared" si="10"/>
        <v>6</v>
      </c>
      <c r="O92" s="88">
        <f t="shared" si="11"/>
        <v>1070.5899999999999</v>
      </c>
      <c r="P92" s="278">
        <f t="shared" si="12"/>
        <v>6423.5399999999991</v>
      </c>
    </row>
    <row r="93" spans="1:16" s="109" customFormat="1" ht="16.5" customHeight="1" x14ac:dyDescent="0.2">
      <c r="A93" s="97"/>
      <c r="B93" s="116"/>
      <c r="C93" s="117" t="s">
        <v>293</v>
      </c>
      <c r="D93" s="117" t="s">
        <v>69</v>
      </c>
      <c r="E93" s="118" t="s">
        <v>457</v>
      </c>
      <c r="F93" s="119" t="s">
        <v>458</v>
      </c>
      <c r="G93" s="120" t="s">
        <v>138</v>
      </c>
      <c r="H93" s="121">
        <v>1</v>
      </c>
      <c r="I93" s="122">
        <v>860.15</v>
      </c>
      <c r="J93" s="122">
        <v>860.15</v>
      </c>
      <c r="K93" s="85">
        <v>0</v>
      </c>
      <c r="L93" s="86">
        <f t="shared" si="8"/>
        <v>860.15</v>
      </c>
      <c r="M93" s="277">
        <f t="shared" si="9"/>
        <v>0</v>
      </c>
      <c r="N93" s="87">
        <f t="shared" si="10"/>
        <v>1</v>
      </c>
      <c r="O93" s="88">
        <f t="shared" si="11"/>
        <v>860.15</v>
      </c>
      <c r="P93" s="278">
        <f t="shared" si="12"/>
        <v>860.15</v>
      </c>
    </row>
    <row r="94" spans="1:16" s="109" customFormat="1" ht="21.75" customHeight="1" x14ac:dyDescent="0.2">
      <c r="A94" s="97"/>
      <c r="B94" s="116"/>
      <c r="C94" s="123" t="s">
        <v>342</v>
      </c>
      <c r="D94" s="123" t="s">
        <v>127</v>
      </c>
      <c r="E94" s="124" t="s">
        <v>459</v>
      </c>
      <c r="F94" s="125" t="s">
        <v>460</v>
      </c>
      <c r="G94" s="126" t="s">
        <v>138</v>
      </c>
      <c r="H94" s="127">
        <v>1</v>
      </c>
      <c r="I94" s="128">
        <v>2181.9499999999998</v>
      </c>
      <c r="J94" s="128">
        <v>2181.9499999999998</v>
      </c>
      <c r="K94" s="85">
        <v>0</v>
      </c>
      <c r="L94" s="86">
        <f t="shared" si="8"/>
        <v>2181.9499999999998</v>
      </c>
      <c r="M94" s="277">
        <f t="shared" si="9"/>
        <v>0</v>
      </c>
      <c r="N94" s="87">
        <f t="shared" si="10"/>
        <v>1</v>
      </c>
      <c r="O94" s="88">
        <f t="shared" si="11"/>
        <v>2181.9499999999998</v>
      </c>
      <c r="P94" s="278">
        <f t="shared" si="12"/>
        <v>2181.9499999999998</v>
      </c>
    </row>
    <row r="95" spans="1:16" s="109" customFormat="1" ht="21.75" customHeight="1" x14ac:dyDescent="0.2">
      <c r="A95" s="97"/>
      <c r="B95" s="116"/>
      <c r="C95" s="123" t="s">
        <v>343</v>
      </c>
      <c r="D95" s="123" t="s">
        <v>127</v>
      </c>
      <c r="E95" s="124" t="s">
        <v>461</v>
      </c>
      <c r="F95" s="125" t="s">
        <v>462</v>
      </c>
      <c r="G95" s="126" t="s">
        <v>436</v>
      </c>
      <c r="H95" s="127">
        <v>1</v>
      </c>
      <c r="I95" s="128">
        <v>685.23</v>
      </c>
      <c r="J95" s="128">
        <v>685.23</v>
      </c>
      <c r="K95" s="85">
        <v>0</v>
      </c>
      <c r="L95" s="86">
        <f t="shared" si="8"/>
        <v>685.23</v>
      </c>
      <c r="M95" s="277">
        <f t="shared" si="9"/>
        <v>0</v>
      </c>
      <c r="N95" s="87">
        <f t="shared" si="10"/>
        <v>1</v>
      </c>
      <c r="O95" s="88">
        <f t="shared" si="11"/>
        <v>685.23</v>
      </c>
      <c r="P95" s="278">
        <f t="shared" si="12"/>
        <v>685.23</v>
      </c>
    </row>
    <row r="96" spans="1:16" s="109" customFormat="1" ht="21.75" customHeight="1" x14ac:dyDescent="0.2">
      <c r="A96" s="97"/>
      <c r="B96" s="116"/>
      <c r="C96" s="117" t="s">
        <v>344</v>
      </c>
      <c r="D96" s="117" t="s">
        <v>69</v>
      </c>
      <c r="E96" s="118" t="s">
        <v>254</v>
      </c>
      <c r="F96" s="119" t="s">
        <v>255</v>
      </c>
      <c r="G96" s="120" t="s">
        <v>62</v>
      </c>
      <c r="H96" s="121">
        <v>3.62</v>
      </c>
      <c r="I96" s="122">
        <v>3059.28</v>
      </c>
      <c r="J96" s="122">
        <v>11074.59</v>
      </c>
      <c r="K96" s="85">
        <f>ROUND(13.94/929.4*H96,2)</f>
        <v>0.05</v>
      </c>
      <c r="L96" s="86">
        <f t="shared" si="8"/>
        <v>3059.28</v>
      </c>
      <c r="M96" s="277">
        <f t="shared" si="9"/>
        <v>152.96400000000003</v>
      </c>
      <c r="N96" s="87">
        <f t="shared" si="10"/>
        <v>3.67</v>
      </c>
      <c r="O96" s="88">
        <f t="shared" si="11"/>
        <v>3059.28</v>
      </c>
      <c r="P96" s="278">
        <f t="shared" si="12"/>
        <v>11227.5576</v>
      </c>
    </row>
    <row r="97" spans="1:16" s="109" customFormat="1" ht="16.5" customHeight="1" x14ac:dyDescent="0.2">
      <c r="A97" s="97"/>
      <c r="B97" s="116"/>
      <c r="C97" s="117" t="s">
        <v>345</v>
      </c>
      <c r="D97" s="117" t="s">
        <v>69</v>
      </c>
      <c r="E97" s="118" t="s">
        <v>469</v>
      </c>
      <c r="F97" s="119" t="s">
        <v>891</v>
      </c>
      <c r="G97" s="120" t="s">
        <v>61</v>
      </c>
      <c r="H97" s="121">
        <v>1858.8</v>
      </c>
      <c r="I97" s="122">
        <v>44.72</v>
      </c>
      <c r="J97" s="122">
        <v>83125.539999999994</v>
      </c>
      <c r="K97" s="85">
        <f>ROUND(13.94/929.4*H97,2)</f>
        <v>27.88</v>
      </c>
      <c r="L97" s="86">
        <f t="shared" si="8"/>
        <v>44.72</v>
      </c>
      <c r="M97" s="277">
        <f t="shared" si="9"/>
        <v>1246.7936</v>
      </c>
      <c r="N97" s="87">
        <f t="shared" si="10"/>
        <v>1886.68</v>
      </c>
      <c r="O97" s="88">
        <f t="shared" si="11"/>
        <v>44.72</v>
      </c>
      <c r="P97" s="278">
        <f t="shared" si="12"/>
        <v>84372.329599999997</v>
      </c>
    </row>
    <row r="98" spans="1:16" s="109" customFormat="1" ht="16.5" customHeight="1" x14ac:dyDescent="0.2">
      <c r="A98" s="97"/>
      <c r="B98" s="116"/>
      <c r="C98" s="117" t="s">
        <v>346</v>
      </c>
      <c r="D98" s="117" t="s">
        <v>69</v>
      </c>
      <c r="E98" s="118" t="s">
        <v>471</v>
      </c>
      <c r="F98" s="119" t="s">
        <v>472</v>
      </c>
      <c r="G98" s="120" t="s">
        <v>61</v>
      </c>
      <c r="H98" s="121">
        <v>756.45</v>
      </c>
      <c r="I98" s="122">
        <v>9.2100000000000009</v>
      </c>
      <c r="J98" s="122">
        <v>6966.9</v>
      </c>
      <c r="K98" s="85">
        <f>ROUND(13.94/929.4*H98,2)</f>
        <v>11.35</v>
      </c>
      <c r="L98" s="86">
        <f t="shared" si="8"/>
        <v>9.2100000000000009</v>
      </c>
      <c r="M98" s="277">
        <f t="shared" si="9"/>
        <v>104.5335</v>
      </c>
      <c r="N98" s="87">
        <f t="shared" si="10"/>
        <v>767.80000000000007</v>
      </c>
      <c r="O98" s="88">
        <f t="shared" si="11"/>
        <v>9.2100000000000009</v>
      </c>
      <c r="P98" s="278">
        <f t="shared" si="12"/>
        <v>7071.438000000001</v>
      </c>
    </row>
    <row r="99" spans="1:16" s="109" customFormat="1" ht="33" customHeight="1" x14ac:dyDescent="0.2">
      <c r="A99" s="97"/>
      <c r="B99" s="116"/>
      <c r="C99" s="117" t="s">
        <v>347</v>
      </c>
      <c r="D99" s="117" t="s">
        <v>69</v>
      </c>
      <c r="E99" s="118" t="s">
        <v>892</v>
      </c>
      <c r="F99" s="119" t="s">
        <v>893</v>
      </c>
      <c r="G99" s="120" t="s">
        <v>138</v>
      </c>
      <c r="H99" s="121">
        <v>900</v>
      </c>
      <c r="I99" s="122">
        <v>53.58</v>
      </c>
      <c r="J99" s="122">
        <v>48222</v>
      </c>
      <c r="K99" s="85">
        <v>0</v>
      </c>
      <c r="L99" s="86">
        <f t="shared" si="8"/>
        <v>53.58</v>
      </c>
      <c r="M99" s="277">
        <f t="shared" si="9"/>
        <v>0</v>
      </c>
      <c r="N99" s="87">
        <f t="shared" si="10"/>
        <v>900</v>
      </c>
      <c r="O99" s="88">
        <f t="shared" si="11"/>
        <v>53.58</v>
      </c>
      <c r="P99" s="278">
        <f t="shared" si="12"/>
        <v>48222</v>
      </c>
    </row>
    <row r="100" spans="1:16" s="109" customFormat="1" ht="21.75" customHeight="1" x14ac:dyDescent="0.2">
      <c r="A100" s="97"/>
      <c r="B100" s="116"/>
      <c r="C100" s="117" t="s">
        <v>348</v>
      </c>
      <c r="D100" s="117" t="s">
        <v>69</v>
      </c>
      <c r="E100" s="118" t="s">
        <v>894</v>
      </c>
      <c r="F100" s="119" t="s">
        <v>895</v>
      </c>
      <c r="G100" s="120" t="s">
        <v>138</v>
      </c>
      <c r="H100" s="121">
        <v>0</v>
      </c>
      <c r="I100" s="122">
        <v>1569.19</v>
      </c>
      <c r="J100" s="122">
        <v>0</v>
      </c>
      <c r="K100" s="85">
        <v>0</v>
      </c>
      <c r="L100" s="86">
        <f t="shared" si="8"/>
        <v>1569.19</v>
      </c>
      <c r="M100" s="277">
        <f t="shared" si="9"/>
        <v>0</v>
      </c>
      <c r="N100" s="87">
        <f t="shared" si="10"/>
        <v>0</v>
      </c>
      <c r="O100" s="88">
        <f t="shared" si="11"/>
        <v>1569.19</v>
      </c>
      <c r="P100" s="278">
        <f t="shared" si="12"/>
        <v>0</v>
      </c>
    </row>
    <row r="101" spans="1:16" s="110" customFormat="1" ht="22.9" customHeight="1" x14ac:dyDescent="0.2">
      <c r="C101" s="245"/>
      <c r="D101" s="246" t="s">
        <v>3</v>
      </c>
      <c r="E101" s="247" t="s">
        <v>93</v>
      </c>
      <c r="F101" s="247" t="s">
        <v>268</v>
      </c>
      <c r="G101" s="245"/>
      <c r="H101" s="245"/>
      <c r="I101" s="245"/>
      <c r="J101" s="248">
        <v>51805.42</v>
      </c>
      <c r="K101" s="243"/>
      <c r="L101" s="244"/>
      <c r="M101" s="279">
        <f>SUM(M102:M105)</f>
        <v>0</v>
      </c>
      <c r="N101" s="280"/>
      <c r="O101" s="244"/>
      <c r="P101" s="279">
        <f>SUM(P102:P105)</f>
        <v>51805.414600000004</v>
      </c>
    </row>
    <row r="102" spans="1:16" s="109" customFormat="1" ht="44.25" customHeight="1" x14ac:dyDescent="0.2">
      <c r="A102" s="97"/>
      <c r="B102" s="116"/>
      <c r="C102" s="117" t="s">
        <v>349</v>
      </c>
      <c r="D102" s="117" t="s">
        <v>69</v>
      </c>
      <c r="E102" s="118" t="s">
        <v>270</v>
      </c>
      <c r="F102" s="119" t="s">
        <v>896</v>
      </c>
      <c r="G102" s="120" t="s">
        <v>61</v>
      </c>
      <c r="H102" s="121">
        <v>168.98</v>
      </c>
      <c r="I102" s="122">
        <v>87.65</v>
      </c>
      <c r="J102" s="122">
        <v>14811.1</v>
      </c>
      <c r="K102" s="85">
        <v>0</v>
      </c>
      <c r="L102" s="86">
        <f t="shared" si="8"/>
        <v>87.65</v>
      </c>
      <c r="M102" s="277">
        <f t="shared" si="9"/>
        <v>0</v>
      </c>
      <c r="N102" s="87">
        <f t="shared" si="10"/>
        <v>168.98</v>
      </c>
      <c r="O102" s="88">
        <f t="shared" si="11"/>
        <v>87.65</v>
      </c>
      <c r="P102" s="278">
        <f t="shared" si="12"/>
        <v>14811.097</v>
      </c>
    </row>
    <row r="103" spans="1:16" s="109" customFormat="1" ht="33" customHeight="1" x14ac:dyDescent="0.2">
      <c r="A103" s="97"/>
      <c r="B103" s="116"/>
      <c r="C103" s="117" t="s">
        <v>352</v>
      </c>
      <c r="D103" s="117" t="s">
        <v>69</v>
      </c>
      <c r="E103" s="118" t="s">
        <v>273</v>
      </c>
      <c r="F103" s="119" t="s">
        <v>274</v>
      </c>
      <c r="G103" s="120" t="s">
        <v>61</v>
      </c>
      <c r="H103" s="121">
        <v>337.96</v>
      </c>
      <c r="I103" s="122">
        <v>32.22</v>
      </c>
      <c r="J103" s="122">
        <v>10889.07</v>
      </c>
      <c r="K103" s="85">
        <v>0</v>
      </c>
      <c r="L103" s="86">
        <f t="shared" si="8"/>
        <v>32.22</v>
      </c>
      <c r="M103" s="277">
        <f t="shared" si="9"/>
        <v>0</v>
      </c>
      <c r="N103" s="87">
        <f t="shared" si="10"/>
        <v>337.96</v>
      </c>
      <c r="O103" s="88">
        <f t="shared" si="11"/>
        <v>32.22</v>
      </c>
      <c r="P103" s="278">
        <f t="shared" si="12"/>
        <v>10889.071199999998</v>
      </c>
    </row>
    <row r="104" spans="1:16" s="109" customFormat="1" ht="21.75" customHeight="1" x14ac:dyDescent="0.2">
      <c r="A104" s="97"/>
      <c r="B104" s="116"/>
      <c r="C104" s="117" t="s">
        <v>353</v>
      </c>
      <c r="D104" s="117" t="s">
        <v>69</v>
      </c>
      <c r="E104" s="118" t="s">
        <v>276</v>
      </c>
      <c r="F104" s="119" t="s">
        <v>277</v>
      </c>
      <c r="G104" s="120" t="s">
        <v>61</v>
      </c>
      <c r="H104" s="121">
        <v>337.96</v>
      </c>
      <c r="I104" s="122">
        <v>72.34</v>
      </c>
      <c r="J104" s="122">
        <v>24448.03</v>
      </c>
      <c r="K104" s="85">
        <v>0</v>
      </c>
      <c r="L104" s="86">
        <f t="shared" si="8"/>
        <v>72.34</v>
      </c>
      <c r="M104" s="277">
        <f t="shared" si="9"/>
        <v>0</v>
      </c>
      <c r="N104" s="87">
        <f t="shared" si="10"/>
        <v>337.96</v>
      </c>
      <c r="O104" s="88">
        <f t="shared" si="11"/>
        <v>72.34</v>
      </c>
      <c r="P104" s="278">
        <f t="shared" si="12"/>
        <v>24448.026399999999</v>
      </c>
    </row>
    <row r="105" spans="1:16" s="109" customFormat="1" ht="33" customHeight="1" x14ac:dyDescent="0.2">
      <c r="A105" s="97"/>
      <c r="B105" s="116"/>
      <c r="C105" s="117" t="s">
        <v>356</v>
      </c>
      <c r="D105" s="117" t="s">
        <v>69</v>
      </c>
      <c r="E105" s="118" t="s">
        <v>279</v>
      </c>
      <c r="F105" s="119" t="s">
        <v>280</v>
      </c>
      <c r="G105" s="120" t="s">
        <v>138</v>
      </c>
      <c r="H105" s="121">
        <v>1</v>
      </c>
      <c r="I105" s="122">
        <v>1657.22</v>
      </c>
      <c r="J105" s="122">
        <v>1657.22</v>
      </c>
      <c r="K105" s="85">
        <v>0</v>
      </c>
      <c r="L105" s="86">
        <f t="shared" si="8"/>
        <v>1657.22</v>
      </c>
      <c r="M105" s="277">
        <f t="shared" si="9"/>
        <v>0</v>
      </c>
      <c r="N105" s="87">
        <f t="shared" si="10"/>
        <v>1</v>
      </c>
      <c r="O105" s="88">
        <f t="shared" si="11"/>
        <v>1657.22</v>
      </c>
      <c r="P105" s="278">
        <f t="shared" si="12"/>
        <v>1657.22</v>
      </c>
    </row>
    <row r="106" spans="1:16" s="110" customFormat="1" ht="22.9" customHeight="1" x14ac:dyDescent="0.2">
      <c r="C106" s="245"/>
      <c r="D106" s="246" t="s">
        <v>3</v>
      </c>
      <c r="E106" s="247" t="s">
        <v>281</v>
      </c>
      <c r="F106" s="247" t="s">
        <v>282</v>
      </c>
      <c r="G106" s="245"/>
      <c r="H106" s="245"/>
      <c r="I106" s="245"/>
      <c r="J106" s="248">
        <v>45109.979999999996</v>
      </c>
      <c r="K106" s="243"/>
      <c r="L106" s="244"/>
      <c r="M106" s="279">
        <f>SUM(M107:M109)</f>
        <v>517.59860000000003</v>
      </c>
      <c r="N106" s="280"/>
      <c r="O106" s="244"/>
      <c r="P106" s="279">
        <f>SUM(P107:P109)</f>
        <v>45627.575689999998</v>
      </c>
    </row>
    <row r="107" spans="1:16" s="109" customFormat="1" ht="21.75" customHeight="1" x14ac:dyDescent="0.2">
      <c r="A107" s="97"/>
      <c r="B107" s="116"/>
      <c r="C107" s="117" t="s">
        <v>357</v>
      </c>
      <c r="D107" s="117" t="s">
        <v>69</v>
      </c>
      <c r="E107" s="118" t="s">
        <v>284</v>
      </c>
      <c r="F107" s="119" t="s">
        <v>285</v>
      </c>
      <c r="G107" s="120" t="s">
        <v>120</v>
      </c>
      <c r="H107" s="121">
        <v>139.893</v>
      </c>
      <c r="I107" s="122">
        <v>137.47</v>
      </c>
      <c r="J107" s="122">
        <v>19231.09</v>
      </c>
      <c r="K107" s="85">
        <f>ROUND(13.94/929.4*H107,2)</f>
        <v>2.1</v>
      </c>
      <c r="L107" s="86">
        <f t="shared" si="8"/>
        <v>137.47</v>
      </c>
      <c r="M107" s="277">
        <f t="shared" si="9"/>
        <v>288.68700000000001</v>
      </c>
      <c r="N107" s="87">
        <f t="shared" si="10"/>
        <v>141.99299999999999</v>
      </c>
      <c r="O107" s="88">
        <f t="shared" si="11"/>
        <v>137.47</v>
      </c>
      <c r="P107" s="278">
        <f t="shared" si="12"/>
        <v>19519.777709999998</v>
      </c>
    </row>
    <row r="108" spans="1:16" s="109" customFormat="1" ht="21.75" customHeight="1" x14ac:dyDescent="0.2">
      <c r="A108" s="97"/>
      <c r="B108" s="116"/>
      <c r="C108" s="117" t="s">
        <v>358</v>
      </c>
      <c r="D108" s="117" t="s">
        <v>69</v>
      </c>
      <c r="E108" s="118" t="s">
        <v>287</v>
      </c>
      <c r="F108" s="119" t="s">
        <v>897</v>
      </c>
      <c r="G108" s="120" t="s">
        <v>120</v>
      </c>
      <c r="H108" s="121">
        <v>41.137</v>
      </c>
      <c r="I108" s="122">
        <v>257.77999999999997</v>
      </c>
      <c r="J108" s="122">
        <v>10604.3</v>
      </c>
      <c r="K108" s="85">
        <v>0</v>
      </c>
      <c r="L108" s="86">
        <f t="shared" si="8"/>
        <v>257.77999999999997</v>
      </c>
      <c r="M108" s="277">
        <f t="shared" si="9"/>
        <v>0</v>
      </c>
      <c r="N108" s="87">
        <f t="shared" si="10"/>
        <v>41.137</v>
      </c>
      <c r="O108" s="88">
        <f t="shared" si="11"/>
        <v>257.77999999999997</v>
      </c>
      <c r="P108" s="278">
        <f t="shared" si="12"/>
        <v>10604.295859999998</v>
      </c>
    </row>
    <row r="109" spans="1:16" s="109" customFormat="1" ht="21.75" customHeight="1" x14ac:dyDescent="0.2">
      <c r="A109" s="97"/>
      <c r="B109" s="116"/>
      <c r="C109" s="117" t="s">
        <v>359</v>
      </c>
      <c r="D109" s="117" t="s">
        <v>69</v>
      </c>
      <c r="E109" s="118" t="s">
        <v>290</v>
      </c>
      <c r="F109" s="119" t="s">
        <v>898</v>
      </c>
      <c r="G109" s="120" t="s">
        <v>120</v>
      </c>
      <c r="H109" s="121">
        <v>98.756</v>
      </c>
      <c r="I109" s="122">
        <v>154.66999999999999</v>
      </c>
      <c r="J109" s="122">
        <v>15274.59</v>
      </c>
      <c r="K109" s="85">
        <f>ROUND(13.94/929.4*H109,2)</f>
        <v>1.48</v>
      </c>
      <c r="L109" s="86">
        <f t="shared" si="8"/>
        <v>154.66999999999999</v>
      </c>
      <c r="M109" s="277">
        <f t="shared" si="9"/>
        <v>228.91159999999999</v>
      </c>
      <c r="N109" s="87">
        <f t="shared" si="10"/>
        <v>100.236</v>
      </c>
      <c r="O109" s="88">
        <f t="shared" si="11"/>
        <v>154.66999999999999</v>
      </c>
      <c r="P109" s="278">
        <f t="shared" si="12"/>
        <v>15503.502119999999</v>
      </c>
    </row>
    <row r="110" spans="1:16" s="110" customFormat="1" ht="22.9" customHeight="1" x14ac:dyDescent="0.2">
      <c r="C110" s="245"/>
      <c r="D110" s="246" t="s">
        <v>3</v>
      </c>
      <c r="E110" s="247" t="s">
        <v>291</v>
      </c>
      <c r="F110" s="247" t="s">
        <v>292</v>
      </c>
      <c r="G110" s="245"/>
      <c r="H110" s="245"/>
      <c r="I110" s="245"/>
      <c r="J110" s="248">
        <v>2924.69</v>
      </c>
      <c r="K110" s="243">
        <v>0</v>
      </c>
      <c r="L110" s="244">
        <f t="shared" si="8"/>
        <v>0</v>
      </c>
      <c r="M110" s="279">
        <f>M111</f>
        <v>43.479599999999998</v>
      </c>
      <c r="N110" s="280">
        <f t="shared" si="10"/>
        <v>0</v>
      </c>
      <c r="O110" s="244">
        <f t="shared" si="11"/>
        <v>0</v>
      </c>
      <c r="P110" s="279">
        <f>P111</f>
        <v>2968.1692199999998</v>
      </c>
    </row>
    <row r="111" spans="1:16" s="109" customFormat="1" ht="21.75" customHeight="1" x14ac:dyDescent="0.2">
      <c r="A111" s="97"/>
      <c r="B111" s="116"/>
      <c r="C111" s="117" t="s">
        <v>360</v>
      </c>
      <c r="D111" s="117" t="s">
        <v>69</v>
      </c>
      <c r="E111" s="118" t="s">
        <v>473</v>
      </c>
      <c r="F111" s="119" t="s">
        <v>899</v>
      </c>
      <c r="G111" s="120" t="s">
        <v>120</v>
      </c>
      <c r="H111" s="121">
        <v>25.561</v>
      </c>
      <c r="I111" s="122">
        <v>114.42</v>
      </c>
      <c r="J111" s="122">
        <v>2924.69</v>
      </c>
      <c r="K111" s="85">
        <f>ROUND(13.94/929.4*H111,2)</f>
        <v>0.38</v>
      </c>
      <c r="L111" s="86">
        <f t="shared" si="8"/>
        <v>114.42</v>
      </c>
      <c r="M111" s="277">
        <f t="shared" si="9"/>
        <v>43.479599999999998</v>
      </c>
      <c r="N111" s="87">
        <f t="shared" si="10"/>
        <v>25.940999999999999</v>
      </c>
      <c r="O111" s="88">
        <f t="shared" si="11"/>
        <v>114.42</v>
      </c>
      <c r="P111" s="278">
        <f t="shared" si="12"/>
        <v>2968.1692199999998</v>
      </c>
    </row>
    <row r="112" spans="1:16" s="110" customFormat="1" ht="25.9" customHeight="1" x14ac:dyDescent="0.2">
      <c r="C112" s="245"/>
      <c r="D112" s="246" t="s">
        <v>3</v>
      </c>
      <c r="E112" s="293" t="s">
        <v>127</v>
      </c>
      <c r="F112" s="293" t="s">
        <v>653</v>
      </c>
      <c r="G112" s="245"/>
      <c r="H112" s="245"/>
      <c r="I112" s="245"/>
      <c r="J112" s="294">
        <v>421384.02</v>
      </c>
      <c r="K112" s="243"/>
      <c r="L112" s="244"/>
      <c r="M112" s="279">
        <f>M113</f>
        <v>6310.4054999999998</v>
      </c>
      <c r="N112" s="280"/>
      <c r="O112" s="244"/>
      <c r="P112" s="279">
        <f>P113</f>
        <v>427694.43299999996</v>
      </c>
    </row>
    <row r="113" spans="1:16" s="110" customFormat="1" ht="22.9" customHeight="1" x14ac:dyDescent="0.2">
      <c r="C113" s="245"/>
      <c r="D113" s="246" t="s">
        <v>3</v>
      </c>
      <c r="E113" s="247" t="s">
        <v>900</v>
      </c>
      <c r="F113" s="247" t="s">
        <v>901</v>
      </c>
      <c r="G113" s="245"/>
      <c r="H113" s="245"/>
      <c r="I113" s="245"/>
      <c r="J113" s="248">
        <v>421384.02</v>
      </c>
      <c r="K113" s="243"/>
      <c r="L113" s="244"/>
      <c r="M113" s="279">
        <f>M114+M115</f>
        <v>6310.4054999999998</v>
      </c>
      <c r="N113" s="280"/>
      <c r="O113" s="244"/>
      <c r="P113" s="279">
        <f>SUM(P114:P115)</f>
        <v>427694.43299999996</v>
      </c>
    </row>
    <row r="114" spans="1:16" s="109" customFormat="1" ht="21.75" customHeight="1" x14ac:dyDescent="0.2">
      <c r="A114" s="97"/>
      <c r="B114" s="116"/>
      <c r="C114" s="123" t="s">
        <v>363</v>
      </c>
      <c r="D114" s="123" t="s">
        <v>127</v>
      </c>
      <c r="E114" s="124" t="s">
        <v>902</v>
      </c>
      <c r="F114" s="125" t="s">
        <v>903</v>
      </c>
      <c r="G114" s="126" t="s">
        <v>61</v>
      </c>
      <c r="H114" s="127">
        <v>172.95</v>
      </c>
      <c r="I114" s="128">
        <v>1989.93</v>
      </c>
      <c r="J114" s="128">
        <v>344158.39</v>
      </c>
      <c r="K114" s="85">
        <f>ROUND(13.94/929.4*H114,2)</f>
        <v>2.59</v>
      </c>
      <c r="L114" s="86">
        <f t="shared" si="8"/>
        <v>1989.93</v>
      </c>
      <c r="M114" s="277">
        <f t="shared" si="9"/>
        <v>5153.9187000000002</v>
      </c>
      <c r="N114" s="87">
        <f t="shared" si="10"/>
        <v>175.54</v>
      </c>
      <c r="O114" s="88">
        <f t="shared" si="11"/>
        <v>1989.93</v>
      </c>
      <c r="P114" s="278">
        <f t="shared" si="12"/>
        <v>349312.31219999999</v>
      </c>
    </row>
    <row r="115" spans="1:16" s="109" customFormat="1" ht="21.75" customHeight="1" x14ac:dyDescent="0.2">
      <c r="A115" s="97"/>
      <c r="B115" s="116"/>
      <c r="C115" s="117" t="s">
        <v>366</v>
      </c>
      <c r="D115" s="117" t="s">
        <v>69</v>
      </c>
      <c r="E115" s="118" t="s">
        <v>904</v>
      </c>
      <c r="F115" s="119" t="s">
        <v>905</v>
      </c>
      <c r="G115" s="120" t="s">
        <v>61</v>
      </c>
      <c r="H115" s="121">
        <v>172.95</v>
      </c>
      <c r="I115" s="122">
        <v>446.52</v>
      </c>
      <c r="J115" s="122">
        <v>77225.63</v>
      </c>
      <c r="K115" s="85">
        <f>ROUND(13.94/929.4*H115,2)</f>
        <v>2.59</v>
      </c>
      <c r="L115" s="86">
        <f t="shared" si="8"/>
        <v>446.52</v>
      </c>
      <c r="M115" s="277">
        <f t="shared" si="9"/>
        <v>1156.4867999999999</v>
      </c>
      <c r="N115" s="87">
        <f t="shared" si="10"/>
        <v>175.54</v>
      </c>
      <c r="O115" s="88">
        <f t="shared" si="11"/>
        <v>446.52</v>
      </c>
      <c r="P115" s="278">
        <f t="shared" si="12"/>
        <v>78382.12079999999</v>
      </c>
    </row>
    <row r="116" spans="1:16" s="109" customFormat="1" ht="6.95" customHeight="1" x14ac:dyDescent="0.2">
      <c r="A116" s="97"/>
      <c r="B116" s="97"/>
      <c r="C116" s="97"/>
      <c r="D116" s="97"/>
      <c r="E116" s="97"/>
      <c r="F116" s="97"/>
      <c r="G116" s="97"/>
      <c r="H116" s="97"/>
      <c r="I116" s="97"/>
      <c r="J116" s="97"/>
    </row>
    <row r="117" spans="1:16" ht="18" customHeight="1" x14ac:dyDescent="0.2">
      <c r="D117" s="89"/>
      <c r="E117" s="141" t="str">
        <f>CONCATENATE("CELKEM ",C$12)</f>
        <v>CELKEM 05 - SO 02.2 - Výtlačný řad 3, Úherce - Dobrovice</v>
      </c>
      <c r="F117" s="90"/>
      <c r="G117" s="90"/>
      <c r="H117" s="91"/>
      <c r="I117" s="90"/>
      <c r="J117" s="92">
        <v>5228163.37</v>
      </c>
      <c r="K117" s="94"/>
      <c r="L117" s="92"/>
      <c r="M117" s="147">
        <f t="shared" ref="M117" si="13">M112+M110+M106+M101+M58+M51+M45+M14+M47</f>
        <v>68929.43299999999</v>
      </c>
      <c r="N117" s="147"/>
      <c r="O117" s="147"/>
      <c r="P117" s="147">
        <f>P112+P110+P106+P101+P58+P51+P45+P14+P47</f>
        <v>5297092.7703</v>
      </c>
    </row>
    <row r="118" spans="1:16" x14ac:dyDescent="0.2">
      <c r="I118" s="95"/>
    </row>
    <row r="119" spans="1:16" ht="14.25" x14ac:dyDescent="0.2">
      <c r="E119" s="58" t="s">
        <v>994</v>
      </c>
      <c r="F119" s="58"/>
      <c r="H119" s="96"/>
      <c r="J119" s="161"/>
      <c r="K119" s="58" t="s">
        <v>995</v>
      </c>
    </row>
  </sheetData>
  <protectedRanges>
    <protectedRange password="CCAA" sqref="K8" name="Oblast1_1_1_1_1_1"/>
    <protectedRange password="CCAA" sqref="D9:H10" name="Oblast1_2_1_1_1_1"/>
  </protectedRanges>
  <autoFilter ref="C10:P115" xr:uid="{302623DE-017A-42C9-B8F5-CF2F02DCDABB}"/>
  <mergeCells count="6">
    <mergeCell ref="AA12:AA14"/>
    <mergeCell ref="W69:W73"/>
    <mergeCell ref="K9:M9"/>
    <mergeCell ref="N9:P9"/>
    <mergeCell ref="X32:X35"/>
    <mergeCell ref="W32:W35"/>
  </mergeCells>
  <pageMargins left="0.39370078740157483" right="0.39370078740157483" top="0.39370078740157483" bottom="0.39370078740157483" header="0" footer="0"/>
  <pageSetup paperSize="9" scale="51" fitToHeight="0" orientation="portrait" r:id="rId1"/>
  <headerFooter>
    <oddFooter>&amp;CStrana &amp;P z &amp;N</oddFooter>
  </headerFooter>
  <drawing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sheetPr>
    <tabColor rgb="FF00B0F0"/>
    <pageSetUpPr fitToPage="1"/>
  </sheetPr>
  <dimension ref="A1:AD106"/>
  <sheetViews>
    <sheetView showGridLines="0" view="pageBreakPreview" topLeftCell="A90" zoomScale="90" zoomScaleNormal="100" zoomScaleSheetLayoutView="90" workbookViewId="0">
      <selection activeCell="J106" sqref="J106"/>
    </sheetView>
  </sheetViews>
  <sheetFormatPr defaultColWidth="9.33203125" defaultRowHeight="11.25" x14ac:dyDescent="0.2"/>
  <cols>
    <col min="1" max="1" width="8.33203125" style="60" customWidth="1"/>
    <col min="2" max="2" width="1.6640625" style="60" customWidth="1"/>
    <col min="3" max="3" width="4.1640625" style="60" customWidth="1"/>
    <col min="4" max="4" width="4.33203125" style="60" customWidth="1"/>
    <col min="5" max="5" width="17.1640625" style="60" customWidth="1"/>
    <col min="6" max="6" width="50.83203125" style="60" customWidth="1"/>
    <col min="7" max="7" width="7" style="60" customWidth="1"/>
    <col min="8" max="8" width="11.5" style="60" customWidth="1"/>
    <col min="9" max="10" width="20.1640625" style="60" customWidth="1"/>
    <col min="11" max="11" width="11.1640625" style="60" customWidth="1"/>
    <col min="12" max="12" width="13.5" style="60" customWidth="1"/>
    <col min="13" max="14" width="11.1640625" style="60" customWidth="1"/>
    <col min="15" max="15" width="20.1640625" style="60" bestFit="1" customWidth="1"/>
    <col min="16" max="16" width="21.33203125" style="60" bestFit="1" customWidth="1"/>
    <col min="17" max="17" width="32.1640625" style="60" bestFit="1" customWidth="1"/>
    <col min="18" max="18" width="8.83203125" style="60" bestFit="1" customWidth="1"/>
    <col min="19" max="19" width="21.33203125" style="60" bestFit="1" customWidth="1"/>
    <col min="20" max="20" width="25.33203125" style="60" bestFit="1" customWidth="1"/>
    <col min="21" max="21" width="19.33203125" style="60" bestFit="1" customWidth="1"/>
    <col min="22" max="22" width="3" style="60" bestFit="1" customWidth="1"/>
    <col min="23" max="23" width="0" style="60" hidden="1" customWidth="1"/>
    <col min="24" max="24" width="44.33203125" style="60" bestFit="1" customWidth="1"/>
    <col min="25" max="27" width="0" style="60" hidden="1" customWidth="1"/>
    <col min="28" max="28" width="15.6640625" style="60" bestFit="1" customWidth="1"/>
    <col min="29" max="29" width="8.83203125" style="60" bestFit="1" customWidth="1"/>
    <col min="30" max="30" width="9.33203125" style="60" hidden="1" customWidth="1"/>
    <col min="31" max="16384" width="9.33203125" style="60"/>
  </cols>
  <sheetData>
    <row r="1" spans="1:28" ht="15" x14ac:dyDescent="0.2">
      <c r="F1" s="3"/>
      <c r="G1" s="4"/>
      <c r="H1" s="1"/>
      <c r="J1" s="61"/>
    </row>
    <row r="2" spans="1:28" s="1" customFormat="1" ht="15" x14ac:dyDescent="0.2">
      <c r="E2" s="2"/>
      <c r="F2" s="3" t="s">
        <v>979</v>
      </c>
      <c r="G2" s="4" t="str">
        <f>'[1]VRN 01'!G3</f>
        <v>Odkanalizování povodí Jizery - část B</v>
      </c>
      <c r="I2" s="5"/>
      <c r="J2" s="63"/>
      <c r="K2" s="10"/>
      <c r="L2" s="11"/>
      <c r="M2" s="11"/>
      <c r="N2" s="64"/>
    </row>
    <row r="3" spans="1:28" s="1" customFormat="1" ht="15" x14ac:dyDescent="0.2">
      <c r="E3" s="2"/>
      <c r="F3" s="3" t="s">
        <v>980</v>
      </c>
      <c r="G3" s="4" t="str">
        <f>+'Rekapitulace stavby'!D2</f>
        <v>ÚHERCE, výstavba kanalizace - UZNATELNÉ NÁKLADY - doměrky</v>
      </c>
      <c r="H3" s="2"/>
      <c r="I3" s="5"/>
      <c r="J3" s="63"/>
      <c r="K3" s="10"/>
      <c r="L3" s="11"/>
      <c r="M3" s="11"/>
      <c r="N3" s="64"/>
    </row>
    <row r="4" spans="1:28" s="2" customFormat="1" ht="15" x14ac:dyDescent="0.2">
      <c r="F4" s="12" t="s">
        <v>981</v>
      </c>
      <c r="G4" s="13" t="str">
        <f>'[1]VRN 01'!G5</f>
        <v>VRI/SOD/2020/Ži</v>
      </c>
      <c r="I4" s="5"/>
      <c r="J4" s="65"/>
      <c r="K4" s="18"/>
      <c r="L4" s="19"/>
      <c r="M4" s="19"/>
      <c r="N4" s="66"/>
    </row>
    <row r="5" spans="1:28" s="2" customFormat="1" ht="15" x14ac:dyDescent="0.2">
      <c r="F5" s="12" t="s">
        <v>983</v>
      </c>
      <c r="G5" s="13" t="s">
        <v>1001</v>
      </c>
      <c r="I5" s="5"/>
      <c r="J5" s="65"/>
      <c r="K5" s="18"/>
      <c r="L5" s="19"/>
      <c r="M5" s="19"/>
      <c r="N5" s="66"/>
    </row>
    <row r="6" spans="1:28" s="2" customFormat="1" ht="15" x14ac:dyDescent="0.2">
      <c r="F6" s="3" t="s">
        <v>984</v>
      </c>
      <c r="G6" s="13" t="str">
        <f>'[1]VRN 01'!G7</f>
        <v>Vododvody a kanalizace Mladá Boleslav, a.s.</v>
      </c>
      <c r="I6" s="5"/>
      <c r="J6" s="65"/>
      <c r="K6" s="18"/>
      <c r="L6" s="19"/>
      <c r="M6" s="19"/>
      <c r="N6" s="66"/>
    </row>
    <row r="7" spans="1:28" s="2" customFormat="1" ht="15" x14ac:dyDescent="0.2">
      <c r="F7" s="3" t="s">
        <v>986</v>
      </c>
      <c r="G7" s="20" t="str">
        <f>'[1]VRN 01'!G8</f>
        <v>VCES a.s.</v>
      </c>
      <c r="H7" s="67"/>
      <c r="I7" s="5"/>
      <c r="J7" s="65"/>
      <c r="K7" s="18"/>
      <c r="L7" s="19"/>
      <c r="M7" s="19"/>
      <c r="N7" s="66"/>
    </row>
    <row r="8" spans="1:28" s="68" customFormat="1" ht="12.75" x14ac:dyDescent="0.2">
      <c r="D8" s="69"/>
      <c r="F8" s="3"/>
      <c r="G8" s="20"/>
      <c r="H8" s="67"/>
      <c r="K8" s="72" t="s">
        <v>996</v>
      </c>
      <c r="L8" s="73" t="str">
        <f>+C12</f>
        <v>01 - SO 03.A - ČSOV 2 - stavební část</v>
      </c>
      <c r="M8" s="73"/>
      <c r="O8" s="74"/>
      <c r="S8" s="193"/>
    </row>
    <row r="9" spans="1:28" s="75" customFormat="1" ht="12.75" customHeight="1" x14ac:dyDescent="0.2">
      <c r="C9" s="76"/>
      <c r="D9" s="77"/>
      <c r="E9" s="77"/>
      <c r="F9" s="77"/>
      <c r="G9" s="77"/>
      <c r="H9" s="77"/>
      <c r="I9" s="78"/>
      <c r="J9" s="79"/>
      <c r="K9" s="332" t="s">
        <v>1266</v>
      </c>
      <c r="L9" s="332"/>
      <c r="M9" s="332"/>
      <c r="N9" s="339" t="s">
        <v>1267</v>
      </c>
      <c r="O9" s="339"/>
      <c r="P9" s="340"/>
    </row>
    <row r="10" spans="1:28" s="75" customFormat="1" ht="24" customHeight="1" x14ac:dyDescent="0.2">
      <c r="C10" s="80"/>
      <c r="D10" s="81" t="s">
        <v>997</v>
      </c>
      <c r="E10" s="81" t="s">
        <v>976</v>
      </c>
      <c r="F10" s="81" t="s">
        <v>977</v>
      </c>
      <c r="G10" s="81" t="s">
        <v>64</v>
      </c>
      <c r="H10" s="82" t="s">
        <v>65</v>
      </c>
      <c r="I10" s="83" t="s">
        <v>998</v>
      </c>
      <c r="J10" s="84" t="s">
        <v>978</v>
      </c>
      <c r="K10" s="218" t="s">
        <v>999</v>
      </c>
      <c r="L10" s="219" t="s">
        <v>1260</v>
      </c>
      <c r="M10" s="220" t="s">
        <v>978</v>
      </c>
      <c r="N10" s="263" t="s">
        <v>1264</v>
      </c>
      <c r="O10" s="264" t="s">
        <v>1260</v>
      </c>
      <c r="P10" s="265" t="s">
        <v>978</v>
      </c>
      <c r="Q10" s="154" t="s">
        <v>1083</v>
      </c>
      <c r="S10" s="154" t="s">
        <v>1127</v>
      </c>
      <c r="T10" s="157" t="s">
        <v>1150</v>
      </c>
      <c r="X10" s="157" t="s">
        <v>1203</v>
      </c>
      <c r="AB10" s="75" t="s">
        <v>1211</v>
      </c>
    </row>
    <row r="11" spans="1:28" x14ac:dyDescent="0.2">
      <c r="S11" s="171"/>
    </row>
    <row r="12" spans="1:28" s="109" customFormat="1" ht="15.75" x14ac:dyDescent="0.25">
      <c r="A12" s="97"/>
      <c r="B12" s="97"/>
      <c r="C12" s="98" t="s">
        <v>906</v>
      </c>
      <c r="D12" s="97"/>
      <c r="E12" s="97"/>
      <c r="F12" s="97"/>
      <c r="G12" s="97"/>
      <c r="H12" s="97"/>
      <c r="I12" s="97"/>
      <c r="J12" s="99">
        <v>1306541.5599999991</v>
      </c>
      <c r="S12" s="151"/>
      <c r="X12" s="350" t="s">
        <v>1205</v>
      </c>
    </row>
    <row r="13" spans="1:28" s="110" customFormat="1" ht="15" x14ac:dyDescent="0.2">
      <c r="D13" s="111" t="s">
        <v>3</v>
      </c>
      <c r="E13" s="112" t="s">
        <v>66</v>
      </c>
      <c r="F13" s="112" t="s">
        <v>476</v>
      </c>
      <c r="J13" s="113">
        <v>1282816.6399999992</v>
      </c>
      <c r="Q13" s="156"/>
      <c r="S13" s="176" t="s">
        <v>1003</v>
      </c>
      <c r="X13" s="350"/>
    </row>
    <row r="14" spans="1:28" s="110" customFormat="1" ht="12.75" x14ac:dyDescent="0.2">
      <c r="C14" s="252"/>
      <c r="D14" s="253" t="s">
        <v>3</v>
      </c>
      <c r="E14" s="254" t="s">
        <v>7</v>
      </c>
      <c r="F14" s="254" t="s">
        <v>68</v>
      </c>
      <c r="G14" s="252"/>
      <c r="H14" s="252"/>
      <c r="I14" s="252"/>
      <c r="J14" s="255">
        <v>1023473.2099999998</v>
      </c>
      <c r="K14" s="252"/>
      <c r="L14" s="252"/>
      <c r="M14" s="258">
        <f>SUM(M15:M33)</f>
        <v>0</v>
      </c>
      <c r="N14" s="252"/>
      <c r="O14" s="252"/>
      <c r="P14" s="258">
        <f>SUM(P15:P33)</f>
        <v>1023473.21251</v>
      </c>
      <c r="Q14" s="156"/>
      <c r="S14" s="153"/>
    </row>
    <row r="15" spans="1:28" s="109" customFormat="1" ht="24" x14ac:dyDescent="0.2">
      <c r="A15" s="97"/>
      <c r="B15" s="116"/>
      <c r="C15" s="117" t="s">
        <v>7</v>
      </c>
      <c r="D15" s="117" t="s">
        <v>69</v>
      </c>
      <c r="E15" s="118" t="s">
        <v>477</v>
      </c>
      <c r="F15" s="119" t="s">
        <v>478</v>
      </c>
      <c r="G15" s="120" t="s">
        <v>479</v>
      </c>
      <c r="H15" s="121">
        <v>480</v>
      </c>
      <c r="I15" s="122">
        <v>63.13</v>
      </c>
      <c r="J15" s="122">
        <v>30302.400000000001</v>
      </c>
      <c r="K15" s="85">
        <v>0</v>
      </c>
      <c r="L15" s="86">
        <f>I15</f>
        <v>63.13</v>
      </c>
      <c r="M15" s="277">
        <f>K15*L15</f>
        <v>0</v>
      </c>
      <c r="N15" s="87">
        <f>H15+K15</f>
        <v>480</v>
      </c>
      <c r="O15" s="88">
        <f>I15</f>
        <v>63.13</v>
      </c>
      <c r="P15" s="278">
        <f>N15*O15</f>
        <v>30302.400000000001</v>
      </c>
      <c r="S15" s="151"/>
      <c r="AB15" s="200"/>
    </row>
    <row r="16" spans="1:28" s="109" customFormat="1" ht="36" x14ac:dyDescent="0.2">
      <c r="A16" s="97"/>
      <c r="B16" s="116"/>
      <c r="C16" s="117" t="s">
        <v>8</v>
      </c>
      <c r="D16" s="117" t="s">
        <v>69</v>
      </c>
      <c r="E16" s="118" t="s">
        <v>480</v>
      </c>
      <c r="F16" s="119" t="s">
        <v>481</v>
      </c>
      <c r="G16" s="120" t="s">
        <v>482</v>
      </c>
      <c r="H16" s="121">
        <v>20</v>
      </c>
      <c r="I16" s="122">
        <v>195.97</v>
      </c>
      <c r="J16" s="122">
        <v>3919.4</v>
      </c>
      <c r="K16" s="85">
        <v>0</v>
      </c>
      <c r="L16" s="86">
        <f t="shared" ref="L16:L79" si="0">I16</f>
        <v>195.97</v>
      </c>
      <c r="M16" s="277">
        <f t="shared" ref="M16:M79" si="1">K16*L16</f>
        <v>0</v>
      </c>
      <c r="N16" s="87">
        <f t="shared" ref="N16:N79" si="2">H16+K16</f>
        <v>20</v>
      </c>
      <c r="O16" s="88">
        <f t="shared" ref="O16:O79" si="3">I16</f>
        <v>195.97</v>
      </c>
      <c r="P16" s="278">
        <f t="shared" ref="P16:P79" si="4">N16*O16</f>
        <v>3919.4</v>
      </c>
      <c r="S16" s="151"/>
      <c r="AB16" s="200"/>
    </row>
    <row r="17" spans="1:28" s="109" customFormat="1" ht="36" x14ac:dyDescent="0.2">
      <c r="A17" s="97"/>
      <c r="B17" s="116"/>
      <c r="C17" s="117" t="s">
        <v>76</v>
      </c>
      <c r="D17" s="117" t="s">
        <v>69</v>
      </c>
      <c r="E17" s="118" t="s">
        <v>483</v>
      </c>
      <c r="F17" s="119" t="s">
        <v>484</v>
      </c>
      <c r="G17" s="120" t="s">
        <v>62</v>
      </c>
      <c r="H17" s="121">
        <v>15.932</v>
      </c>
      <c r="I17" s="122">
        <v>255.15</v>
      </c>
      <c r="J17" s="122">
        <v>4065.05</v>
      </c>
      <c r="K17" s="85">
        <v>0</v>
      </c>
      <c r="L17" s="86">
        <f t="shared" si="0"/>
        <v>255.15</v>
      </c>
      <c r="M17" s="277">
        <f t="shared" si="1"/>
        <v>0</v>
      </c>
      <c r="N17" s="87">
        <f t="shared" si="2"/>
        <v>15.932</v>
      </c>
      <c r="O17" s="88">
        <f t="shared" si="3"/>
        <v>255.15</v>
      </c>
      <c r="P17" s="278">
        <f t="shared" si="4"/>
        <v>4065.0498000000002</v>
      </c>
      <c r="S17" s="151"/>
      <c r="AB17" s="200"/>
    </row>
    <row r="18" spans="1:28" s="109" customFormat="1" ht="36" x14ac:dyDescent="0.2">
      <c r="A18" s="97"/>
      <c r="B18" s="116"/>
      <c r="C18" s="117" t="s">
        <v>73</v>
      </c>
      <c r="D18" s="117" t="s">
        <v>69</v>
      </c>
      <c r="E18" s="118" t="s">
        <v>485</v>
      </c>
      <c r="F18" s="119" t="s">
        <v>486</v>
      </c>
      <c r="G18" s="120" t="s">
        <v>62</v>
      </c>
      <c r="H18" s="121">
        <v>31.864000000000001</v>
      </c>
      <c r="I18" s="122">
        <v>284.08999999999997</v>
      </c>
      <c r="J18" s="122">
        <v>9052.24</v>
      </c>
      <c r="K18" s="85">
        <v>0</v>
      </c>
      <c r="L18" s="86">
        <f t="shared" si="0"/>
        <v>284.08999999999997</v>
      </c>
      <c r="M18" s="277">
        <f t="shared" si="1"/>
        <v>0</v>
      </c>
      <c r="N18" s="87">
        <f t="shared" si="2"/>
        <v>31.864000000000001</v>
      </c>
      <c r="O18" s="88">
        <f t="shared" si="3"/>
        <v>284.08999999999997</v>
      </c>
      <c r="P18" s="278">
        <f t="shared" si="4"/>
        <v>9052.2437599999994</v>
      </c>
      <c r="S18" s="151"/>
      <c r="AB18" s="200"/>
    </row>
    <row r="19" spans="1:28" s="109" customFormat="1" ht="36" x14ac:dyDescent="0.2">
      <c r="A19" s="97"/>
      <c r="B19" s="116"/>
      <c r="C19" s="117" t="s">
        <v>81</v>
      </c>
      <c r="D19" s="117" t="s">
        <v>69</v>
      </c>
      <c r="E19" s="118" t="s">
        <v>487</v>
      </c>
      <c r="F19" s="119" t="s">
        <v>488</v>
      </c>
      <c r="G19" s="120" t="s">
        <v>62</v>
      </c>
      <c r="H19" s="121">
        <v>31.864000000000001</v>
      </c>
      <c r="I19" s="122">
        <v>357.74</v>
      </c>
      <c r="J19" s="122">
        <v>11399.03</v>
      </c>
      <c r="K19" s="85">
        <v>0</v>
      </c>
      <c r="L19" s="86">
        <f t="shared" si="0"/>
        <v>357.74</v>
      </c>
      <c r="M19" s="277">
        <f t="shared" si="1"/>
        <v>0</v>
      </c>
      <c r="N19" s="87">
        <f t="shared" si="2"/>
        <v>31.864000000000001</v>
      </c>
      <c r="O19" s="88">
        <f t="shared" si="3"/>
        <v>357.74</v>
      </c>
      <c r="P19" s="278">
        <f t="shared" si="4"/>
        <v>11399.02736</v>
      </c>
      <c r="S19" s="151"/>
      <c r="AB19" s="200"/>
    </row>
    <row r="20" spans="1:28" s="109" customFormat="1" ht="24" x14ac:dyDescent="0.2">
      <c r="A20" s="97"/>
      <c r="B20" s="116"/>
      <c r="C20" s="117" t="s">
        <v>84</v>
      </c>
      <c r="D20" s="117" t="s">
        <v>69</v>
      </c>
      <c r="E20" s="118" t="s">
        <v>489</v>
      </c>
      <c r="F20" s="119" t="s">
        <v>490</v>
      </c>
      <c r="G20" s="120" t="s">
        <v>138</v>
      </c>
      <c r="H20" s="121">
        <v>44</v>
      </c>
      <c r="I20" s="122">
        <v>983.78</v>
      </c>
      <c r="J20" s="122">
        <v>43286.32</v>
      </c>
      <c r="K20" s="85">
        <v>0</v>
      </c>
      <c r="L20" s="86">
        <f t="shared" si="0"/>
        <v>983.78</v>
      </c>
      <c r="M20" s="277">
        <f t="shared" si="1"/>
        <v>0</v>
      </c>
      <c r="N20" s="87">
        <f t="shared" si="2"/>
        <v>44</v>
      </c>
      <c r="O20" s="88">
        <f t="shared" si="3"/>
        <v>983.78</v>
      </c>
      <c r="P20" s="278">
        <f t="shared" si="4"/>
        <v>43286.32</v>
      </c>
      <c r="S20" s="151"/>
      <c r="T20" s="150" t="s">
        <v>1168</v>
      </c>
      <c r="U20" s="109" t="s">
        <v>1182</v>
      </c>
      <c r="V20" s="109" t="s">
        <v>1102</v>
      </c>
      <c r="AB20" s="200"/>
    </row>
    <row r="21" spans="1:28" s="109" customFormat="1" ht="24" x14ac:dyDescent="0.2">
      <c r="A21" s="97"/>
      <c r="B21" s="116"/>
      <c r="C21" s="117" t="s">
        <v>87</v>
      </c>
      <c r="D21" s="117" t="s">
        <v>69</v>
      </c>
      <c r="E21" s="118" t="s">
        <v>491</v>
      </c>
      <c r="F21" s="119" t="s">
        <v>492</v>
      </c>
      <c r="G21" s="120" t="s">
        <v>138</v>
      </c>
      <c r="H21" s="121">
        <v>2</v>
      </c>
      <c r="I21" s="122">
        <v>741.78</v>
      </c>
      <c r="J21" s="122">
        <v>1483.56</v>
      </c>
      <c r="K21" s="85">
        <v>0</v>
      </c>
      <c r="L21" s="86">
        <f t="shared" si="0"/>
        <v>741.78</v>
      </c>
      <c r="M21" s="277">
        <f t="shared" si="1"/>
        <v>0</v>
      </c>
      <c r="N21" s="87">
        <f t="shared" si="2"/>
        <v>2</v>
      </c>
      <c r="O21" s="88">
        <f t="shared" si="3"/>
        <v>741.78</v>
      </c>
      <c r="P21" s="278">
        <f t="shared" si="4"/>
        <v>1483.56</v>
      </c>
      <c r="S21" s="151"/>
      <c r="AB21" s="200"/>
    </row>
    <row r="22" spans="1:28" s="109" customFormat="1" ht="36" x14ac:dyDescent="0.2">
      <c r="A22" s="97"/>
      <c r="B22" s="116"/>
      <c r="C22" s="117" t="s">
        <v>90</v>
      </c>
      <c r="D22" s="117" t="s">
        <v>69</v>
      </c>
      <c r="E22" s="118" t="s">
        <v>493</v>
      </c>
      <c r="F22" s="119" t="s">
        <v>494</v>
      </c>
      <c r="G22" s="120" t="s">
        <v>72</v>
      </c>
      <c r="H22" s="121">
        <v>134.16</v>
      </c>
      <c r="I22" s="122">
        <v>840.43</v>
      </c>
      <c r="J22" s="122">
        <v>112752.09</v>
      </c>
      <c r="K22" s="85">
        <v>0</v>
      </c>
      <c r="L22" s="86">
        <f t="shared" si="0"/>
        <v>840.43</v>
      </c>
      <c r="M22" s="277">
        <f t="shared" si="1"/>
        <v>0</v>
      </c>
      <c r="N22" s="87">
        <f t="shared" si="2"/>
        <v>134.16</v>
      </c>
      <c r="O22" s="88">
        <f t="shared" si="3"/>
        <v>840.43</v>
      </c>
      <c r="P22" s="278">
        <f t="shared" si="4"/>
        <v>112752.08879999998</v>
      </c>
      <c r="S22" s="151"/>
      <c r="AB22" s="200"/>
    </row>
    <row r="23" spans="1:28" s="109" customFormat="1" ht="36" x14ac:dyDescent="0.2">
      <c r="A23" s="97"/>
      <c r="B23" s="116"/>
      <c r="C23" s="117" t="s">
        <v>93</v>
      </c>
      <c r="D23" s="117" t="s">
        <v>69</v>
      </c>
      <c r="E23" s="118" t="s">
        <v>495</v>
      </c>
      <c r="F23" s="119" t="s">
        <v>496</v>
      </c>
      <c r="G23" s="120" t="s">
        <v>72</v>
      </c>
      <c r="H23" s="121">
        <v>134.16</v>
      </c>
      <c r="I23" s="122">
        <v>2926.36</v>
      </c>
      <c r="J23" s="122">
        <v>392600.46</v>
      </c>
      <c r="K23" s="85">
        <v>0</v>
      </c>
      <c r="L23" s="86">
        <f t="shared" si="0"/>
        <v>2926.36</v>
      </c>
      <c r="M23" s="277">
        <f t="shared" si="1"/>
        <v>0</v>
      </c>
      <c r="N23" s="87">
        <f t="shared" si="2"/>
        <v>134.16</v>
      </c>
      <c r="O23" s="88">
        <f t="shared" si="3"/>
        <v>2926.36</v>
      </c>
      <c r="P23" s="278">
        <f t="shared" si="4"/>
        <v>392600.45760000002</v>
      </c>
      <c r="S23" s="151"/>
      <c r="AB23" s="200"/>
    </row>
    <row r="24" spans="1:28" s="109" customFormat="1" ht="12" x14ac:dyDescent="0.2">
      <c r="A24" s="97"/>
      <c r="B24" s="116"/>
      <c r="C24" s="123" t="s">
        <v>26</v>
      </c>
      <c r="D24" s="123" t="s">
        <v>127</v>
      </c>
      <c r="E24" s="124" t="s">
        <v>497</v>
      </c>
      <c r="F24" s="125" t="s">
        <v>498</v>
      </c>
      <c r="G24" s="126" t="s">
        <v>120</v>
      </c>
      <c r="H24" s="127">
        <v>15.226000000000001</v>
      </c>
      <c r="I24" s="128">
        <v>23581.88</v>
      </c>
      <c r="J24" s="128">
        <v>359057.7</v>
      </c>
      <c r="K24" s="85">
        <v>0</v>
      </c>
      <c r="L24" s="86">
        <f t="shared" si="0"/>
        <v>23581.88</v>
      </c>
      <c r="M24" s="277">
        <f t="shared" si="1"/>
        <v>0</v>
      </c>
      <c r="N24" s="87">
        <f t="shared" si="2"/>
        <v>15.226000000000001</v>
      </c>
      <c r="O24" s="88">
        <f t="shared" si="3"/>
        <v>23581.88</v>
      </c>
      <c r="P24" s="278">
        <f t="shared" si="4"/>
        <v>359057.70488000003</v>
      </c>
      <c r="Q24" s="151"/>
      <c r="R24" s="158"/>
      <c r="S24" s="194"/>
      <c r="AB24" s="200"/>
    </row>
    <row r="25" spans="1:28" s="109" customFormat="1" ht="12" x14ac:dyDescent="0.2">
      <c r="A25" s="97"/>
      <c r="B25" s="116"/>
      <c r="C25" s="123" t="s">
        <v>28</v>
      </c>
      <c r="D25" s="123" t="s">
        <v>127</v>
      </c>
      <c r="E25" s="124" t="s">
        <v>499</v>
      </c>
      <c r="F25" s="125" t="s">
        <v>500</v>
      </c>
      <c r="G25" s="126" t="s">
        <v>120</v>
      </c>
      <c r="H25" s="127">
        <v>0.41199999999999998</v>
      </c>
      <c r="I25" s="128">
        <v>34024.730000000003</v>
      </c>
      <c r="J25" s="128">
        <v>14018.19</v>
      </c>
      <c r="K25" s="85">
        <v>0</v>
      </c>
      <c r="L25" s="86">
        <f t="shared" si="0"/>
        <v>34024.730000000003</v>
      </c>
      <c r="M25" s="277">
        <f t="shared" si="1"/>
        <v>0</v>
      </c>
      <c r="N25" s="87">
        <f t="shared" si="2"/>
        <v>0.41199999999999998</v>
      </c>
      <c r="O25" s="88">
        <f t="shared" si="3"/>
        <v>34024.730000000003</v>
      </c>
      <c r="P25" s="278">
        <f t="shared" si="4"/>
        <v>14018.188760000001</v>
      </c>
      <c r="S25" s="151"/>
      <c r="T25" s="148" t="s">
        <v>1169</v>
      </c>
      <c r="U25" s="109" t="s">
        <v>1183</v>
      </c>
      <c r="V25" s="109" t="s">
        <v>1102</v>
      </c>
      <c r="AB25" s="200"/>
    </row>
    <row r="26" spans="1:28" s="109" customFormat="1" ht="48" x14ac:dyDescent="0.2">
      <c r="A26" s="97"/>
      <c r="B26" s="116"/>
      <c r="C26" s="117" t="s">
        <v>30</v>
      </c>
      <c r="D26" s="117" t="s">
        <v>69</v>
      </c>
      <c r="E26" s="118" t="s">
        <v>106</v>
      </c>
      <c r="F26" s="119" t="s">
        <v>107</v>
      </c>
      <c r="G26" s="120" t="s">
        <v>62</v>
      </c>
      <c r="H26" s="121">
        <v>47.795000000000002</v>
      </c>
      <c r="I26" s="122">
        <v>13.15</v>
      </c>
      <c r="J26" s="122">
        <v>628.5</v>
      </c>
      <c r="K26" s="85">
        <v>0</v>
      </c>
      <c r="L26" s="86">
        <f t="shared" si="0"/>
        <v>13.15</v>
      </c>
      <c r="M26" s="277">
        <f t="shared" si="1"/>
        <v>0</v>
      </c>
      <c r="N26" s="87">
        <f t="shared" si="2"/>
        <v>47.795000000000002</v>
      </c>
      <c r="O26" s="88">
        <f t="shared" si="3"/>
        <v>13.15</v>
      </c>
      <c r="P26" s="278">
        <f t="shared" si="4"/>
        <v>628.50425000000007</v>
      </c>
      <c r="S26" s="151"/>
      <c r="AB26" s="200"/>
    </row>
    <row r="27" spans="1:28" s="109" customFormat="1" ht="48" x14ac:dyDescent="0.2">
      <c r="A27" s="97"/>
      <c r="B27" s="116"/>
      <c r="C27" s="117" t="s">
        <v>32</v>
      </c>
      <c r="D27" s="117" t="s">
        <v>69</v>
      </c>
      <c r="E27" s="118" t="s">
        <v>501</v>
      </c>
      <c r="F27" s="119" t="s">
        <v>502</v>
      </c>
      <c r="G27" s="120" t="s">
        <v>62</v>
      </c>
      <c r="H27" s="121">
        <v>31.864000000000001</v>
      </c>
      <c r="I27" s="122">
        <v>13.15</v>
      </c>
      <c r="J27" s="122">
        <v>419.01</v>
      </c>
      <c r="K27" s="85">
        <v>0</v>
      </c>
      <c r="L27" s="86">
        <f t="shared" si="0"/>
        <v>13.15</v>
      </c>
      <c r="M27" s="277">
        <f t="shared" si="1"/>
        <v>0</v>
      </c>
      <c r="N27" s="87">
        <f t="shared" si="2"/>
        <v>31.864000000000001</v>
      </c>
      <c r="O27" s="88">
        <f t="shared" si="3"/>
        <v>13.15</v>
      </c>
      <c r="P27" s="278">
        <f t="shared" si="4"/>
        <v>419.01160000000004</v>
      </c>
      <c r="Q27" s="150" t="s">
        <v>1097</v>
      </c>
      <c r="R27" s="109" t="s">
        <v>1008</v>
      </c>
      <c r="S27" s="151"/>
      <c r="AB27" s="200"/>
    </row>
    <row r="28" spans="1:28" s="109" customFormat="1" ht="48" x14ac:dyDescent="0.2">
      <c r="A28" s="97"/>
      <c r="B28" s="116"/>
      <c r="C28" s="117" t="s">
        <v>34</v>
      </c>
      <c r="D28" s="117" t="s">
        <v>69</v>
      </c>
      <c r="E28" s="118" t="s">
        <v>108</v>
      </c>
      <c r="F28" s="119" t="s">
        <v>109</v>
      </c>
      <c r="G28" s="120" t="s">
        <v>62</v>
      </c>
      <c r="H28" s="121">
        <v>127.554</v>
      </c>
      <c r="I28" s="122">
        <v>124.95</v>
      </c>
      <c r="J28" s="122">
        <v>15937.87</v>
      </c>
      <c r="K28" s="85">
        <v>0</v>
      </c>
      <c r="L28" s="86">
        <f t="shared" si="0"/>
        <v>124.95</v>
      </c>
      <c r="M28" s="277">
        <f t="shared" si="1"/>
        <v>0</v>
      </c>
      <c r="N28" s="87">
        <f t="shared" si="2"/>
        <v>127.554</v>
      </c>
      <c r="O28" s="88">
        <f t="shared" si="3"/>
        <v>124.95</v>
      </c>
      <c r="P28" s="278">
        <f t="shared" si="4"/>
        <v>15937.872300000001</v>
      </c>
      <c r="S28" s="151"/>
      <c r="AB28" s="200"/>
    </row>
    <row r="29" spans="1:28" s="109" customFormat="1" ht="36" x14ac:dyDescent="0.2">
      <c r="A29" s="97"/>
      <c r="B29" s="116"/>
      <c r="C29" s="117" t="s">
        <v>1</v>
      </c>
      <c r="D29" s="117" t="s">
        <v>69</v>
      </c>
      <c r="E29" s="118" t="s">
        <v>110</v>
      </c>
      <c r="F29" s="119" t="s">
        <v>111</v>
      </c>
      <c r="G29" s="120" t="s">
        <v>62</v>
      </c>
      <c r="H29" s="121">
        <v>79.659000000000006</v>
      </c>
      <c r="I29" s="122">
        <v>44.72</v>
      </c>
      <c r="J29" s="122">
        <v>3562.35</v>
      </c>
      <c r="K29" s="85">
        <v>0</v>
      </c>
      <c r="L29" s="86">
        <f t="shared" si="0"/>
        <v>44.72</v>
      </c>
      <c r="M29" s="277">
        <f t="shared" si="1"/>
        <v>0</v>
      </c>
      <c r="N29" s="87">
        <f t="shared" si="2"/>
        <v>79.659000000000006</v>
      </c>
      <c r="O29" s="88">
        <f t="shared" si="3"/>
        <v>44.72</v>
      </c>
      <c r="P29" s="278">
        <f t="shared" si="4"/>
        <v>3562.3504800000001</v>
      </c>
      <c r="S29" s="151"/>
      <c r="AB29" s="200"/>
    </row>
    <row r="30" spans="1:28" s="109" customFormat="1" ht="48" x14ac:dyDescent="0.2">
      <c r="A30" s="97"/>
      <c r="B30" s="116"/>
      <c r="C30" s="117" t="s">
        <v>37</v>
      </c>
      <c r="D30" s="117" t="s">
        <v>69</v>
      </c>
      <c r="E30" s="118" t="s">
        <v>112</v>
      </c>
      <c r="F30" s="119" t="s">
        <v>113</v>
      </c>
      <c r="G30" s="120" t="s">
        <v>62</v>
      </c>
      <c r="H30" s="121">
        <v>31.763999999999999</v>
      </c>
      <c r="I30" s="122">
        <v>247.39</v>
      </c>
      <c r="J30" s="122">
        <v>7858.1</v>
      </c>
      <c r="K30" s="85">
        <v>0</v>
      </c>
      <c r="L30" s="86">
        <f t="shared" si="0"/>
        <v>247.39</v>
      </c>
      <c r="M30" s="277">
        <f t="shared" si="1"/>
        <v>0</v>
      </c>
      <c r="N30" s="87">
        <f t="shared" si="2"/>
        <v>31.763999999999999</v>
      </c>
      <c r="O30" s="88">
        <f t="shared" si="3"/>
        <v>247.39</v>
      </c>
      <c r="P30" s="278">
        <f t="shared" si="4"/>
        <v>7858.0959599999996</v>
      </c>
      <c r="Q30" s="150" t="s">
        <v>1097</v>
      </c>
      <c r="R30" s="109" t="s">
        <v>1008</v>
      </c>
      <c r="S30" s="151"/>
      <c r="AB30" s="200"/>
    </row>
    <row r="31" spans="1:28" s="109" customFormat="1" ht="33.75" x14ac:dyDescent="0.2">
      <c r="A31" s="97"/>
      <c r="B31" s="116"/>
      <c r="C31" s="117" t="s">
        <v>39</v>
      </c>
      <c r="D31" s="117" t="s">
        <v>69</v>
      </c>
      <c r="E31" s="118" t="s">
        <v>115</v>
      </c>
      <c r="F31" s="119" t="s">
        <v>116</v>
      </c>
      <c r="G31" s="120" t="s">
        <v>62</v>
      </c>
      <c r="H31" s="121">
        <v>31.763999999999999</v>
      </c>
      <c r="I31" s="122">
        <v>11.84</v>
      </c>
      <c r="J31" s="122">
        <v>376.09</v>
      </c>
      <c r="K31" s="85">
        <v>0</v>
      </c>
      <c r="L31" s="86">
        <f t="shared" si="0"/>
        <v>11.84</v>
      </c>
      <c r="M31" s="277">
        <f t="shared" si="1"/>
        <v>0</v>
      </c>
      <c r="N31" s="87">
        <f t="shared" si="2"/>
        <v>31.763999999999999</v>
      </c>
      <c r="O31" s="88">
        <f t="shared" si="3"/>
        <v>11.84</v>
      </c>
      <c r="P31" s="278">
        <f t="shared" si="4"/>
        <v>376.08575999999999</v>
      </c>
      <c r="Q31" s="150" t="s">
        <v>1097</v>
      </c>
      <c r="R31" s="109" t="s">
        <v>1008</v>
      </c>
      <c r="S31" s="151"/>
      <c r="AB31" s="200"/>
    </row>
    <row r="32" spans="1:28" s="109" customFormat="1" ht="36" x14ac:dyDescent="0.2">
      <c r="A32" s="97"/>
      <c r="B32" s="116"/>
      <c r="C32" s="117" t="s">
        <v>41</v>
      </c>
      <c r="D32" s="117" t="s">
        <v>69</v>
      </c>
      <c r="E32" s="118" t="s">
        <v>118</v>
      </c>
      <c r="F32" s="119" t="s">
        <v>119</v>
      </c>
      <c r="G32" s="120" t="s">
        <v>120</v>
      </c>
      <c r="H32" s="121">
        <v>50.764000000000003</v>
      </c>
      <c r="I32" s="122">
        <v>116</v>
      </c>
      <c r="J32" s="122">
        <v>5888.62</v>
      </c>
      <c r="K32" s="85">
        <v>0</v>
      </c>
      <c r="L32" s="86">
        <f t="shared" si="0"/>
        <v>116</v>
      </c>
      <c r="M32" s="277">
        <f t="shared" si="1"/>
        <v>0</v>
      </c>
      <c r="N32" s="87">
        <f t="shared" si="2"/>
        <v>50.764000000000003</v>
      </c>
      <c r="O32" s="88">
        <f t="shared" si="3"/>
        <v>116</v>
      </c>
      <c r="P32" s="278">
        <f t="shared" si="4"/>
        <v>5888.6240000000007</v>
      </c>
      <c r="Q32" s="150" t="s">
        <v>1096</v>
      </c>
      <c r="R32" s="109" t="s">
        <v>1008</v>
      </c>
      <c r="S32" s="151"/>
      <c r="AB32" s="200"/>
    </row>
    <row r="33" spans="1:28" s="109" customFormat="1" ht="36" x14ac:dyDescent="0.2">
      <c r="A33" s="97"/>
      <c r="B33" s="116"/>
      <c r="C33" s="117" t="s">
        <v>114</v>
      </c>
      <c r="D33" s="117" t="s">
        <v>69</v>
      </c>
      <c r="E33" s="118" t="s">
        <v>121</v>
      </c>
      <c r="F33" s="119" t="s">
        <v>122</v>
      </c>
      <c r="G33" s="120" t="s">
        <v>62</v>
      </c>
      <c r="H33" s="121">
        <v>47.895000000000003</v>
      </c>
      <c r="I33" s="122">
        <v>143.36000000000001</v>
      </c>
      <c r="J33" s="122">
        <v>6866.23</v>
      </c>
      <c r="K33" s="85">
        <v>0</v>
      </c>
      <c r="L33" s="86">
        <f t="shared" si="0"/>
        <v>143.36000000000001</v>
      </c>
      <c r="M33" s="277">
        <f t="shared" si="1"/>
        <v>0</v>
      </c>
      <c r="N33" s="87">
        <f t="shared" si="2"/>
        <v>47.895000000000003</v>
      </c>
      <c r="O33" s="88">
        <f t="shared" si="3"/>
        <v>143.36000000000001</v>
      </c>
      <c r="P33" s="278">
        <f t="shared" si="4"/>
        <v>6866.2272000000012</v>
      </c>
      <c r="S33" s="151"/>
      <c r="AB33" s="200"/>
    </row>
    <row r="34" spans="1:28" s="110" customFormat="1" ht="12.75" x14ac:dyDescent="0.2">
      <c r="C34" s="245"/>
      <c r="D34" s="246" t="s">
        <v>3</v>
      </c>
      <c r="E34" s="247" t="s">
        <v>8</v>
      </c>
      <c r="F34" s="247" t="s">
        <v>503</v>
      </c>
      <c r="G34" s="245"/>
      <c r="H34" s="245"/>
      <c r="I34" s="245"/>
      <c r="J34" s="248">
        <v>43103.81</v>
      </c>
      <c r="K34" s="243"/>
      <c r="L34" s="244"/>
      <c r="M34" s="279">
        <f>SUM(M35:M42)</f>
        <v>0</v>
      </c>
      <c r="N34" s="280"/>
      <c r="O34" s="244"/>
      <c r="P34" s="279">
        <f>SUM(P35:P42)</f>
        <v>43103.801189999998</v>
      </c>
      <c r="S34" s="153"/>
      <c r="AB34" s="200"/>
    </row>
    <row r="35" spans="1:28" s="109" customFormat="1" ht="24" x14ac:dyDescent="0.2">
      <c r="A35" s="97"/>
      <c r="B35" s="116"/>
      <c r="C35" s="117" t="s">
        <v>117</v>
      </c>
      <c r="D35" s="117" t="s">
        <v>69</v>
      </c>
      <c r="E35" s="118" t="s">
        <v>504</v>
      </c>
      <c r="F35" s="119" t="s">
        <v>505</v>
      </c>
      <c r="G35" s="120" t="s">
        <v>62</v>
      </c>
      <c r="H35" s="121">
        <v>1.014</v>
      </c>
      <c r="I35" s="122">
        <v>4674.3999999999996</v>
      </c>
      <c r="J35" s="122">
        <v>4739.84</v>
      </c>
      <c r="K35" s="85">
        <v>0</v>
      </c>
      <c r="L35" s="86">
        <f t="shared" si="0"/>
        <v>4674.3999999999996</v>
      </c>
      <c r="M35" s="277">
        <f t="shared" si="1"/>
        <v>0</v>
      </c>
      <c r="N35" s="87">
        <f t="shared" si="2"/>
        <v>1.014</v>
      </c>
      <c r="O35" s="88">
        <f t="shared" si="3"/>
        <v>4674.3999999999996</v>
      </c>
      <c r="P35" s="278">
        <f t="shared" si="4"/>
        <v>4739.8415999999997</v>
      </c>
      <c r="S35" s="151"/>
      <c r="AB35" s="200"/>
    </row>
    <row r="36" spans="1:28" s="109" customFormat="1" ht="24" x14ac:dyDescent="0.2">
      <c r="A36" s="97"/>
      <c r="B36" s="116"/>
      <c r="C36" s="117" t="s">
        <v>0</v>
      </c>
      <c r="D36" s="117" t="s">
        <v>69</v>
      </c>
      <c r="E36" s="118" t="s">
        <v>508</v>
      </c>
      <c r="F36" s="119" t="s">
        <v>509</v>
      </c>
      <c r="G36" s="120" t="s">
        <v>62</v>
      </c>
      <c r="H36" s="121">
        <v>1.032</v>
      </c>
      <c r="I36" s="122">
        <v>4674.3999999999996</v>
      </c>
      <c r="J36" s="122">
        <v>4823.9799999999996</v>
      </c>
      <c r="K36" s="85">
        <v>0</v>
      </c>
      <c r="L36" s="86">
        <f t="shared" si="0"/>
        <v>4674.3999999999996</v>
      </c>
      <c r="M36" s="277">
        <f t="shared" si="1"/>
        <v>0</v>
      </c>
      <c r="N36" s="87">
        <f t="shared" si="2"/>
        <v>1.032</v>
      </c>
      <c r="O36" s="88">
        <f t="shared" si="3"/>
        <v>4674.3999999999996</v>
      </c>
      <c r="P36" s="278">
        <f t="shared" si="4"/>
        <v>4823.9807999999994</v>
      </c>
      <c r="S36" s="151"/>
      <c r="AB36" s="200"/>
    </row>
    <row r="37" spans="1:28" s="109" customFormat="1" ht="24" x14ac:dyDescent="0.2">
      <c r="A37" s="97"/>
      <c r="B37" s="116"/>
      <c r="C37" s="117" t="s">
        <v>123</v>
      </c>
      <c r="D37" s="117" t="s">
        <v>69</v>
      </c>
      <c r="E37" s="118" t="s">
        <v>506</v>
      </c>
      <c r="F37" s="119" t="s">
        <v>507</v>
      </c>
      <c r="G37" s="120" t="s">
        <v>72</v>
      </c>
      <c r="H37" s="121">
        <v>5.59</v>
      </c>
      <c r="I37" s="122">
        <v>867.52</v>
      </c>
      <c r="J37" s="122">
        <v>4849.4399999999996</v>
      </c>
      <c r="K37" s="85">
        <v>0</v>
      </c>
      <c r="L37" s="86">
        <f t="shared" si="0"/>
        <v>867.52</v>
      </c>
      <c r="M37" s="277">
        <f t="shared" si="1"/>
        <v>0</v>
      </c>
      <c r="N37" s="87">
        <f t="shared" si="2"/>
        <v>5.59</v>
      </c>
      <c r="O37" s="88">
        <f t="shared" si="3"/>
        <v>867.52</v>
      </c>
      <c r="P37" s="278">
        <f t="shared" si="4"/>
        <v>4849.4367999999995</v>
      </c>
      <c r="S37" s="151"/>
      <c r="AB37" s="200"/>
    </row>
    <row r="38" spans="1:28" s="109" customFormat="1" ht="48" x14ac:dyDescent="0.2">
      <c r="A38" s="97"/>
      <c r="B38" s="116"/>
      <c r="C38" s="117" t="s">
        <v>126</v>
      </c>
      <c r="D38" s="117" t="s">
        <v>69</v>
      </c>
      <c r="E38" s="118" t="s">
        <v>510</v>
      </c>
      <c r="F38" s="119" t="s">
        <v>511</v>
      </c>
      <c r="G38" s="120" t="s">
        <v>72</v>
      </c>
      <c r="H38" s="121">
        <v>4.9279999999999999</v>
      </c>
      <c r="I38" s="122">
        <v>1218.3499999999999</v>
      </c>
      <c r="J38" s="122">
        <v>6004.03</v>
      </c>
      <c r="K38" s="85">
        <v>0</v>
      </c>
      <c r="L38" s="86">
        <f t="shared" si="0"/>
        <v>1218.3499999999999</v>
      </c>
      <c r="M38" s="277">
        <f t="shared" si="1"/>
        <v>0</v>
      </c>
      <c r="N38" s="87">
        <f t="shared" si="2"/>
        <v>4.9279999999999999</v>
      </c>
      <c r="O38" s="88">
        <f t="shared" si="3"/>
        <v>1218.3499999999999</v>
      </c>
      <c r="P38" s="278">
        <f t="shared" si="4"/>
        <v>6004.0287999999991</v>
      </c>
      <c r="S38" s="151"/>
      <c r="AB38" s="200"/>
    </row>
    <row r="39" spans="1:28" s="109" customFormat="1" ht="48" x14ac:dyDescent="0.2">
      <c r="A39" s="97"/>
      <c r="B39" s="116"/>
      <c r="C39" s="117" t="s">
        <v>131</v>
      </c>
      <c r="D39" s="117" t="s">
        <v>69</v>
      </c>
      <c r="E39" s="118" t="s">
        <v>512</v>
      </c>
      <c r="F39" s="119" t="s">
        <v>513</v>
      </c>
      <c r="G39" s="120" t="s">
        <v>72</v>
      </c>
      <c r="H39" s="121">
        <v>4.9279999999999999</v>
      </c>
      <c r="I39" s="122">
        <v>1218.3499999999999</v>
      </c>
      <c r="J39" s="122">
        <v>6004.03</v>
      </c>
      <c r="K39" s="85">
        <v>0</v>
      </c>
      <c r="L39" s="86">
        <f t="shared" si="0"/>
        <v>1218.3499999999999</v>
      </c>
      <c r="M39" s="277">
        <f t="shared" si="1"/>
        <v>0</v>
      </c>
      <c r="N39" s="87">
        <f t="shared" si="2"/>
        <v>4.9279999999999999</v>
      </c>
      <c r="O39" s="88">
        <f t="shared" si="3"/>
        <v>1218.3499999999999</v>
      </c>
      <c r="P39" s="278">
        <f t="shared" si="4"/>
        <v>6004.0287999999991</v>
      </c>
      <c r="S39" s="151"/>
      <c r="AB39" s="200"/>
    </row>
    <row r="40" spans="1:28" s="109" customFormat="1" ht="24" x14ac:dyDescent="0.2">
      <c r="A40" s="97"/>
      <c r="B40" s="116"/>
      <c r="C40" s="117" t="s">
        <v>135</v>
      </c>
      <c r="D40" s="117" t="s">
        <v>69</v>
      </c>
      <c r="E40" s="118" t="s">
        <v>514</v>
      </c>
      <c r="F40" s="119" t="s">
        <v>515</v>
      </c>
      <c r="G40" s="120" t="s">
        <v>120</v>
      </c>
      <c r="H40" s="121">
        <v>3.9E-2</v>
      </c>
      <c r="I40" s="122">
        <v>48236.59</v>
      </c>
      <c r="J40" s="122">
        <v>1881.23</v>
      </c>
      <c r="K40" s="85">
        <v>0</v>
      </c>
      <c r="L40" s="86">
        <f t="shared" si="0"/>
        <v>48236.59</v>
      </c>
      <c r="M40" s="277">
        <f t="shared" si="1"/>
        <v>0</v>
      </c>
      <c r="N40" s="87">
        <f t="shared" si="2"/>
        <v>3.9E-2</v>
      </c>
      <c r="O40" s="88">
        <f t="shared" si="3"/>
        <v>48236.59</v>
      </c>
      <c r="P40" s="278">
        <f t="shared" si="4"/>
        <v>1881.2270099999998</v>
      </c>
      <c r="S40" s="151"/>
      <c r="AB40" s="200"/>
    </row>
    <row r="41" spans="1:28" s="109" customFormat="1" ht="24" x14ac:dyDescent="0.2">
      <c r="A41" s="97"/>
      <c r="B41" s="116"/>
      <c r="C41" s="117" t="s">
        <v>139</v>
      </c>
      <c r="D41" s="117" t="s">
        <v>69</v>
      </c>
      <c r="E41" s="118" t="s">
        <v>516</v>
      </c>
      <c r="F41" s="119" t="s">
        <v>517</v>
      </c>
      <c r="G41" s="120" t="s">
        <v>62</v>
      </c>
      <c r="H41" s="121">
        <v>1.2090000000000001</v>
      </c>
      <c r="I41" s="122">
        <v>4546.82</v>
      </c>
      <c r="J41" s="122">
        <v>5497.11</v>
      </c>
      <c r="K41" s="85">
        <v>0</v>
      </c>
      <c r="L41" s="86">
        <f t="shared" si="0"/>
        <v>4546.82</v>
      </c>
      <c r="M41" s="277">
        <f t="shared" si="1"/>
        <v>0</v>
      </c>
      <c r="N41" s="87">
        <f t="shared" si="2"/>
        <v>1.2090000000000001</v>
      </c>
      <c r="O41" s="88">
        <f t="shared" si="3"/>
        <v>4546.82</v>
      </c>
      <c r="P41" s="278">
        <f t="shared" si="4"/>
        <v>5497.10538</v>
      </c>
      <c r="S41" s="151"/>
      <c r="AB41" s="200"/>
    </row>
    <row r="42" spans="1:28" s="109" customFormat="1" ht="24" x14ac:dyDescent="0.2">
      <c r="A42" s="97"/>
      <c r="B42" s="116"/>
      <c r="C42" s="117" t="s">
        <v>142</v>
      </c>
      <c r="D42" s="117" t="s">
        <v>69</v>
      </c>
      <c r="E42" s="118" t="s">
        <v>518</v>
      </c>
      <c r="F42" s="119" t="s">
        <v>519</v>
      </c>
      <c r="G42" s="120" t="s">
        <v>72</v>
      </c>
      <c r="H42" s="121">
        <v>10.725</v>
      </c>
      <c r="I42" s="122">
        <v>867.52</v>
      </c>
      <c r="J42" s="122">
        <v>9304.15</v>
      </c>
      <c r="K42" s="85">
        <v>0</v>
      </c>
      <c r="L42" s="86">
        <f t="shared" si="0"/>
        <v>867.52</v>
      </c>
      <c r="M42" s="277">
        <f t="shared" si="1"/>
        <v>0</v>
      </c>
      <c r="N42" s="87">
        <f t="shared" si="2"/>
        <v>10.725</v>
      </c>
      <c r="O42" s="88">
        <f t="shared" si="3"/>
        <v>867.52</v>
      </c>
      <c r="P42" s="278">
        <f t="shared" si="4"/>
        <v>9304.152</v>
      </c>
      <c r="S42" s="151"/>
      <c r="AB42" s="200"/>
    </row>
    <row r="43" spans="1:28" s="110" customFormat="1" ht="12.75" x14ac:dyDescent="0.2">
      <c r="C43" s="245"/>
      <c r="D43" s="246" t="s">
        <v>3</v>
      </c>
      <c r="E43" s="247" t="s">
        <v>76</v>
      </c>
      <c r="F43" s="247" t="s">
        <v>130</v>
      </c>
      <c r="G43" s="245"/>
      <c r="H43" s="245"/>
      <c r="I43" s="245"/>
      <c r="J43" s="248">
        <v>114850.3</v>
      </c>
      <c r="K43" s="243"/>
      <c r="L43" s="244"/>
      <c r="M43" s="279">
        <f>SUM(M44:M57)</f>
        <v>0</v>
      </c>
      <c r="N43" s="280"/>
      <c r="O43" s="244"/>
      <c r="P43" s="279">
        <f>SUM(P44:P57)</f>
        <v>114850.30416</v>
      </c>
      <c r="S43" s="153"/>
      <c r="AB43" s="200"/>
    </row>
    <row r="44" spans="1:28" s="109" customFormat="1" ht="60" x14ac:dyDescent="0.2">
      <c r="A44" s="97"/>
      <c r="B44" s="116"/>
      <c r="C44" s="117" t="s">
        <v>145</v>
      </c>
      <c r="D44" s="117" t="s">
        <v>69</v>
      </c>
      <c r="E44" s="118" t="s">
        <v>907</v>
      </c>
      <c r="F44" s="119" t="s">
        <v>908</v>
      </c>
      <c r="G44" s="120" t="s">
        <v>62</v>
      </c>
      <c r="H44" s="121">
        <v>2.6059999999999999</v>
      </c>
      <c r="I44" s="122">
        <v>12626.11</v>
      </c>
      <c r="J44" s="122">
        <v>32903.64</v>
      </c>
      <c r="K44" s="85">
        <v>0</v>
      </c>
      <c r="L44" s="86">
        <f t="shared" si="0"/>
        <v>12626.11</v>
      </c>
      <c r="M44" s="277">
        <f t="shared" si="1"/>
        <v>0</v>
      </c>
      <c r="N44" s="87">
        <f t="shared" si="2"/>
        <v>2.6059999999999999</v>
      </c>
      <c r="O44" s="88">
        <f t="shared" si="3"/>
        <v>12626.11</v>
      </c>
      <c r="P44" s="278">
        <f t="shared" si="4"/>
        <v>32903.642659999998</v>
      </c>
      <c r="S44" s="151"/>
      <c r="AB44" s="200"/>
    </row>
    <row r="45" spans="1:28" s="109" customFormat="1" ht="36" x14ac:dyDescent="0.2">
      <c r="A45" s="97"/>
      <c r="B45" s="116"/>
      <c r="C45" s="117" t="s">
        <v>148</v>
      </c>
      <c r="D45" s="117" t="s">
        <v>69</v>
      </c>
      <c r="E45" s="118" t="s">
        <v>522</v>
      </c>
      <c r="F45" s="119" t="s">
        <v>523</v>
      </c>
      <c r="G45" s="120" t="s">
        <v>138</v>
      </c>
      <c r="H45" s="121">
        <v>10</v>
      </c>
      <c r="I45" s="122">
        <v>879</v>
      </c>
      <c r="J45" s="122">
        <v>8790</v>
      </c>
      <c r="K45" s="85">
        <v>0</v>
      </c>
      <c r="L45" s="86">
        <f t="shared" si="0"/>
        <v>879</v>
      </c>
      <c r="M45" s="277">
        <f t="shared" si="1"/>
        <v>0</v>
      </c>
      <c r="N45" s="87">
        <f t="shared" si="2"/>
        <v>10</v>
      </c>
      <c r="O45" s="88">
        <f t="shared" si="3"/>
        <v>879</v>
      </c>
      <c r="P45" s="278">
        <f t="shared" si="4"/>
        <v>8790</v>
      </c>
      <c r="S45" s="151"/>
      <c r="AB45" s="200"/>
    </row>
    <row r="46" spans="1:28" s="109" customFormat="1" ht="12" x14ac:dyDescent="0.2">
      <c r="A46" s="97"/>
      <c r="B46" s="116"/>
      <c r="C46" s="123" t="s">
        <v>151</v>
      </c>
      <c r="D46" s="123" t="s">
        <v>127</v>
      </c>
      <c r="E46" s="124" t="s">
        <v>524</v>
      </c>
      <c r="F46" s="125" t="s">
        <v>909</v>
      </c>
      <c r="G46" s="126" t="s">
        <v>138</v>
      </c>
      <c r="H46" s="127">
        <v>6</v>
      </c>
      <c r="I46" s="128">
        <v>589.4</v>
      </c>
      <c r="J46" s="128">
        <v>3536.4</v>
      </c>
      <c r="K46" s="85">
        <v>0</v>
      </c>
      <c r="L46" s="86">
        <f t="shared" si="0"/>
        <v>589.4</v>
      </c>
      <c r="M46" s="277">
        <f t="shared" si="1"/>
        <v>0</v>
      </c>
      <c r="N46" s="87">
        <f t="shared" si="2"/>
        <v>6</v>
      </c>
      <c r="O46" s="88">
        <f t="shared" si="3"/>
        <v>589.4</v>
      </c>
      <c r="P46" s="278">
        <f t="shared" si="4"/>
        <v>3536.3999999999996</v>
      </c>
      <c r="S46" s="151"/>
      <c r="AB46" s="200"/>
    </row>
    <row r="47" spans="1:28" s="109" customFormat="1" ht="12" x14ac:dyDescent="0.2">
      <c r="A47" s="97"/>
      <c r="B47" s="116"/>
      <c r="C47" s="123" t="s">
        <v>155</v>
      </c>
      <c r="D47" s="123" t="s">
        <v>127</v>
      </c>
      <c r="E47" s="124" t="s">
        <v>526</v>
      </c>
      <c r="F47" s="125" t="s">
        <v>910</v>
      </c>
      <c r="G47" s="126" t="s">
        <v>138</v>
      </c>
      <c r="H47" s="127">
        <v>4</v>
      </c>
      <c r="I47" s="128">
        <v>716.98</v>
      </c>
      <c r="J47" s="128">
        <v>2867.92</v>
      </c>
      <c r="K47" s="85">
        <v>0</v>
      </c>
      <c r="L47" s="86">
        <f t="shared" si="0"/>
        <v>716.98</v>
      </c>
      <c r="M47" s="277">
        <f t="shared" si="1"/>
        <v>0</v>
      </c>
      <c r="N47" s="87">
        <f t="shared" si="2"/>
        <v>4</v>
      </c>
      <c r="O47" s="88">
        <f t="shared" si="3"/>
        <v>716.98</v>
      </c>
      <c r="P47" s="278">
        <f t="shared" si="4"/>
        <v>2867.92</v>
      </c>
      <c r="S47" s="151"/>
      <c r="AB47" s="200"/>
    </row>
    <row r="48" spans="1:28" s="109" customFormat="1" ht="48" x14ac:dyDescent="0.2">
      <c r="A48" s="97"/>
      <c r="B48" s="116"/>
      <c r="C48" s="117" t="s">
        <v>158</v>
      </c>
      <c r="D48" s="117" t="s">
        <v>69</v>
      </c>
      <c r="E48" s="118" t="s">
        <v>528</v>
      </c>
      <c r="F48" s="119" t="s">
        <v>529</v>
      </c>
      <c r="G48" s="120" t="s">
        <v>138</v>
      </c>
      <c r="H48" s="121">
        <v>2</v>
      </c>
      <c r="I48" s="122">
        <v>316.39</v>
      </c>
      <c r="J48" s="122">
        <v>632.78</v>
      </c>
      <c r="K48" s="85">
        <v>0</v>
      </c>
      <c r="L48" s="86">
        <f t="shared" si="0"/>
        <v>316.39</v>
      </c>
      <c r="M48" s="277">
        <f t="shared" si="1"/>
        <v>0</v>
      </c>
      <c r="N48" s="87">
        <f t="shared" si="2"/>
        <v>2</v>
      </c>
      <c r="O48" s="88">
        <f t="shared" si="3"/>
        <v>316.39</v>
      </c>
      <c r="P48" s="278">
        <f t="shared" si="4"/>
        <v>632.78</v>
      </c>
      <c r="S48" s="151"/>
      <c r="AB48" s="200"/>
    </row>
    <row r="49" spans="1:28" s="109" customFormat="1" ht="24" x14ac:dyDescent="0.2">
      <c r="A49" s="97"/>
      <c r="B49" s="116"/>
      <c r="C49" s="123" t="s">
        <v>161</v>
      </c>
      <c r="D49" s="123" t="s">
        <v>127</v>
      </c>
      <c r="E49" s="124" t="s">
        <v>530</v>
      </c>
      <c r="F49" s="125" t="s">
        <v>531</v>
      </c>
      <c r="G49" s="126" t="s">
        <v>138</v>
      </c>
      <c r="H49" s="127">
        <v>2</v>
      </c>
      <c r="I49" s="128">
        <v>1532.19</v>
      </c>
      <c r="J49" s="128">
        <v>3064.38</v>
      </c>
      <c r="K49" s="85">
        <v>0</v>
      </c>
      <c r="L49" s="86">
        <f t="shared" si="0"/>
        <v>1532.19</v>
      </c>
      <c r="M49" s="277">
        <f t="shared" si="1"/>
        <v>0</v>
      </c>
      <c r="N49" s="87">
        <f t="shared" si="2"/>
        <v>2</v>
      </c>
      <c r="O49" s="88">
        <f t="shared" si="3"/>
        <v>1532.19</v>
      </c>
      <c r="P49" s="278">
        <f t="shared" si="4"/>
        <v>3064.38</v>
      </c>
      <c r="S49" s="151"/>
      <c r="AB49" s="200"/>
    </row>
    <row r="50" spans="1:28" s="109" customFormat="1" ht="24" x14ac:dyDescent="0.2">
      <c r="A50" s="97"/>
      <c r="B50" s="116"/>
      <c r="C50" s="117" t="s">
        <v>164</v>
      </c>
      <c r="D50" s="117" t="s">
        <v>69</v>
      </c>
      <c r="E50" s="118" t="s">
        <v>532</v>
      </c>
      <c r="F50" s="119" t="s">
        <v>533</v>
      </c>
      <c r="G50" s="120" t="s">
        <v>138</v>
      </c>
      <c r="H50" s="121">
        <v>1</v>
      </c>
      <c r="I50" s="122">
        <v>1913.64</v>
      </c>
      <c r="J50" s="122">
        <v>1913.64</v>
      </c>
      <c r="K50" s="85">
        <v>0</v>
      </c>
      <c r="L50" s="86">
        <f t="shared" si="0"/>
        <v>1913.64</v>
      </c>
      <c r="M50" s="277">
        <f t="shared" si="1"/>
        <v>0</v>
      </c>
      <c r="N50" s="87">
        <f t="shared" si="2"/>
        <v>1</v>
      </c>
      <c r="O50" s="88">
        <f t="shared" si="3"/>
        <v>1913.64</v>
      </c>
      <c r="P50" s="278">
        <f t="shared" si="4"/>
        <v>1913.64</v>
      </c>
      <c r="S50" s="151"/>
      <c r="AB50" s="200"/>
    </row>
    <row r="51" spans="1:28" s="109" customFormat="1" ht="12" x14ac:dyDescent="0.2">
      <c r="A51" s="97"/>
      <c r="B51" s="116"/>
      <c r="C51" s="123" t="s">
        <v>167</v>
      </c>
      <c r="D51" s="123" t="s">
        <v>127</v>
      </c>
      <c r="E51" s="124" t="s">
        <v>534</v>
      </c>
      <c r="F51" s="125" t="s">
        <v>535</v>
      </c>
      <c r="G51" s="126" t="s">
        <v>138</v>
      </c>
      <c r="H51" s="127">
        <v>1</v>
      </c>
      <c r="I51" s="128">
        <v>46930.34</v>
      </c>
      <c r="J51" s="128">
        <v>46930.34</v>
      </c>
      <c r="K51" s="85">
        <v>0</v>
      </c>
      <c r="L51" s="86">
        <f t="shared" si="0"/>
        <v>46930.34</v>
      </c>
      <c r="M51" s="277">
        <f t="shared" si="1"/>
        <v>0</v>
      </c>
      <c r="N51" s="87">
        <f t="shared" si="2"/>
        <v>1</v>
      </c>
      <c r="O51" s="88">
        <f t="shared" si="3"/>
        <v>46930.34</v>
      </c>
      <c r="P51" s="278">
        <f t="shared" si="4"/>
        <v>46930.34</v>
      </c>
      <c r="S51" s="151"/>
      <c r="AB51" s="200"/>
    </row>
    <row r="52" spans="1:28" s="109" customFormat="1" ht="24" x14ac:dyDescent="0.2">
      <c r="A52" s="97"/>
      <c r="B52" s="116"/>
      <c r="C52" s="117" t="s">
        <v>170</v>
      </c>
      <c r="D52" s="117" t="s">
        <v>69</v>
      </c>
      <c r="E52" s="118" t="s">
        <v>536</v>
      </c>
      <c r="F52" s="119" t="s">
        <v>537</v>
      </c>
      <c r="G52" s="120" t="s">
        <v>138</v>
      </c>
      <c r="H52" s="121">
        <v>1</v>
      </c>
      <c r="I52" s="122">
        <v>8228.67</v>
      </c>
      <c r="J52" s="122">
        <v>8228.67</v>
      </c>
      <c r="K52" s="85">
        <v>0</v>
      </c>
      <c r="L52" s="86">
        <f t="shared" si="0"/>
        <v>8228.67</v>
      </c>
      <c r="M52" s="277">
        <f t="shared" si="1"/>
        <v>0</v>
      </c>
      <c r="N52" s="87">
        <f t="shared" si="2"/>
        <v>1</v>
      </c>
      <c r="O52" s="88">
        <f t="shared" si="3"/>
        <v>8228.67</v>
      </c>
      <c r="P52" s="278">
        <f t="shared" si="4"/>
        <v>8228.67</v>
      </c>
      <c r="S52" s="151"/>
      <c r="AB52" s="200"/>
    </row>
    <row r="53" spans="1:28" s="109" customFormat="1" ht="24" x14ac:dyDescent="0.2">
      <c r="A53" s="97"/>
      <c r="B53" s="116"/>
      <c r="C53" s="117" t="s">
        <v>173</v>
      </c>
      <c r="D53" s="117" t="s">
        <v>69</v>
      </c>
      <c r="E53" s="118" t="s">
        <v>538</v>
      </c>
      <c r="F53" s="119" t="s">
        <v>539</v>
      </c>
      <c r="G53" s="120" t="s">
        <v>61</v>
      </c>
      <c r="H53" s="121">
        <v>13.55</v>
      </c>
      <c r="I53" s="122">
        <v>236.02</v>
      </c>
      <c r="J53" s="122">
        <v>3198.07</v>
      </c>
      <c r="K53" s="85">
        <v>0</v>
      </c>
      <c r="L53" s="86">
        <f t="shared" si="0"/>
        <v>236.02</v>
      </c>
      <c r="M53" s="277">
        <f t="shared" si="1"/>
        <v>0</v>
      </c>
      <c r="N53" s="87">
        <f t="shared" si="2"/>
        <v>13.55</v>
      </c>
      <c r="O53" s="88">
        <f t="shared" si="3"/>
        <v>236.02</v>
      </c>
      <c r="P53" s="278">
        <f t="shared" si="4"/>
        <v>3198.0710000000004</v>
      </c>
      <c r="S53" s="151"/>
      <c r="AB53" s="200"/>
    </row>
    <row r="54" spans="1:28" s="109" customFormat="1" ht="24" x14ac:dyDescent="0.2">
      <c r="A54" s="97"/>
      <c r="B54" s="116"/>
      <c r="C54" s="123" t="s">
        <v>176</v>
      </c>
      <c r="D54" s="123" t="s">
        <v>127</v>
      </c>
      <c r="E54" s="124" t="s">
        <v>540</v>
      </c>
      <c r="F54" s="125" t="s">
        <v>541</v>
      </c>
      <c r="G54" s="126" t="s">
        <v>61</v>
      </c>
      <c r="H54" s="127">
        <v>11.95</v>
      </c>
      <c r="I54" s="128">
        <v>128.85</v>
      </c>
      <c r="J54" s="128">
        <v>1539.76</v>
      </c>
      <c r="K54" s="85">
        <v>0</v>
      </c>
      <c r="L54" s="86">
        <f t="shared" si="0"/>
        <v>128.85</v>
      </c>
      <c r="M54" s="277">
        <f t="shared" si="1"/>
        <v>0</v>
      </c>
      <c r="N54" s="87">
        <f t="shared" si="2"/>
        <v>11.95</v>
      </c>
      <c r="O54" s="88">
        <f t="shared" si="3"/>
        <v>128.85</v>
      </c>
      <c r="P54" s="278">
        <f t="shared" si="4"/>
        <v>1539.7574999999999</v>
      </c>
      <c r="S54" s="151"/>
      <c r="AB54" s="200"/>
    </row>
    <row r="55" spans="1:28" s="109" customFormat="1" ht="36" x14ac:dyDescent="0.2">
      <c r="A55" s="97"/>
      <c r="B55" s="116"/>
      <c r="C55" s="117" t="s">
        <v>179</v>
      </c>
      <c r="D55" s="117" t="s">
        <v>69</v>
      </c>
      <c r="E55" s="118" t="s">
        <v>542</v>
      </c>
      <c r="F55" s="119" t="s">
        <v>543</v>
      </c>
      <c r="G55" s="120" t="s">
        <v>61</v>
      </c>
      <c r="H55" s="121">
        <v>40.65</v>
      </c>
      <c r="I55" s="122">
        <v>12.76</v>
      </c>
      <c r="J55" s="122">
        <v>518.69000000000005</v>
      </c>
      <c r="K55" s="85">
        <v>0</v>
      </c>
      <c r="L55" s="86">
        <f t="shared" si="0"/>
        <v>12.76</v>
      </c>
      <c r="M55" s="277">
        <f t="shared" si="1"/>
        <v>0</v>
      </c>
      <c r="N55" s="87">
        <f t="shared" si="2"/>
        <v>40.65</v>
      </c>
      <c r="O55" s="88">
        <f t="shared" si="3"/>
        <v>12.76</v>
      </c>
      <c r="P55" s="278">
        <f t="shared" si="4"/>
        <v>518.69399999999996</v>
      </c>
      <c r="S55" s="151"/>
      <c r="AB55" s="200"/>
    </row>
    <row r="56" spans="1:28" s="109" customFormat="1" ht="36" x14ac:dyDescent="0.2">
      <c r="A56" s="97"/>
      <c r="B56" s="116"/>
      <c r="C56" s="117" t="s">
        <v>183</v>
      </c>
      <c r="D56" s="117" t="s">
        <v>69</v>
      </c>
      <c r="E56" s="118" t="s">
        <v>544</v>
      </c>
      <c r="F56" s="119" t="s">
        <v>545</v>
      </c>
      <c r="G56" s="120" t="s">
        <v>61</v>
      </c>
      <c r="H56" s="121">
        <v>40.65</v>
      </c>
      <c r="I56" s="122">
        <v>12.76</v>
      </c>
      <c r="J56" s="122">
        <v>518.69000000000005</v>
      </c>
      <c r="K56" s="85">
        <v>0</v>
      </c>
      <c r="L56" s="86">
        <f t="shared" si="0"/>
        <v>12.76</v>
      </c>
      <c r="M56" s="277">
        <f t="shared" si="1"/>
        <v>0</v>
      </c>
      <c r="N56" s="87">
        <f t="shared" si="2"/>
        <v>40.65</v>
      </c>
      <c r="O56" s="88">
        <f t="shared" si="3"/>
        <v>12.76</v>
      </c>
      <c r="P56" s="278">
        <f t="shared" si="4"/>
        <v>518.69399999999996</v>
      </c>
      <c r="S56" s="151"/>
      <c r="AB56" s="200"/>
    </row>
    <row r="57" spans="1:28" s="109" customFormat="1" ht="12" x14ac:dyDescent="0.2">
      <c r="A57" s="97"/>
      <c r="B57" s="116"/>
      <c r="C57" s="123" t="s">
        <v>186</v>
      </c>
      <c r="D57" s="123" t="s">
        <v>127</v>
      </c>
      <c r="E57" s="124" t="s">
        <v>546</v>
      </c>
      <c r="F57" s="125" t="s">
        <v>547</v>
      </c>
      <c r="G57" s="126" t="s">
        <v>61</v>
      </c>
      <c r="H57" s="127">
        <v>40.65</v>
      </c>
      <c r="I57" s="128">
        <v>5.0999999999999996</v>
      </c>
      <c r="J57" s="128">
        <v>207.32</v>
      </c>
      <c r="K57" s="85">
        <v>0</v>
      </c>
      <c r="L57" s="86">
        <f t="shared" si="0"/>
        <v>5.0999999999999996</v>
      </c>
      <c r="M57" s="277">
        <f t="shared" si="1"/>
        <v>0</v>
      </c>
      <c r="N57" s="87">
        <f t="shared" si="2"/>
        <v>40.65</v>
      </c>
      <c r="O57" s="88">
        <f t="shared" si="3"/>
        <v>5.0999999999999996</v>
      </c>
      <c r="P57" s="278">
        <f t="shared" si="4"/>
        <v>207.31499999999997</v>
      </c>
      <c r="S57" s="151"/>
      <c r="AB57" s="200"/>
    </row>
    <row r="58" spans="1:28" s="110" customFormat="1" ht="12.75" x14ac:dyDescent="0.2">
      <c r="C58" s="245"/>
      <c r="D58" s="246" t="s">
        <v>3</v>
      </c>
      <c r="E58" s="247" t="s">
        <v>73</v>
      </c>
      <c r="F58" s="247" t="s">
        <v>134</v>
      </c>
      <c r="G58" s="245"/>
      <c r="H58" s="245"/>
      <c r="I58" s="245"/>
      <c r="J58" s="248">
        <v>29901.5</v>
      </c>
      <c r="K58" s="243"/>
      <c r="L58" s="244"/>
      <c r="M58" s="279">
        <f>SUM(M59:M62)</f>
        <v>0</v>
      </c>
      <c r="N58" s="280"/>
      <c r="O58" s="244"/>
      <c r="P58" s="279">
        <f>SUM(P59:P62)</f>
        <v>29901.489399999999</v>
      </c>
      <c r="S58" s="153"/>
      <c r="AB58" s="200"/>
    </row>
    <row r="59" spans="1:28" s="109" customFormat="1" ht="24" x14ac:dyDescent="0.2">
      <c r="A59" s="97"/>
      <c r="B59" s="116"/>
      <c r="C59" s="117" t="s">
        <v>189</v>
      </c>
      <c r="D59" s="117" t="s">
        <v>69</v>
      </c>
      <c r="E59" s="118" t="s">
        <v>548</v>
      </c>
      <c r="F59" s="119" t="s">
        <v>549</v>
      </c>
      <c r="G59" s="120" t="s">
        <v>62</v>
      </c>
      <c r="H59" s="121">
        <v>1.6</v>
      </c>
      <c r="I59" s="122">
        <v>453.91</v>
      </c>
      <c r="J59" s="122">
        <v>726.26</v>
      </c>
      <c r="K59" s="85">
        <v>0</v>
      </c>
      <c r="L59" s="86">
        <f t="shared" si="0"/>
        <v>453.91</v>
      </c>
      <c r="M59" s="277">
        <f t="shared" si="1"/>
        <v>0</v>
      </c>
      <c r="N59" s="87">
        <f t="shared" si="2"/>
        <v>1.6</v>
      </c>
      <c r="O59" s="88">
        <f t="shared" si="3"/>
        <v>453.91</v>
      </c>
      <c r="P59" s="278">
        <f t="shared" si="4"/>
        <v>726.25600000000009</v>
      </c>
      <c r="S59" s="338"/>
      <c r="AB59" s="200"/>
    </row>
    <row r="60" spans="1:28" s="109" customFormat="1" ht="36" x14ac:dyDescent="0.2">
      <c r="A60" s="97"/>
      <c r="B60" s="116"/>
      <c r="C60" s="117" t="s">
        <v>192</v>
      </c>
      <c r="D60" s="117" t="s">
        <v>69</v>
      </c>
      <c r="E60" s="118" t="s">
        <v>550</v>
      </c>
      <c r="F60" s="119" t="s">
        <v>551</v>
      </c>
      <c r="G60" s="120" t="s">
        <v>62</v>
      </c>
      <c r="H60" s="121">
        <v>2.4</v>
      </c>
      <c r="I60" s="122">
        <v>3271.05</v>
      </c>
      <c r="J60" s="122">
        <v>7850.52</v>
      </c>
      <c r="K60" s="85">
        <v>0</v>
      </c>
      <c r="L60" s="86">
        <f t="shared" si="0"/>
        <v>3271.05</v>
      </c>
      <c r="M60" s="277">
        <f t="shared" si="1"/>
        <v>0</v>
      </c>
      <c r="N60" s="87">
        <f t="shared" si="2"/>
        <v>2.4</v>
      </c>
      <c r="O60" s="88">
        <f t="shared" si="3"/>
        <v>3271.05</v>
      </c>
      <c r="P60" s="278">
        <f t="shared" si="4"/>
        <v>7850.52</v>
      </c>
      <c r="S60" s="338"/>
      <c r="AB60" s="200"/>
    </row>
    <row r="61" spans="1:28" s="109" customFormat="1" ht="36" x14ac:dyDescent="0.2">
      <c r="A61" s="97"/>
      <c r="B61" s="116"/>
      <c r="C61" s="117" t="s">
        <v>195</v>
      </c>
      <c r="D61" s="117" t="s">
        <v>69</v>
      </c>
      <c r="E61" s="118" t="s">
        <v>554</v>
      </c>
      <c r="F61" s="119" t="s">
        <v>555</v>
      </c>
      <c r="G61" s="120" t="s">
        <v>62</v>
      </c>
      <c r="H61" s="121">
        <v>4.423</v>
      </c>
      <c r="I61" s="122">
        <v>3883.42</v>
      </c>
      <c r="J61" s="122">
        <v>17176.37</v>
      </c>
      <c r="K61" s="85">
        <v>0</v>
      </c>
      <c r="L61" s="86">
        <f t="shared" si="0"/>
        <v>3883.42</v>
      </c>
      <c r="M61" s="277">
        <f t="shared" si="1"/>
        <v>0</v>
      </c>
      <c r="N61" s="87">
        <f t="shared" si="2"/>
        <v>4.423</v>
      </c>
      <c r="O61" s="88">
        <f t="shared" si="3"/>
        <v>3883.42</v>
      </c>
      <c r="P61" s="278">
        <f t="shared" si="4"/>
        <v>17176.36666</v>
      </c>
      <c r="S61" s="338"/>
      <c r="AB61" s="200"/>
    </row>
    <row r="62" spans="1:28" s="109" customFormat="1" ht="24" x14ac:dyDescent="0.2">
      <c r="A62" s="97"/>
      <c r="B62" s="116"/>
      <c r="C62" s="117" t="s">
        <v>198</v>
      </c>
      <c r="D62" s="117" t="s">
        <v>69</v>
      </c>
      <c r="E62" s="118" t="s">
        <v>552</v>
      </c>
      <c r="F62" s="119" t="s">
        <v>553</v>
      </c>
      <c r="G62" s="120" t="s">
        <v>120</v>
      </c>
      <c r="H62" s="121">
        <v>8.5999999999999993E-2</v>
      </c>
      <c r="I62" s="122">
        <v>48236.59</v>
      </c>
      <c r="J62" s="122">
        <v>4148.3500000000004</v>
      </c>
      <c r="K62" s="85">
        <v>0</v>
      </c>
      <c r="L62" s="86">
        <f t="shared" si="0"/>
        <v>48236.59</v>
      </c>
      <c r="M62" s="277">
        <f t="shared" si="1"/>
        <v>0</v>
      </c>
      <c r="N62" s="87">
        <f t="shared" si="2"/>
        <v>8.5999999999999993E-2</v>
      </c>
      <c r="O62" s="88">
        <f t="shared" si="3"/>
        <v>48236.59</v>
      </c>
      <c r="P62" s="278">
        <f t="shared" si="4"/>
        <v>4148.346739999999</v>
      </c>
      <c r="S62" s="338"/>
      <c r="AB62" s="200"/>
    </row>
    <row r="63" spans="1:28" s="110" customFormat="1" ht="12.75" x14ac:dyDescent="0.2">
      <c r="C63" s="245"/>
      <c r="D63" s="246" t="s">
        <v>3</v>
      </c>
      <c r="E63" s="247" t="s">
        <v>81</v>
      </c>
      <c r="F63" s="247" t="s">
        <v>154</v>
      </c>
      <c r="G63" s="245"/>
      <c r="H63" s="245"/>
      <c r="I63" s="245"/>
      <c r="J63" s="248">
        <v>35252.42</v>
      </c>
      <c r="K63" s="243"/>
      <c r="L63" s="244"/>
      <c r="M63" s="279">
        <f>SUM(M64:M72)</f>
        <v>0</v>
      </c>
      <c r="N63" s="280"/>
      <c r="O63" s="244"/>
      <c r="P63" s="279">
        <f>SUM(P64:P72)</f>
        <v>35252.4133</v>
      </c>
      <c r="S63" s="153"/>
      <c r="AB63" s="200"/>
    </row>
    <row r="64" spans="1:28" s="109" customFormat="1" ht="36" x14ac:dyDescent="0.2">
      <c r="A64" s="97"/>
      <c r="B64" s="116"/>
      <c r="C64" s="117" t="s">
        <v>201</v>
      </c>
      <c r="D64" s="117" t="s">
        <v>69</v>
      </c>
      <c r="E64" s="118" t="s">
        <v>556</v>
      </c>
      <c r="F64" s="119" t="s">
        <v>557</v>
      </c>
      <c r="G64" s="120" t="s">
        <v>72</v>
      </c>
      <c r="H64" s="121">
        <v>20.25</v>
      </c>
      <c r="I64" s="122">
        <v>74.64</v>
      </c>
      <c r="J64" s="122">
        <v>1511.46</v>
      </c>
      <c r="K64" s="85">
        <v>0</v>
      </c>
      <c r="L64" s="86">
        <f t="shared" si="0"/>
        <v>74.64</v>
      </c>
      <c r="M64" s="277">
        <f t="shared" si="1"/>
        <v>0</v>
      </c>
      <c r="N64" s="87">
        <f t="shared" si="2"/>
        <v>20.25</v>
      </c>
      <c r="O64" s="88">
        <f t="shared" si="3"/>
        <v>74.64</v>
      </c>
      <c r="P64" s="278">
        <f t="shared" si="4"/>
        <v>1511.46</v>
      </c>
      <c r="S64" s="151"/>
      <c r="AB64" s="200"/>
    </row>
    <row r="65" spans="1:28" s="109" customFormat="1" ht="36" x14ac:dyDescent="0.2">
      <c r="A65" s="97"/>
      <c r="B65" s="116"/>
      <c r="C65" s="117" t="s">
        <v>204</v>
      </c>
      <c r="D65" s="117" t="s">
        <v>69</v>
      </c>
      <c r="E65" s="118" t="s">
        <v>558</v>
      </c>
      <c r="F65" s="119" t="s">
        <v>559</v>
      </c>
      <c r="G65" s="120" t="s">
        <v>72</v>
      </c>
      <c r="H65" s="121">
        <v>20.25</v>
      </c>
      <c r="I65" s="122">
        <v>217.47</v>
      </c>
      <c r="J65" s="122">
        <v>4403.7700000000004</v>
      </c>
      <c r="K65" s="85">
        <v>0</v>
      </c>
      <c r="L65" s="86">
        <f t="shared" si="0"/>
        <v>217.47</v>
      </c>
      <c r="M65" s="277">
        <f t="shared" si="1"/>
        <v>0</v>
      </c>
      <c r="N65" s="87">
        <f t="shared" si="2"/>
        <v>20.25</v>
      </c>
      <c r="O65" s="88">
        <f t="shared" si="3"/>
        <v>217.47</v>
      </c>
      <c r="P65" s="278">
        <f t="shared" si="4"/>
        <v>4403.7674999999999</v>
      </c>
      <c r="S65" s="151"/>
      <c r="AB65" s="200"/>
    </row>
    <row r="66" spans="1:28" s="109" customFormat="1" ht="24" x14ac:dyDescent="0.2">
      <c r="A66" s="97"/>
      <c r="B66" s="116"/>
      <c r="C66" s="117" t="s">
        <v>207</v>
      </c>
      <c r="D66" s="117" t="s">
        <v>69</v>
      </c>
      <c r="E66" s="118" t="s">
        <v>162</v>
      </c>
      <c r="F66" s="119" t="s">
        <v>163</v>
      </c>
      <c r="G66" s="120" t="s">
        <v>72</v>
      </c>
      <c r="H66" s="121">
        <v>13.23</v>
      </c>
      <c r="I66" s="122">
        <v>155.66999999999999</v>
      </c>
      <c r="J66" s="122">
        <v>2059.5100000000002</v>
      </c>
      <c r="K66" s="85">
        <v>0</v>
      </c>
      <c r="L66" s="86">
        <f t="shared" si="0"/>
        <v>155.66999999999999</v>
      </c>
      <c r="M66" s="277">
        <f t="shared" si="1"/>
        <v>0</v>
      </c>
      <c r="N66" s="87">
        <f t="shared" si="2"/>
        <v>13.23</v>
      </c>
      <c r="O66" s="88">
        <f t="shared" si="3"/>
        <v>155.66999999999999</v>
      </c>
      <c r="P66" s="278">
        <f t="shared" si="4"/>
        <v>2059.5140999999999</v>
      </c>
      <c r="S66" s="151"/>
      <c r="AB66" s="200"/>
    </row>
    <row r="67" spans="1:28" s="109" customFormat="1" ht="36" x14ac:dyDescent="0.2">
      <c r="A67" s="97"/>
      <c r="B67" s="116"/>
      <c r="C67" s="117" t="s">
        <v>210</v>
      </c>
      <c r="D67" s="117" t="s">
        <v>69</v>
      </c>
      <c r="E67" s="118" t="s">
        <v>156</v>
      </c>
      <c r="F67" s="119" t="s">
        <v>157</v>
      </c>
      <c r="G67" s="120" t="s">
        <v>72</v>
      </c>
      <c r="H67" s="121">
        <v>13.23</v>
      </c>
      <c r="I67" s="122">
        <v>319.88</v>
      </c>
      <c r="J67" s="122">
        <v>4232.01</v>
      </c>
      <c r="K67" s="85">
        <v>0</v>
      </c>
      <c r="L67" s="86">
        <f t="shared" si="0"/>
        <v>319.88</v>
      </c>
      <c r="M67" s="277">
        <f t="shared" si="1"/>
        <v>0</v>
      </c>
      <c r="N67" s="87">
        <f t="shared" si="2"/>
        <v>13.23</v>
      </c>
      <c r="O67" s="88">
        <f t="shared" si="3"/>
        <v>319.88</v>
      </c>
      <c r="P67" s="278">
        <f t="shared" si="4"/>
        <v>4232.0124000000005</v>
      </c>
      <c r="S67" s="151"/>
      <c r="AB67" s="200"/>
    </row>
    <row r="68" spans="1:28" s="109" customFormat="1" ht="24" x14ac:dyDescent="0.2">
      <c r="A68" s="97"/>
      <c r="B68" s="116"/>
      <c r="C68" s="117" t="s">
        <v>214</v>
      </c>
      <c r="D68" s="117" t="s">
        <v>69</v>
      </c>
      <c r="E68" s="118" t="s">
        <v>168</v>
      </c>
      <c r="F68" s="119" t="s">
        <v>169</v>
      </c>
      <c r="G68" s="120" t="s">
        <v>72</v>
      </c>
      <c r="H68" s="121">
        <v>12.25</v>
      </c>
      <c r="I68" s="122">
        <v>18.04</v>
      </c>
      <c r="J68" s="122">
        <v>220.99</v>
      </c>
      <c r="K68" s="85">
        <v>0</v>
      </c>
      <c r="L68" s="86">
        <f t="shared" si="0"/>
        <v>18.04</v>
      </c>
      <c r="M68" s="277">
        <f t="shared" si="1"/>
        <v>0</v>
      </c>
      <c r="N68" s="87">
        <f t="shared" si="2"/>
        <v>12.25</v>
      </c>
      <c r="O68" s="88">
        <f t="shared" si="3"/>
        <v>18.04</v>
      </c>
      <c r="P68" s="278">
        <f t="shared" si="4"/>
        <v>220.98999999999998</v>
      </c>
      <c r="S68" s="151"/>
      <c r="AB68" s="200"/>
    </row>
    <row r="69" spans="1:28" s="109" customFormat="1" ht="48" x14ac:dyDescent="0.2">
      <c r="A69" s="97"/>
      <c r="B69" s="116"/>
      <c r="C69" s="117" t="s">
        <v>217</v>
      </c>
      <c r="D69" s="117" t="s">
        <v>69</v>
      </c>
      <c r="E69" s="118" t="s">
        <v>171</v>
      </c>
      <c r="F69" s="119" t="s">
        <v>172</v>
      </c>
      <c r="G69" s="120" t="s">
        <v>72</v>
      </c>
      <c r="H69" s="121">
        <v>12.25</v>
      </c>
      <c r="I69" s="122">
        <v>396.71</v>
      </c>
      <c r="J69" s="122">
        <v>4859.7</v>
      </c>
      <c r="K69" s="85">
        <v>0</v>
      </c>
      <c r="L69" s="86">
        <f t="shared" si="0"/>
        <v>396.71</v>
      </c>
      <c r="M69" s="277">
        <f t="shared" si="1"/>
        <v>0</v>
      </c>
      <c r="N69" s="87">
        <f t="shared" si="2"/>
        <v>12.25</v>
      </c>
      <c r="O69" s="88">
        <f t="shared" si="3"/>
        <v>396.71</v>
      </c>
      <c r="P69" s="278">
        <f t="shared" si="4"/>
        <v>4859.6974999999993</v>
      </c>
      <c r="S69" s="151"/>
      <c r="AB69" s="200"/>
    </row>
    <row r="70" spans="1:28" s="109" customFormat="1" ht="36" x14ac:dyDescent="0.2">
      <c r="A70" s="97"/>
      <c r="B70" s="116"/>
      <c r="C70" s="117" t="s">
        <v>220</v>
      </c>
      <c r="D70" s="117" t="s">
        <v>69</v>
      </c>
      <c r="E70" s="118" t="s">
        <v>174</v>
      </c>
      <c r="F70" s="119" t="s">
        <v>175</v>
      </c>
      <c r="G70" s="120" t="s">
        <v>72</v>
      </c>
      <c r="H70" s="121">
        <v>12.25</v>
      </c>
      <c r="I70" s="122">
        <v>443.02</v>
      </c>
      <c r="J70" s="122">
        <v>5427</v>
      </c>
      <c r="K70" s="85">
        <v>0</v>
      </c>
      <c r="L70" s="86">
        <f t="shared" si="0"/>
        <v>443.02</v>
      </c>
      <c r="M70" s="277">
        <f t="shared" si="1"/>
        <v>0</v>
      </c>
      <c r="N70" s="87">
        <f t="shared" si="2"/>
        <v>12.25</v>
      </c>
      <c r="O70" s="88">
        <f t="shared" si="3"/>
        <v>443.02</v>
      </c>
      <c r="P70" s="278">
        <f t="shared" si="4"/>
        <v>5426.9949999999999</v>
      </c>
      <c r="S70" s="151"/>
      <c r="AB70" s="200"/>
    </row>
    <row r="71" spans="1:28" s="109" customFormat="1" ht="72" x14ac:dyDescent="0.2">
      <c r="A71" s="97"/>
      <c r="B71" s="116"/>
      <c r="C71" s="117" t="s">
        <v>223</v>
      </c>
      <c r="D71" s="117" t="s">
        <v>69</v>
      </c>
      <c r="E71" s="118" t="s">
        <v>560</v>
      </c>
      <c r="F71" s="119" t="s">
        <v>561</v>
      </c>
      <c r="G71" s="120" t="s">
        <v>72</v>
      </c>
      <c r="H71" s="121">
        <v>20.25</v>
      </c>
      <c r="I71" s="122">
        <v>338.08</v>
      </c>
      <c r="J71" s="122">
        <v>6846.12</v>
      </c>
      <c r="K71" s="85">
        <v>0</v>
      </c>
      <c r="L71" s="86">
        <f t="shared" si="0"/>
        <v>338.08</v>
      </c>
      <c r="M71" s="277">
        <f t="shared" si="1"/>
        <v>0</v>
      </c>
      <c r="N71" s="87">
        <f t="shared" si="2"/>
        <v>20.25</v>
      </c>
      <c r="O71" s="88">
        <f t="shared" si="3"/>
        <v>338.08</v>
      </c>
      <c r="P71" s="278">
        <f t="shared" si="4"/>
        <v>6846.12</v>
      </c>
      <c r="S71" s="151"/>
      <c r="AB71" s="200"/>
    </row>
    <row r="72" spans="1:28" s="109" customFormat="1" ht="12" x14ac:dyDescent="0.2">
      <c r="A72" s="97"/>
      <c r="B72" s="116"/>
      <c r="C72" s="123" t="s">
        <v>226</v>
      </c>
      <c r="D72" s="123" t="s">
        <v>127</v>
      </c>
      <c r="E72" s="124" t="s">
        <v>562</v>
      </c>
      <c r="F72" s="125" t="s">
        <v>563</v>
      </c>
      <c r="G72" s="126" t="s">
        <v>72</v>
      </c>
      <c r="H72" s="127">
        <v>24.73</v>
      </c>
      <c r="I72" s="128">
        <v>230.16</v>
      </c>
      <c r="J72" s="128">
        <v>5691.86</v>
      </c>
      <c r="K72" s="85">
        <v>0</v>
      </c>
      <c r="L72" s="86">
        <f t="shared" si="0"/>
        <v>230.16</v>
      </c>
      <c r="M72" s="277">
        <f t="shared" si="1"/>
        <v>0</v>
      </c>
      <c r="N72" s="87">
        <f t="shared" si="2"/>
        <v>24.73</v>
      </c>
      <c r="O72" s="88">
        <f t="shared" si="3"/>
        <v>230.16</v>
      </c>
      <c r="P72" s="278">
        <f t="shared" si="4"/>
        <v>5691.8567999999996</v>
      </c>
      <c r="S72" s="151"/>
      <c r="AB72" s="200"/>
    </row>
    <row r="73" spans="1:28" s="110" customFormat="1" ht="12.75" x14ac:dyDescent="0.2">
      <c r="C73" s="245"/>
      <c r="D73" s="246" t="s">
        <v>3</v>
      </c>
      <c r="E73" s="247" t="s">
        <v>84</v>
      </c>
      <c r="F73" s="247" t="s">
        <v>564</v>
      </c>
      <c r="G73" s="245"/>
      <c r="H73" s="245"/>
      <c r="I73" s="245"/>
      <c r="J73" s="248">
        <v>5171.4399999999996</v>
      </c>
      <c r="K73" s="243"/>
      <c r="L73" s="244"/>
      <c r="M73" s="279">
        <f>M74</f>
        <v>0</v>
      </c>
      <c r="N73" s="280"/>
      <c r="O73" s="244"/>
      <c r="P73" s="279">
        <f>P74</f>
        <v>5171.43523</v>
      </c>
      <c r="S73" s="153"/>
      <c r="AB73" s="200"/>
    </row>
    <row r="74" spans="1:28" s="109" customFormat="1" ht="24" x14ac:dyDescent="0.2">
      <c r="A74" s="97"/>
      <c r="B74" s="116"/>
      <c r="C74" s="117" t="s">
        <v>229</v>
      </c>
      <c r="D74" s="117" t="s">
        <v>69</v>
      </c>
      <c r="E74" s="118" t="s">
        <v>565</v>
      </c>
      <c r="F74" s="119" t="s">
        <v>566</v>
      </c>
      <c r="G74" s="120" t="s">
        <v>72</v>
      </c>
      <c r="H74" s="121">
        <v>12.443</v>
      </c>
      <c r="I74" s="122">
        <v>415.61</v>
      </c>
      <c r="J74" s="122">
        <v>5171.4399999999996</v>
      </c>
      <c r="K74" s="85">
        <v>0</v>
      </c>
      <c r="L74" s="86">
        <f t="shared" si="0"/>
        <v>415.61</v>
      </c>
      <c r="M74" s="277">
        <f t="shared" si="1"/>
        <v>0</v>
      </c>
      <c r="N74" s="87">
        <f t="shared" si="2"/>
        <v>12.443</v>
      </c>
      <c r="O74" s="88">
        <f t="shared" si="3"/>
        <v>415.61</v>
      </c>
      <c r="P74" s="278">
        <f t="shared" si="4"/>
        <v>5171.43523</v>
      </c>
      <c r="S74" s="151"/>
      <c r="AB74" s="200"/>
    </row>
    <row r="75" spans="1:28" s="110" customFormat="1" ht="12.75" x14ac:dyDescent="0.2">
      <c r="C75" s="245"/>
      <c r="D75" s="246" t="s">
        <v>3</v>
      </c>
      <c r="E75" s="247" t="s">
        <v>90</v>
      </c>
      <c r="F75" s="247" t="s">
        <v>182</v>
      </c>
      <c r="G75" s="245"/>
      <c r="H75" s="245"/>
      <c r="I75" s="245"/>
      <c r="J75" s="248">
        <v>14172.99</v>
      </c>
      <c r="K75" s="243"/>
      <c r="L75" s="244"/>
      <c r="M75" s="279">
        <f>SUM(M76:M81)</f>
        <v>0</v>
      </c>
      <c r="N75" s="280"/>
      <c r="O75" s="244"/>
      <c r="P75" s="279">
        <f>SUM(P76:P81)</f>
        <v>14172.99</v>
      </c>
      <c r="S75" s="153"/>
      <c r="AB75" s="200"/>
    </row>
    <row r="76" spans="1:28" s="109" customFormat="1" ht="36" x14ac:dyDescent="0.2">
      <c r="A76" s="97"/>
      <c r="B76" s="116"/>
      <c r="C76" s="117" t="s">
        <v>232</v>
      </c>
      <c r="D76" s="117" t="s">
        <v>69</v>
      </c>
      <c r="E76" s="118" t="s">
        <v>567</v>
      </c>
      <c r="F76" s="119" t="s">
        <v>568</v>
      </c>
      <c r="G76" s="120" t="s">
        <v>138</v>
      </c>
      <c r="H76" s="121">
        <v>1</v>
      </c>
      <c r="I76" s="122">
        <v>505.04</v>
      </c>
      <c r="J76" s="122">
        <v>505.04</v>
      </c>
      <c r="K76" s="85">
        <v>0</v>
      </c>
      <c r="L76" s="86">
        <f t="shared" si="0"/>
        <v>505.04</v>
      </c>
      <c r="M76" s="277">
        <f t="shared" si="1"/>
        <v>0</v>
      </c>
      <c r="N76" s="87">
        <f t="shared" si="2"/>
        <v>1</v>
      </c>
      <c r="O76" s="88">
        <f t="shared" si="3"/>
        <v>505.04</v>
      </c>
      <c r="P76" s="278">
        <f t="shared" si="4"/>
        <v>505.04</v>
      </c>
      <c r="S76" s="151"/>
      <c r="AB76" s="200"/>
    </row>
    <row r="77" spans="1:28" s="109" customFormat="1" ht="12" x14ac:dyDescent="0.2">
      <c r="A77" s="97"/>
      <c r="B77" s="116"/>
      <c r="C77" s="123" t="s">
        <v>235</v>
      </c>
      <c r="D77" s="123" t="s">
        <v>127</v>
      </c>
      <c r="E77" s="124" t="s">
        <v>569</v>
      </c>
      <c r="F77" s="125" t="s">
        <v>570</v>
      </c>
      <c r="G77" s="126" t="s">
        <v>138</v>
      </c>
      <c r="H77" s="127">
        <v>1</v>
      </c>
      <c r="I77" s="128">
        <v>10388.92</v>
      </c>
      <c r="J77" s="128">
        <v>10388.92</v>
      </c>
      <c r="K77" s="85">
        <v>0</v>
      </c>
      <c r="L77" s="86">
        <f t="shared" si="0"/>
        <v>10388.92</v>
      </c>
      <c r="M77" s="277">
        <f t="shared" si="1"/>
        <v>0</v>
      </c>
      <c r="N77" s="87">
        <f t="shared" si="2"/>
        <v>1</v>
      </c>
      <c r="O77" s="88">
        <f t="shared" si="3"/>
        <v>10388.92</v>
      </c>
      <c r="P77" s="278">
        <f t="shared" si="4"/>
        <v>10388.92</v>
      </c>
      <c r="S77" s="151"/>
      <c r="AB77" s="200"/>
    </row>
    <row r="78" spans="1:28" s="109" customFormat="1" ht="36" x14ac:dyDescent="0.2">
      <c r="A78" s="97"/>
      <c r="B78" s="116"/>
      <c r="C78" s="117" t="s">
        <v>238</v>
      </c>
      <c r="D78" s="117" t="s">
        <v>69</v>
      </c>
      <c r="E78" s="118" t="s">
        <v>571</v>
      </c>
      <c r="F78" s="119" t="s">
        <v>572</v>
      </c>
      <c r="G78" s="120" t="s">
        <v>61</v>
      </c>
      <c r="H78" s="121">
        <v>21</v>
      </c>
      <c r="I78" s="122">
        <v>36.83</v>
      </c>
      <c r="J78" s="122">
        <v>773.43</v>
      </c>
      <c r="K78" s="85">
        <v>0</v>
      </c>
      <c r="L78" s="86">
        <f t="shared" si="0"/>
        <v>36.83</v>
      </c>
      <c r="M78" s="277">
        <f t="shared" si="1"/>
        <v>0</v>
      </c>
      <c r="N78" s="87">
        <f t="shared" si="2"/>
        <v>21</v>
      </c>
      <c r="O78" s="88">
        <f t="shared" si="3"/>
        <v>36.83</v>
      </c>
      <c r="P78" s="278">
        <f t="shared" si="4"/>
        <v>773.43</v>
      </c>
      <c r="S78" s="151"/>
      <c r="AB78" s="200"/>
    </row>
    <row r="79" spans="1:28" s="109" customFormat="1" ht="24" x14ac:dyDescent="0.2">
      <c r="A79" s="97"/>
      <c r="B79" s="116"/>
      <c r="C79" s="123" t="s">
        <v>241</v>
      </c>
      <c r="D79" s="123" t="s">
        <v>127</v>
      </c>
      <c r="E79" s="124" t="s">
        <v>573</v>
      </c>
      <c r="F79" s="125" t="s">
        <v>574</v>
      </c>
      <c r="G79" s="126" t="s">
        <v>138</v>
      </c>
      <c r="H79" s="127">
        <v>21</v>
      </c>
      <c r="I79" s="128">
        <v>72.34</v>
      </c>
      <c r="J79" s="128">
        <v>1519.14</v>
      </c>
      <c r="K79" s="85">
        <v>0</v>
      </c>
      <c r="L79" s="86">
        <f t="shared" si="0"/>
        <v>72.34</v>
      </c>
      <c r="M79" s="277">
        <f t="shared" si="1"/>
        <v>0</v>
      </c>
      <c r="N79" s="87">
        <f t="shared" si="2"/>
        <v>21</v>
      </c>
      <c r="O79" s="88">
        <f t="shared" si="3"/>
        <v>72.34</v>
      </c>
      <c r="P79" s="278">
        <f t="shared" si="4"/>
        <v>1519.14</v>
      </c>
      <c r="S79" s="151"/>
      <c r="AB79" s="200"/>
    </row>
    <row r="80" spans="1:28" s="109" customFormat="1" ht="36" x14ac:dyDescent="0.2">
      <c r="A80" s="97"/>
      <c r="B80" s="116"/>
      <c r="C80" s="117" t="s">
        <v>244</v>
      </c>
      <c r="D80" s="117" t="s">
        <v>69</v>
      </c>
      <c r="E80" s="118" t="s">
        <v>575</v>
      </c>
      <c r="F80" s="119" t="s">
        <v>576</v>
      </c>
      <c r="G80" s="120" t="s">
        <v>61</v>
      </c>
      <c r="H80" s="121">
        <v>6</v>
      </c>
      <c r="I80" s="122">
        <v>36.83</v>
      </c>
      <c r="J80" s="122">
        <v>220.98</v>
      </c>
      <c r="K80" s="85">
        <v>0</v>
      </c>
      <c r="L80" s="86">
        <f t="shared" ref="L80:L102" si="5">I80</f>
        <v>36.83</v>
      </c>
      <c r="M80" s="277">
        <f t="shared" ref="M80:M102" si="6">K80*L80</f>
        <v>0</v>
      </c>
      <c r="N80" s="87">
        <f t="shared" ref="N80:N102" si="7">H80+K80</f>
        <v>6</v>
      </c>
      <c r="O80" s="88">
        <f t="shared" ref="O80:O102" si="8">I80</f>
        <v>36.83</v>
      </c>
      <c r="P80" s="278">
        <f t="shared" ref="P80:P102" si="9">N80*O80</f>
        <v>220.98</v>
      </c>
      <c r="S80" s="151"/>
      <c r="AB80" s="200"/>
    </row>
    <row r="81" spans="1:29" s="109" customFormat="1" ht="24" x14ac:dyDescent="0.2">
      <c r="A81" s="97"/>
      <c r="B81" s="116"/>
      <c r="C81" s="123" t="s">
        <v>247</v>
      </c>
      <c r="D81" s="123" t="s">
        <v>127</v>
      </c>
      <c r="E81" s="124" t="s">
        <v>577</v>
      </c>
      <c r="F81" s="125" t="s">
        <v>578</v>
      </c>
      <c r="G81" s="126" t="s">
        <v>138</v>
      </c>
      <c r="H81" s="127">
        <v>6</v>
      </c>
      <c r="I81" s="128">
        <v>127.58</v>
      </c>
      <c r="J81" s="128">
        <v>765.48</v>
      </c>
      <c r="K81" s="85">
        <v>0</v>
      </c>
      <c r="L81" s="86">
        <f t="shared" si="5"/>
        <v>127.58</v>
      </c>
      <c r="M81" s="277">
        <f t="shared" si="6"/>
        <v>0</v>
      </c>
      <c r="N81" s="87">
        <f t="shared" si="7"/>
        <v>6</v>
      </c>
      <c r="O81" s="88">
        <f t="shared" si="8"/>
        <v>127.58</v>
      </c>
      <c r="P81" s="278">
        <f t="shared" si="9"/>
        <v>765.48</v>
      </c>
      <c r="S81" s="151"/>
      <c r="AB81" s="200"/>
    </row>
    <row r="82" spans="1:29" s="110" customFormat="1" ht="12.75" x14ac:dyDescent="0.2">
      <c r="C82" s="245"/>
      <c r="D82" s="246" t="s">
        <v>3</v>
      </c>
      <c r="E82" s="247" t="s">
        <v>93</v>
      </c>
      <c r="F82" s="247" t="s">
        <v>268</v>
      </c>
      <c r="G82" s="245"/>
      <c r="H82" s="245"/>
      <c r="I82" s="245"/>
      <c r="J82" s="248">
        <v>12870.48</v>
      </c>
      <c r="K82" s="243"/>
      <c r="L82" s="244"/>
      <c r="M82" s="279">
        <f>SUM(M83:M88)</f>
        <v>0</v>
      </c>
      <c r="N82" s="280"/>
      <c r="O82" s="244"/>
      <c r="P82" s="279">
        <f>SUM(P83:P88)</f>
        <v>12870.466499999999</v>
      </c>
      <c r="S82" s="153"/>
      <c r="AB82" s="200"/>
    </row>
    <row r="83" spans="1:29" s="109" customFormat="1" ht="48" x14ac:dyDescent="0.2">
      <c r="A83" s="97"/>
      <c r="B83" s="116"/>
      <c r="C83" s="117" t="s">
        <v>250</v>
      </c>
      <c r="D83" s="117" t="s">
        <v>69</v>
      </c>
      <c r="E83" s="118" t="s">
        <v>579</v>
      </c>
      <c r="F83" s="119" t="s">
        <v>580</v>
      </c>
      <c r="G83" s="120" t="s">
        <v>61</v>
      </c>
      <c r="H83" s="121">
        <v>15.25</v>
      </c>
      <c r="I83" s="122">
        <v>315.11</v>
      </c>
      <c r="J83" s="122">
        <v>4805.43</v>
      </c>
      <c r="K83" s="85">
        <v>0</v>
      </c>
      <c r="L83" s="86">
        <f t="shared" si="5"/>
        <v>315.11</v>
      </c>
      <c r="M83" s="277">
        <f t="shared" si="6"/>
        <v>0</v>
      </c>
      <c r="N83" s="87">
        <f t="shared" si="7"/>
        <v>15.25</v>
      </c>
      <c r="O83" s="88">
        <f t="shared" si="8"/>
        <v>315.11</v>
      </c>
      <c r="P83" s="278">
        <f t="shared" si="9"/>
        <v>4805.4274999999998</v>
      </c>
      <c r="S83" s="151"/>
      <c r="AB83" s="200"/>
    </row>
    <row r="84" spans="1:29" s="109" customFormat="1" ht="24" x14ac:dyDescent="0.2">
      <c r="A84" s="97"/>
      <c r="B84" s="116"/>
      <c r="C84" s="123" t="s">
        <v>253</v>
      </c>
      <c r="D84" s="123" t="s">
        <v>127</v>
      </c>
      <c r="E84" s="124" t="s">
        <v>581</v>
      </c>
      <c r="F84" s="125" t="s">
        <v>582</v>
      </c>
      <c r="G84" s="126" t="s">
        <v>138</v>
      </c>
      <c r="H84" s="127">
        <v>16</v>
      </c>
      <c r="I84" s="128">
        <v>136.78</v>
      </c>
      <c r="J84" s="128">
        <v>2188.48</v>
      </c>
      <c r="K84" s="85">
        <v>0</v>
      </c>
      <c r="L84" s="86">
        <f t="shared" si="5"/>
        <v>136.78</v>
      </c>
      <c r="M84" s="277">
        <f t="shared" si="6"/>
        <v>0</v>
      </c>
      <c r="N84" s="87">
        <f t="shared" si="7"/>
        <v>16</v>
      </c>
      <c r="O84" s="88">
        <f t="shared" si="8"/>
        <v>136.78</v>
      </c>
      <c r="P84" s="278">
        <f t="shared" si="9"/>
        <v>2188.48</v>
      </c>
      <c r="S84" s="151"/>
      <c r="AB84" s="200"/>
    </row>
    <row r="85" spans="1:29" s="109" customFormat="1" ht="48" x14ac:dyDescent="0.2">
      <c r="A85" s="97"/>
      <c r="B85" s="116"/>
      <c r="C85" s="117" t="s">
        <v>256</v>
      </c>
      <c r="D85" s="117" t="s">
        <v>69</v>
      </c>
      <c r="E85" s="118" t="s">
        <v>270</v>
      </c>
      <c r="F85" s="119" t="s">
        <v>271</v>
      </c>
      <c r="G85" s="120" t="s">
        <v>61</v>
      </c>
      <c r="H85" s="121">
        <v>9.9</v>
      </c>
      <c r="I85" s="122">
        <v>87.65</v>
      </c>
      <c r="J85" s="122">
        <v>867.74</v>
      </c>
      <c r="K85" s="85">
        <v>0</v>
      </c>
      <c r="L85" s="86">
        <f t="shared" si="5"/>
        <v>87.65</v>
      </c>
      <c r="M85" s="277">
        <f t="shared" si="6"/>
        <v>0</v>
      </c>
      <c r="N85" s="87">
        <f t="shared" si="7"/>
        <v>9.9</v>
      </c>
      <c r="O85" s="88">
        <f t="shared" si="8"/>
        <v>87.65</v>
      </c>
      <c r="P85" s="278">
        <f t="shared" si="9"/>
        <v>867.73500000000013</v>
      </c>
      <c r="S85" s="151"/>
      <c r="AB85" s="200"/>
    </row>
    <row r="86" spans="1:29" s="109" customFormat="1" ht="36" x14ac:dyDescent="0.2">
      <c r="A86" s="97"/>
      <c r="B86" s="116"/>
      <c r="C86" s="117" t="s">
        <v>259</v>
      </c>
      <c r="D86" s="117" t="s">
        <v>69</v>
      </c>
      <c r="E86" s="118" t="s">
        <v>273</v>
      </c>
      <c r="F86" s="119" t="s">
        <v>274</v>
      </c>
      <c r="G86" s="120" t="s">
        <v>61</v>
      </c>
      <c r="H86" s="121">
        <v>9.9</v>
      </c>
      <c r="I86" s="122">
        <v>32.22</v>
      </c>
      <c r="J86" s="122">
        <v>318.98</v>
      </c>
      <c r="K86" s="85">
        <v>0</v>
      </c>
      <c r="L86" s="86">
        <f t="shared" si="5"/>
        <v>32.22</v>
      </c>
      <c r="M86" s="277">
        <f t="shared" si="6"/>
        <v>0</v>
      </c>
      <c r="N86" s="87">
        <f t="shared" si="7"/>
        <v>9.9</v>
      </c>
      <c r="O86" s="88">
        <f t="shared" si="8"/>
        <v>32.22</v>
      </c>
      <c r="P86" s="278">
        <f t="shared" si="9"/>
        <v>318.97800000000001</v>
      </c>
      <c r="S86" s="151"/>
      <c r="AB86" s="200"/>
    </row>
    <row r="87" spans="1:29" s="109" customFormat="1" ht="24" x14ac:dyDescent="0.2">
      <c r="A87" s="97"/>
      <c r="B87" s="116"/>
      <c r="C87" s="117" t="s">
        <v>262</v>
      </c>
      <c r="D87" s="117" t="s">
        <v>69</v>
      </c>
      <c r="E87" s="118" t="s">
        <v>276</v>
      </c>
      <c r="F87" s="119" t="s">
        <v>277</v>
      </c>
      <c r="G87" s="120" t="s">
        <v>61</v>
      </c>
      <c r="H87" s="121">
        <v>9.9</v>
      </c>
      <c r="I87" s="122">
        <v>55.24</v>
      </c>
      <c r="J87" s="122">
        <v>546.88</v>
      </c>
      <c r="K87" s="85">
        <v>0</v>
      </c>
      <c r="L87" s="86">
        <f t="shared" si="5"/>
        <v>55.24</v>
      </c>
      <c r="M87" s="277">
        <f t="shared" si="6"/>
        <v>0</v>
      </c>
      <c r="N87" s="87">
        <f t="shared" si="7"/>
        <v>9.9</v>
      </c>
      <c r="O87" s="88">
        <f t="shared" si="8"/>
        <v>55.24</v>
      </c>
      <c r="P87" s="278">
        <f t="shared" si="9"/>
        <v>546.87600000000009</v>
      </c>
      <c r="S87" s="151"/>
      <c r="AB87" s="200"/>
    </row>
    <row r="88" spans="1:29" s="109" customFormat="1" ht="36" x14ac:dyDescent="0.2">
      <c r="A88" s="97"/>
      <c r="B88" s="116"/>
      <c r="C88" s="117" t="s">
        <v>265</v>
      </c>
      <c r="D88" s="117" t="s">
        <v>69</v>
      </c>
      <c r="E88" s="118" t="s">
        <v>583</v>
      </c>
      <c r="F88" s="119" t="s">
        <v>584</v>
      </c>
      <c r="G88" s="120" t="s">
        <v>61</v>
      </c>
      <c r="H88" s="121">
        <v>9</v>
      </c>
      <c r="I88" s="122">
        <v>460.33</v>
      </c>
      <c r="J88" s="122">
        <v>4142.97</v>
      </c>
      <c r="K88" s="85">
        <v>0</v>
      </c>
      <c r="L88" s="86">
        <f t="shared" si="5"/>
        <v>460.33</v>
      </c>
      <c r="M88" s="277">
        <f t="shared" si="6"/>
        <v>0</v>
      </c>
      <c r="N88" s="87">
        <f t="shared" si="7"/>
        <v>9</v>
      </c>
      <c r="O88" s="88">
        <f t="shared" si="8"/>
        <v>460.33</v>
      </c>
      <c r="P88" s="278">
        <f t="shared" si="9"/>
        <v>4142.97</v>
      </c>
      <c r="S88" s="151"/>
      <c r="AB88" s="200"/>
    </row>
    <row r="89" spans="1:29" s="110" customFormat="1" ht="12.75" x14ac:dyDescent="0.2">
      <c r="C89" s="245"/>
      <c r="D89" s="246" t="s">
        <v>3</v>
      </c>
      <c r="E89" s="247" t="s">
        <v>291</v>
      </c>
      <c r="F89" s="247" t="s">
        <v>292</v>
      </c>
      <c r="G89" s="245"/>
      <c r="H89" s="245"/>
      <c r="I89" s="245"/>
      <c r="J89" s="248">
        <v>4020.49</v>
      </c>
      <c r="K89" s="243"/>
      <c r="L89" s="244"/>
      <c r="M89" s="279">
        <f>M90</f>
        <v>0</v>
      </c>
      <c r="N89" s="280"/>
      <c r="O89" s="244"/>
      <c r="P89" s="279">
        <f>P90</f>
        <v>4020.4899599999999</v>
      </c>
      <c r="S89" s="153"/>
      <c r="AB89" s="200"/>
    </row>
    <row r="90" spans="1:29" s="109" customFormat="1" ht="60" x14ac:dyDescent="0.2">
      <c r="A90" s="97"/>
      <c r="B90" s="116"/>
      <c r="C90" s="117" t="s">
        <v>269</v>
      </c>
      <c r="D90" s="117" t="s">
        <v>69</v>
      </c>
      <c r="E90" s="118" t="s">
        <v>585</v>
      </c>
      <c r="F90" s="119" t="s">
        <v>586</v>
      </c>
      <c r="G90" s="120" t="s">
        <v>120</v>
      </c>
      <c r="H90" s="121">
        <v>35.137999999999998</v>
      </c>
      <c r="I90" s="122">
        <v>114.42</v>
      </c>
      <c r="J90" s="122">
        <v>4020.49</v>
      </c>
      <c r="K90" s="85">
        <v>0</v>
      </c>
      <c r="L90" s="86">
        <f t="shared" si="5"/>
        <v>114.42</v>
      </c>
      <c r="M90" s="277">
        <f t="shared" si="6"/>
        <v>0</v>
      </c>
      <c r="N90" s="87">
        <f t="shared" si="7"/>
        <v>35.137999999999998</v>
      </c>
      <c r="O90" s="88">
        <f t="shared" si="8"/>
        <v>114.42</v>
      </c>
      <c r="P90" s="278">
        <f t="shared" si="9"/>
        <v>4020.4899599999999</v>
      </c>
      <c r="S90" s="151"/>
      <c r="AB90" s="200"/>
    </row>
    <row r="91" spans="1:29" s="110" customFormat="1" ht="15" x14ac:dyDescent="0.2">
      <c r="C91" s="245"/>
      <c r="D91" s="246" t="s">
        <v>3</v>
      </c>
      <c r="E91" s="293" t="s">
        <v>587</v>
      </c>
      <c r="F91" s="293" t="s">
        <v>588</v>
      </c>
      <c r="G91" s="245"/>
      <c r="H91" s="245"/>
      <c r="I91" s="245"/>
      <c r="J91" s="294">
        <v>23724.92</v>
      </c>
      <c r="K91" s="243"/>
      <c r="L91" s="244"/>
      <c r="M91" s="279">
        <f>M92+M97+M100</f>
        <v>0</v>
      </c>
      <c r="N91" s="280"/>
      <c r="O91" s="244"/>
      <c r="P91" s="279">
        <f>P92+P97+P100</f>
        <v>23724.915099999998</v>
      </c>
      <c r="S91" s="153"/>
      <c r="AB91" s="200"/>
    </row>
    <row r="92" spans="1:29" s="110" customFormat="1" ht="12.75" x14ac:dyDescent="0.2">
      <c r="C92" s="245"/>
      <c r="D92" s="246" t="s">
        <v>3</v>
      </c>
      <c r="E92" s="247" t="s">
        <v>589</v>
      </c>
      <c r="F92" s="247" t="s">
        <v>590</v>
      </c>
      <c r="G92" s="245"/>
      <c r="H92" s="245"/>
      <c r="I92" s="245"/>
      <c r="J92" s="248">
        <v>4676.1399999999994</v>
      </c>
      <c r="K92" s="243"/>
      <c r="L92" s="244"/>
      <c r="M92" s="279">
        <f>SUM(M93:M96)</f>
        <v>0</v>
      </c>
      <c r="N92" s="280"/>
      <c r="O92" s="244"/>
      <c r="P92" s="279">
        <f>SUM(P93:P96)</f>
        <v>4676.1428799999994</v>
      </c>
      <c r="S92" s="153"/>
      <c r="AB92" s="200"/>
    </row>
    <row r="93" spans="1:29" s="109" customFormat="1" ht="24" x14ac:dyDescent="0.2">
      <c r="A93" s="97"/>
      <c r="B93" s="116"/>
      <c r="C93" s="117" t="s">
        <v>272</v>
      </c>
      <c r="D93" s="117" t="s">
        <v>69</v>
      </c>
      <c r="E93" s="118" t="s">
        <v>591</v>
      </c>
      <c r="F93" s="119" t="s">
        <v>592</v>
      </c>
      <c r="G93" s="120" t="s">
        <v>72</v>
      </c>
      <c r="H93" s="121">
        <v>2.58</v>
      </c>
      <c r="I93" s="122">
        <v>144.66999999999999</v>
      </c>
      <c r="J93" s="122">
        <v>373.25</v>
      </c>
      <c r="K93" s="85">
        <v>0</v>
      </c>
      <c r="L93" s="86">
        <f t="shared" si="5"/>
        <v>144.66999999999999</v>
      </c>
      <c r="M93" s="277">
        <f t="shared" si="6"/>
        <v>0</v>
      </c>
      <c r="N93" s="87">
        <f t="shared" si="7"/>
        <v>2.58</v>
      </c>
      <c r="O93" s="88">
        <f t="shared" si="8"/>
        <v>144.66999999999999</v>
      </c>
      <c r="P93" s="278">
        <f t="shared" si="9"/>
        <v>373.24859999999995</v>
      </c>
      <c r="S93" s="151"/>
      <c r="AB93" s="204" t="s">
        <v>1225</v>
      </c>
      <c r="AC93" s="335" t="s">
        <v>1008</v>
      </c>
    </row>
    <row r="94" spans="1:29" s="109" customFormat="1" ht="24" x14ac:dyDescent="0.2">
      <c r="A94" s="97"/>
      <c r="B94" s="116"/>
      <c r="C94" s="117" t="s">
        <v>275</v>
      </c>
      <c r="D94" s="117" t="s">
        <v>69</v>
      </c>
      <c r="E94" s="118" t="s">
        <v>593</v>
      </c>
      <c r="F94" s="119" t="s">
        <v>594</v>
      </c>
      <c r="G94" s="120" t="s">
        <v>72</v>
      </c>
      <c r="H94" s="121">
        <v>9.8559999999999999</v>
      </c>
      <c r="I94" s="122">
        <v>157.83000000000001</v>
      </c>
      <c r="J94" s="122">
        <v>1555.57</v>
      </c>
      <c r="K94" s="85">
        <v>0</v>
      </c>
      <c r="L94" s="86">
        <f t="shared" si="5"/>
        <v>157.83000000000001</v>
      </c>
      <c r="M94" s="277">
        <f t="shared" si="6"/>
        <v>0</v>
      </c>
      <c r="N94" s="87">
        <f t="shared" si="7"/>
        <v>9.8559999999999999</v>
      </c>
      <c r="O94" s="88">
        <f t="shared" si="8"/>
        <v>157.83000000000001</v>
      </c>
      <c r="P94" s="278">
        <f t="shared" si="9"/>
        <v>1555.57248</v>
      </c>
      <c r="S94" s="151"/>
      <c r="AB94" s="203" t="s">
        <v>1105</v>
      </c>
      <c r="AC94" s="335"/>
    </row>
    <row r="95" spans="1:29" s="109" customFormat="1" ht="24" x14ac:dyDescent="0.2">
      <c r="A95" s="97"/>
      <c r="B95" s="116"/>
      <c r="C95" s="123" t="s">
        <v>278</v>
      </c>
      <c r="D95" s="123" t="s">
        <v>127</v>
      </c>
      <c r="E95" s="124" t="s">
        <v>595</v>
      </c>
      <c r="F95" s="125" t="s">
        <v>596</v>
      </c>
      <c r="G95" s="126" t="s">
        <v>72</v>
      </c>
      <c r="H95" s="127">
        <v>13.68</v>
      </c>
      <c r="I95" s="128">
        <v>190.71</v>
      </c>
      <c r="J95" s="128">
        <v>2608.91</v>
      </c>
      <c r="K95" s="85">
        <v>0</v>
      </c>
      <c r="L95" s="86">
        <f t="shared" si="5"/>
        <v>190.71</v>
      </c>
      <c r="M95" s="277">
        <f t="shared" si="6"/>
        <v>0</v>
      </c>
      <c r="N95" s="87">
        <f t="shared" si="7"/>
        <v>13.68</v>
      </c>
      <c r="O95" s="88">
        <f t="shared" si="8"/>
        <v>190.71</v>
      </c>
      <c r="P95" s="278">
        <f t="shared" si="9"/>
        <v>2608.9128000000001</v>
      </c>
      <c r="S95" s="151"/>
      <c r="AB95" s="203" t="s">
        <v>1224</v>
      </c>
      <c r="AC95" s="335"/>
    </row>
    <row r="96" spans="1:29" s="109" customFormat="1" ht="48" x14ac:dyDescent="0.2">
      <c r="A96" s="97"/>
      <c r="B96" s="116"/>
      <c r="C96" s="117" t="s">
        <v>283</v>
      </c>
      <c r="D96" s="117" t="s">
        <v>69</v>
      </c>
      <c r="E96" s="118" t="s">
        <v>597</v>
      </c>
      <c r="F96" s="119" t="s">
        <v>598</v>
      </c>
      <c r="G96" s="120" t="s">
        <v>599</v>
      </c>
      <c r="H96" s="121">
        <v>3.05</v>
      </c>
      <c r="I96" s="122">
        <v>45.38</v>
      </c>
      <c r="J96" s="122">
        <v>138.41</v>
      </c>
      <c r="K96" s="85">
        <v>0</v>
      </c>
      <c r="L96" s="86">
        <f t="shared" si="5"/>
        <v>45.38</v>
      </c>
      <c r="M96" s="277">
        <f t="shared" si="6"/>
        <v>0</v>
      </c>
      <c r="N96" s="87">
        <f t="shared" si="7"/>
        <v>3.05</v>
      </c>
      <c r="O96" s="88">
        <f t="shared" si="8"/>
        <v>45.38</v>
      </c>
      <c r="P96" s="278">
        <f t="shared" si="9"/>
        <v>138.40899999999999</v>
      </c>
      <c r="S96" s="151"/>
      <c r="AB96" s="200"/>
    </row>
    <row r="97" spans="1:28" s="110" customFormat="1" ht="12.75" x14ac:dyDescent="0.2">
      <c r="C97" s="245"/>
      <c r="D97" s="246" t="s">
        <v>3</v>
      </c>
      <c r="E97" s="247" t="s">
        <v>600</v>
      </c>
      <c r="F97" s="247" t="s">
        <v>601</v>
      </c>
      <c r="G97" s="245"/>
      <c r="H97" s="245"/>
      <c r="I97" s="245"/>
      <c r="J97" s="248">
        <v>4581.37</v>
      </c>
      <c r="K97" s="243"/>
      <c r="L97" s="244"/>
      <c r="M97" s="279">
        <f>SUM(M98:M99)</f>
        <v>0</v>
      </c>
      <c r="N97" s="280"/>
      <c r="O97" s="244"/>
      <c r="P97" s="279">
        <f>SUM(P98:P99)</f>
        <v>4581.36222</v>
      </c>
      <c r="S97" s="153"/>
      <c r="AB97" s="200"/>
    </row>
    <row r="98" spans="1:28" s="109" customFormat="1" ht="72" x14ac:dyDescent="0.2">
      <c r="A98" s="97"/>
      <c r="B98" s="116"/>
      <c r="C98" s="117" t="s">
        <v>286</v>
      </c>
      <c r="D98" s="117" t="s">
        <v>69</v>
      </c>
      <c r="E98" s="118" t="s">
        <v>602</v>
      </c>
      <c r="F98" s="119" t="s">
        <v>603</v>
      </c>
      <c r="G98" s="120" t="s">
        <v>72</v>
      </c>
      <c r="H98" s="121">
        <v>4.524</v>
      </c>
      <c r="I98" s="122">
        <v>610.26</v>
      </c>
      <c r="J98" s="122">
        <v>2760.82</v>
      </c>
      <c r="K98" s="85">
        <v>0</v>
      </c>
      <c r="L98" s="86">
        <f t="shared" si="5"/>
        <v>610.26</v>
      </c>
      <c r="M98" s="277">
        <f t="shared" si="6"/>
        <v>0</v>
      </c>
      <c r="N98" s="87">
        <f t="shared" si="7"/>
        <v>4.524</v>
      </c>
      <c r="O98" s="88">
        <f t="shared" si="8"/>
        <v>610.26</v>
      </c>
      <c r="P98" s="278">
        <f t="shared" si="9"/>
        <v>2760.8162400000001</v>
      </c>
      <c r="S98" s="151"/>
      <c r="AB98" s="200"/>
    </row>
    <row r="99" spans="1:28" s="109" customFormat="1" ht="24" x14ac:dyDescent="0.2">
      <c r="A99" s="97"/>
      <c r="B99" s="116"/>
      <c r="C99" s="123" t="s">
        <v>289</v>
      </c>
      <c r="D99" s="123" t="s">
        <v>127</v>
      </c>
      <c r="E99" s="124" t="s">
        <v>604</v>
      </c>
      <c r="F99" s="125" t="s">
        <v>605</v>
      </c>
      <c r="G99" s="126" t="s">
        <v>72</v>
      </c>
      <c r="H99" s="127">
        <v>4.6139999999999999</v>
      </c>
      <c r="I99" s="128">
        <v>394.57</v>
      </c>
      <c r="J99" s="128">
        <v>1820.55</v>
      </c>
      <c r="K99" s="85">
        <v>0</v>
      </c>
      <c r="L99" s="86">
        <f t="shared" si="5"/>
        <v>394.57</v>
      </c>
      <c r="M99" s="277">
        <f t="shared" si="6"/>
        <v>0</v>
      </c>
      <c r="N99" s="87">
        <f t="shared" si="7"/>
        <v>4.6139999999999999</v>
      </c>
      <c r="O99" s="88">
        <f t="shared" si="8"/>
        <v>394.57</v>
      </c>
      <c r="P99" s="278">
        <f t="shared" si="9"/>
        <v>1820.5459799999999</v>
      </c>
      <c r="S99" s="151"/>
      <c r="AB99" s="200"/>
    </row>
    <row r="100" spans="1:28" s="110" customFormat="1" ht="12.75" x14ac:dyDescent="0.2">
      <c r="C100" s="245"/>
      <c r="D100" s="246" t="s">
        <v>3</v>
      </c>
      <c r="E100" s="247" t="s">
        <v>606</v>
      </c>
      <c r="F100" s="247" t="s">
        <v>607</v>
      </c>
      <c r="G100" s="245"/>
      <c r="H100" s="245"/>
      <c r="I100" s="245"/>
      <c r="J100" s="248">
        <v>14467.41</v>
      </c>
      <c r="K100" s="243"/>
      <c r="L100" s="244"/>
      <c r="M100" s="279">
        <f>SUM(M101:M102)</f>
        <v>0</v>
      </c>
      <c r="N100" s="280"/>
      <c r="O100" s="244"/>
      <c r="P100" s="279">
        <f>SUM(P101:P102)</f>
        <v>14467.41</v>
      </c>
      <c r="S100" s="153"/>
      <c r="AB100" s="200"/>
    </row>
    <row r="101" spans="1:28" s="109" customFormat="1" ht="24" x14ac:dyDescent="0.2">
      <c r="A101" s="97"/>
      <c r="B101" s="116"/>
      <c r="C101" s="117" t="s">
        <v>293</v>
      </c>
      <c r="D101" s="117" t="s">
        <v>69</v>
      </c>
      <c r="E101" s="118" t="s">
        <v>608</v>
      </c>
      <c r="F101" s="119" t="s">
        <v>609</v>
      </c>
      <c r="G101" s="120" t="s">
        <v>138</v>
      </c>
      <c r="H101" s="121">
        <v>0</v>
      </c>
      <c r="I101" s="122">
        <v>657.61</v>
      </c>
      <c r="J101" s="122">
        <v>0</v>
      </c>
      <c r="K101" s="85">
        <v>0</v>
      </c>
      <c r="L101" s="86">
        <f t="shared" si="5"/>
        <v>657.61</v>
      </c>
      <c r="M101" s="277">
        <f t="shared" si="6"/>
        <v>0</v>
      </c>
      <c r="N101" s="87">
        <f t="shared" si="7"/>
        <v>0</v>
      </c>
      <c r="O101" s="88">
        <f t="shared" si="8"/>
        <v>657.61</v>
      </c>
      <c r="P101" s="278">
        <f t="shared" si="9"/>
        <v>0</v>
      </c>
      <c r="S101" s="151"/>
      <c r="AB101" s="200"/>
    </row>
    <row r="102" spans="1:28" s="109" customFormat="1" ht="24" x14ac:dyDescent="0.2">
      <c r="A102" s="97"/>
      <c r="B102" s="116"/>
      <c r="C102" s="123" t="s">
        <v>342</v>
      </c>
      <c r="D102" s="123" t="s">
        <v>127</v>
      </c>
      <c r="E102" s="124" t="s">
        <v>610</v>
      </c>
      <c r="F102" s="125" t="s">
        <v>611</v>
      </c>
      <c r="G102" s="126" t="s">
        <v>138</v>
      </c>
      <c r="H102" s="127">
        <v>1</v>
      </c>
      <c r="I102" s="128">
        <v>14467.41</v>
      </c>
      <c r="J102" s="128">
        <v>14467.41</v>
      </c>
      <c r="K102" s="85">
        <v>0</v>
      </c>
      <c r="L102" s="86">
        <f t="shared" si="5"/>
        <v>14467.41</v>
      </c>
      <c r="M102" s="277">
        <f t="shared" si="6"/>
        <v>0</v>
      </c>
      <c r="N102" s="87">
        <f t="shared" si="7"/>
        <v>1</v>
      </c>
      <c r="O102" s="88">
        <f t="shared" si="8"/>
        <v>14467.41</v>
      </c>
      <c r="P102" s="278">
        <f t="shared" si="9"/>
        <v>14467.41</v>
      </c>
      <c r="S102" s="151"/>
      <c r="AB102" s="200"/>
    </row>
    <row r="103" spans="1:28" s="109" customFormat="1" x14ac:dyDescent="0.2">
      <c r="A103" s="97"/>
      <c r="B103" s="97"/>
      <c r="C103" s="97"/>
      <c r="D103" s="97"/>
      <c r="E103" s="97"/>
      <c r="F103" s="97"/>
      <c r="G103" s="97"/>
      <c r="H103" s="97"/>
      <c r="I103" s="97"/>
      <c r="J103" s="97"/>
      <c r="S103" s="151"/>
    </row>
    <row r="104" spans="1:28" ht="12.75" x14ac:dyDescent="0.2">
      <c r="D104" s="89"/>
      <c r="E104" s="141" t="str">
        <f>CONCATENATE("CELKEM ",C$12)</f>
        <v>CELKEM 01 - SO 03.A - ČSOV 2 - stavební část</v>
      </c>
      <c r="F104" s="90"/>
      <c r="G104" s="90"/>
      <c r="H104" s="91"/>
      <c r="I104" s="90"/>
      <c r="J104" s="92">
        <v>1306541.56</v>
      </c>
      <c r="K104" s="94"/>
      <c r="L104" s="92"/>
      <c r="M104" s="147">
        <f>M91+M89+M82+M75+M73+M63+M58+M43+M34+M14</f>
        <v>0</v>
      </c>
      <c r="N104" s="147"/>
      <c r="O104" s="147"/>
      <c r="P104" s="147">
        <f t="shared" ref="P104" si="10">P91+P89+P82+P75+P73+P63+P58+P43+P34+P14</f>
        <v>1306541.5173499999</v>
      </c>
      <c r="S104" s="171"/>
    </row>
    <row r="105" spans="1:28" x14ac:dyDescent="0.2">
      <c r="I105" s="95"/>
      <c r="S105" s="171"/>
    </row>
    <row r="106" spans="1:28" ht="14.25" x14ac:dyDescent="0.2">
      <c r="E106" s="58" t="s">
        <v>994</v>
      </c>
      <c r="F106" s="58"/>
      <c r="H106" s="96"/>
      <c r="J106" s="161"/>
      <c r="K106" s="58" t="s">
        <v>995</v>
      </c>
      <c r="S106" s="171"/>
    </row>
  </sheetData>
  <protectedRanges>
    <protectedRange password="CCAA" sqref="K8" name="Oblast1_1_1_1_1_1"/>
    <protectedRange password="CCAA" sqref="D9:H10" name="Oblast1_2_1_1_1_1"/>
  </protectedRanges>
  <autoFilter ref="C10:P102" xr:uid="{00000000-0001-0000-1B00-000000000000}"/>
  <mergeCells count="5">
    <mergeCell ref="K9:M9"/>
    <mergeCell ref="N9:P9"/>
    <mergeCell ref="AC93:AC95"/>
    <mergeCell ref="X12:X13"/>
    <mergeCell ref="S59:S62"/>
  </mergeCells>
  <conditionalFormatting sqref="D3:E7 H3:J7 K8:GF8 Q9:GF9 R10 T10:GF10 D1:J2 K1:GE7 K15:L102">
    <cfRule type="cellIs" dxfId="87" priority="87" operator="lessThan">
      <formula>0</formula>
    </cfRule>
  </conditionalFormatting>
  <conditionalFormatting sqref="G4">
    <cfRule type="cellIs" dxfId="86" priority="86" operator="lessThan">
      <formula>0</formula>
    </cfRule>
  </conditionalFormatting>
  <conditionalFormatting sqref="G3">
    <cfRule type="cellIs" dxfId="85" priority="85" operator="lessThan">
      <formula>0</formula>
    </cfRule>
  </conditionalFormatting>
  <conditionalFormatting sqref="D8:E8 H8:J8">
    <cfRule type="cellIs" dxfId="84" priority="84" operator="lessThan">
      <formula>0</formula>
    </cfRule>
  </conditionalFormatting>
  <conditionalFormatting sqref="N15:O102">
    <cfRule type="cellIs" dxfId="83" priority="35" operator="lessThan">
      <formula>0</formula>
    </cfRule>
  </conditionalFormatting>
  <conditionalFormatting sqref="N15:O102">
    <cfRule type="cellIs" dxfId="82" priority="34" operator="lessThan">
      <formula>0</formula>
    </cfRule>
  </conditionalFormatting>
  <conditionalFormatting sqref="K104 Q104:GP104">
    <cfRule type="cellIs" dxfId="81" priority="33" operator="lessThan">
      <formula>0</formula>
    </cfRule>
  </conditionalFormatting>
  <conditionalFormatting sqref="D104:J104">
    <cfRule type="cellIs" dxfId="80" priority="31" operator="lessThan">
      <formula>0</formula>
    </cfRule>
  </conditionalFormatting>
  <conditionalFormatting sqref="L106:HS106 D106 G106:I106">
    <cfRule type="cellIs" dxfId="79" priority="21" operator="lessThan">
      <formula>0</formula>
    </cfRule>
  </conditionalFormatting>
  <conditionalFormatting sqref="G106:I106 L106:M106">
    <cfRule type="cellIs" dxfId="78" priority="20" operator="lessThan">
      <formula>0</formula>
    </cfRule>
  </conditionalFormatting>
  <conditionalFormatting sqref="G106:I106">
    <cfRule type="cellIs" dxfId="77" priority="19" operator="lessThan">
      <formula>0</formula>
    </cfRule>
  </conditionalFormatting>
  <conditionalFormatting sqref="G106:I106">
    <cfRule type="cellIs" dxfId="76" priority="18" operator="lessThan">
      <formula>0</formula>
    </cfRule>
  </conditionalFormatting>
  <conditionalFormatting sqref="M104:P104">
    <cfRule type="cellIs" dxfId="75" priority="8" operator="lessThan">
      <formula>0</formula>
    </cfRule>
  </conditionalFormatting>
  <conditionalFormatting sqref="L104">
    <cfRule type="cellIs" dxfId="74" priority="6" operator="lessThan">
      <formula>0</formula>
    </cfRule>
  </conditionalFormatting>
  <conditionalFormatting sqref="Q10">
    <cfRule type="cellIs" dxfId="73" priority="5" operator="lessThan">
      <formula>0</formula>
    </cfRule>
  </conditionalFormatting>
  <conditionalFormatting sqref="S10">
    <cfRule type="cellIs" dxfId="72" priority="4" operator="lessThan">
      <formula>0</formula>
    </cfRule>
  </conditionalFormatting>
  <conditionalFormatting sqref="D9:J10">
    <cfRule type="cellIs" dxfId="71" priority="3" operator="lessThan">
      <formula>0</formula>
    </cfRule>
  </conditionalFormatting>
  <conditionalFormatting sqref="K9:L10 N9:O9">
    <cfRule type="cellIs" dxfId="70" priority="2" operator="lessThan">
      <formula>0</formula>
    </cfRule>
  </conditionalFormatting>
  <conditionalFormatting sqref="M10:P10">
    <cfRule type="cellIs" dxfId="69" priority="1" operator="lessThan">
      <formula>0</formula>
    </cfRule>
  </conditionalFormatting>
  <pageMargins left="0.39370078740157483" right="0.39370078740157483" top="0.39370078740157483" bottom="0.39370078740157483" header="0" footer="0"/>
  <pageSetup paperSize="9" scale="53" fitToHeight="0" orientation="portrait" r:id="rId1"/>
  <headerFooter>
    <oddFooter>&amp;CStrana &amp;P z &amp;N</oddFooter>
  </headerFooter>
  <drawing r:id="rId2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sheetPr>
    <pageSetUpPr fitToPage="1"/>
  </sheetPr>
  <dimension ref="A1:AD92"/>
  <sheetViews>
    <sheetView showGridLines="0" view="pageBreakPreview" topLeftCell="A78" zoomScale="85" zoomScaleNormal="100" zoomScaleSheetLayoutView="85" workbookViewId="0">
      <selection activeCell="J92" sqref="J92"/>
    </sheetView>
  </sheetViews>
  <sheetFormatPr defaultColWidth="9.33203125" defaultRowHeight="11.25" x14ac:dyDescent="0.2"/>
  <cols>
    <col min="1" max="1" width="8.33203125" style="60" customWidth="1"/>
    <col min="2" max="2" width="1.6640625" style="60" customWidth="1"/>
    <col min="3" max="3" width="4.1640625" style="60" customWidth="1"/>
    <col min="4" max="4" width="4.33203125" style="60" customWidth="1"/>
    <col min="5" max="5" width="17.1640625" style="60" customWidth="1"/>
    <col min="6" max="6" width="50.83203125" style="60" customWidth="1"/>
    <col min="7" max="7" width="7" style="60" customWidth="1"/>
    <col min="8" max="8" width="11.5" style="60" customWidth="1"/>
    <col min="9" max="10" width="20.1640625" style="60" customWidth="1"/>
    <col min="11" max="15" width="15.5" style="60" customWidth="1"/>
    <col min="16" max="16" width="18" style="60" customWidth="1"/>
    <col min="17" max="18" width="15.5" style="60" customWidth="1"/>
    <col min="19" max="19" width="19.5" style="60" bestFit="1" customWidth="1"/>
    <col min="20" max="20" width="37.1640625" style="60" bestFit="1" customWidth="1"/>
    <col min="21" max="21" width="33" style="60" bestFit="1" customWidth="1"/>
    <col min="22" max="22" width="3.83203125" style="60" bestFit="1" customWidth="1"/>
    <col min="23" max="23" width="24.33203125" style="60" bestFit="1" customWidth="1"/>
    <col min="24" max="24" width="9" style="60" bestFit="1" customWidth="1"/>
    <col min="25" max="25" width="20.5" style="60" bestFit="1" customWidth="1"/>
    <col min="26" max="26" width="8.5" style="60" bestFit="1" customWidth="1"/>
    <col min="27" max="27" width="0" style="60" hidden="1" customWidth="1"/>
    <col min="28" max="28" width="54.5" style="60" bestFit="1" customWidth="1"/>
    <col min="29" max="29" width="3.83203125" style="60" bestFit="1" customWidth="1"/>
    <col min="30" max="30" width="18.1640625" style="60" bestFit="1" customWidth="1"/>
    <col min="31" max="16384" width="9.33203125" style="60"/>
  </cols>
  <sheetData>
    <row r="1" spans="1:30" ht="18.95" customHeight="1" x14ac:dyDescent="0.2">
      <c r="F1" s="3"/>
      <c r="G1" s="4"/>
      <c r="H1" s="1"/>
      <c r="J1" s="61"/>
    </row>
    <row r="2" spans="1:30" s="1" customFormat="1" ht="18" customHeight="1" x14ac:dyDescent="0.2">
      <c r="E2" s="2"/>
      <c r="F2" s="3" t="s">
        <v>979</v>
      </c>
      <c r="G2" s="4" t="s">
        <v>1058</v>
      </c>
      <c r="I2" s="5"/>
      <c r="J2" s="63"/>
      <c r="K2" s="10"/>
      <c r="L2" s="11"/>
      <c r="M2" s="11"/>
      <c r="N2" s="64"/>
    </row>
    <row r="3" spans="1:30" s="1" customFormat="1" ht="18" customHeight="1" x14ac:dyDescent="0.2">
      <c r="E3" s="2"/>
      <c r="F3" s="3" t="s">
        <v>980</v>
      </c>
      <c r="G3" s="4" t="str">
        <f>+'Rekapitulace stavby'!D2</f>
        <v>ÚHERCE, výstavba kanalizace - UZNATELNÉ NÁKLADY - doměrky</v>
      </c>
      <c r="H3" s="2"/>
      <c r="I3" s="5"/>
      <c r="J3" s="63"/>
      <c r="K3" s="10"/>
      <c r="L3" s="11"/>
      <c r="M3" s="11"/>
      <c r="N3" s="64"/>
    </row>
    <row r="4" spans="1:30" s="2" customFormat="1" ht="18" customHeight="1" x14ac:dyDescent="0.2">
      <c r="F4" s="12" t="s">
        <v>981</v>
      </c>
      <c r="G4" s="13" t="str">
        <f>'[1]VRN 01'!G5</f>
        <v>VRI/SOD/2020/Ži</v>
      </c>
      <c r="I4" s="5"/>
      <c r="J4" s="65"/>
      <c r="K4" s="18"/>
      <c r="L4" s="19"/>
      <c r="M4" s="19"/>
      <c r="N4" s="66"/>
    </row>
    <row r="5" spans="1:30" s="2" customFormat="1" ht="18" customHeight="1" x14ac:dyDescent="0.2">
      <c r="F5" s="12" t="s">
        <v>983</v>
      </c>
      <c r="G5" s="13" t="s">
        <v>1001</v>
      </c>
      <c r="I5" s="5"/>
      <c r="J5" s="65"/>
      <c r="K5" s="18"/>
      <c r="L5" s="19"/>
      <c r="M5" s="19"/>
      <c r="N5" s="66"/>
    </row>
    <row r="6" spans="1:30" s="2" customFormat="1" ht="18" customHeight="1" x14ac:dyDescent="0.2">
      <c r="F6" s="3" t="s">
        <v>984</v>
      </c>
      <c r="G6" s="13" t="str">
        <f>'[1]VRN 01'!G7</f>
        <v>Vododvody a kanalizace Mladá Boleslav, a.s.</v>
      </c>
      <c r="I6" s="5"/>
      <c r="J6" s="65"/>
      <c r="K6" s="18"/>
      <c r="L6" s="19"/>
      <c r="M6" s="19"/>
      <c r="N6" s="66"/>
    </row>
    <row r="7" spans="1:30" s="2" customFormat="1" ht="18" customHeight="1" x14ac:dyDescent="0.2">
      <c r="F7" s="3" t="s">
        <v>986</v>
      </c>
      <c r="G7" s="20" t="str">
        <f>'[1]VRN 01'!G8</f>
        <v>VCES a.s.</v>
      </c>
      <c r="H7" s="67"/>
      <c r="I7" s="5"/>
      <c r="J7" s="65"/>
      <c r="K7" s="18"/>
      <c r="L7" s="19"/>
      <c r="M7" s="19"/>
      <c r="N7" s="66"/>
    </row>
    <row r="8" spans="1:30" s="68" customFormat="1" ht="18" customHeight="1" x14ac:dyDescent="0.2">
      <c r="D8" s="69"/>
      <c r="F8" s="3"/>
      <c r="G8" s="20"/>
      <c r="H8" s="67"/>
      <c r="K8" s="72" t="s">
        <v>996</v>
      </c>
      <c r="L8" s="73" t="str">
        <f>+C12</f>
        <v>02 - SO 03.B - Výtlačný řad 2 - d110</v>
      </c>
      <c r="M8" s="73"/>
      <c r="O8" s="74"/>
    </row>
    <row r="9" spans="1:30" s="75" customFormat="1" ht="20.100000000000001" customHeight="1" x14ac:dyDescent="0.2">
      <c r="C9" s="76"/>
      <c r="D9" s="77"/>
      <c r="E9" s="77"/>
      <c r="F9" s="77"/>
      <c r="G9" s="77"/>
      <c r="H9" s="77"/>
      <c r="I9" s="78"/>
      <c r="J9" s="79"/>
      <c r="K9" s="332" t="s">
        <v>1266</v>
      </c>
      <c r="L9" s="332"/>
      <c r="M9" s="332"/>
      <c r="N9" s="339" t="s">
        <v>1267</v>
      </c>
      <c r="O9" s="339"/>
      <c r="P9" s="340"/>
    </row>
    <row r="10" spans="1:30" s="75" customFormat="1" ht="24" customHeight="1" x14ac:dyDescent="0.2">
      <c r="C10" s="80"/>
      <c r="D10" s="81" t="s">
        <v>997</v>
      </c>
      <c r="E10" s="81" t="s">
        <v>976</v>
      </c>
      <c r="F10" s="81" t="s">
        <v>977</v>
      </c>
      <c r="G10" s="81" t="s">
        <v>64</v>
      </c>
      <c r="H10" s="82" t="s">
        <v>65</v>
      </c>
      <c r="I10" s="83" t="s">
        <v>998</v>
      </c>
      <c r="J10" s="84" t="s">
        <v>978</v>
      </c>
      <c r="K10" s="218" t="s">
        <v>999</v>
      </c>
      <c r="L10" s="219" t="s">
        <v>1260</v>
      </c>
      <c r="M10" s="220" t="s">
        <v>978</v>
      </c>
      <c r="N10" s="263" t="s">
        <v>1264</v>
      </c>
      <c r="O10" s="264" t="s">
        <v>1260</v>
      </c>
      <c r="P10" s="265" t="s">
        <v>978</v>
      </c>
      <c r="Q10" s="157" t="s">
        <v>1012</v>
      </c>
      <c r="R10" s="157" t="s">
        <v>1019</v>
      </c>
      <c r="W10" s="157" t="s">
        <v>1083</v>
      </c>
      <c r="Y10" s="157" t="s">
        <v>1132</v>
      </c>
      <c r="AB10" s="157" t="s">
        <v>1150</v>
      </c>
      <c r="AD10" s="157" t="s">
        <v>1186</v>
      </c>
    </row>
    <row r="12" spans="1:30" s="109" customFormat="1" ht="22.9" customHeight="1" x14ac:dyDescent="0.25">
      <c r="A12" s="97"/>
      <c r="B12" s="97"/>
      <c r="C12" s="98" t="s">
        <v>911</v>
      </c>
      <c r="D12" s="97"/>
      <c r="E12" s="97"/>
      <c r="F12" s="97"/>
      <c r="G12" s="97"/>
      <c r="H12" s="97"/>
      <c r="I12" s="97"/>
      <c r="J12" s="99">
        <v>1370956.3599999999</v>
      </c>
    </row>
    <row r="13" spans="1:30" s="110" customFormat="1" ht="25.9" customHeight="1" x14ac:dyDescent="0.2">
      <c r="D13" s="111" t="s">
        <v>3</v>
      </c>
      <c r="E13" s="112" t="s">
        <v>66</v>
      </c>
      <c r="F13" s="112" t="s">
        <v>67</v>
      </c>
      <c r="J13" s="113">
        <v>1370956.3599999999</v>
      </c>
    </row>
    <row r="14" spans="1:30" s="110" customFormat="1" ht="22.9" customHeight="1" x14ac:dyDescent="0.2">
      <c r="C14" s="252"/>
      <c r="D14" s="253" t="s">
        <v>3</v>
      </c>
      <c r="E14" s="254" t="s">
        <v>7</v>
      </c>
      <c r="F14" s="254" t="s">
        <v>68</v>
      </c>
      <c r="G14" s="252"/>
      <c r="H14" s="252"/>
      <c r="I14" s="252"/>
      <c r="J14" s="255">
        <v>745834.35</v>
      </c>
      <c r="K14" s="252"/>
      <c r="L14" s="252"/>
      <c r="M14" s="258">
        <f>SUM(M15:M42)</f>
        <v>-9357.2030999999988</v>
      </c>
      <c r="N14" s="252"/>
      <c r="O14" s="252"/>
      <c r="P14" s="258">
        <f>SUM(P15:P42)</f>
        <v>736477.16435999982</v>
      </c>
    </row>
    <row r="15" spans="1:30" s="109" customFormat="1" ht="55.5" customHeight="1" x14ac:dyDescent="0.2">
      <c r="A15" s="97"/>
      <c r="B15" s="116"/>
      <c r="C15" s="117" t="s">
        <v>7</v>
      </c>
      <c r="D15" s="117" t="s">
        <v>69</v>
      </c>
      <c r="E15" s="118" t="s">
        <v>77</v>
      </c>
      <c r="F15" s="119" t="s">
        <v>78</v>
      </c>
      <c r="G15" s="120" t="s">
        <v>72</v>
      </c>
      <c r="H15" s="121">
        <v>155.001</v>
      </c>
      <c r="I15" s="122">
        <v>21.04</v>
      </c>
      <c r="J15" s="122">
        <v>3261.22</v>
      </c>
      <c r="K15" s="85">
        <v>0</v>
      </c>
      <c r="L15" s="86">
        <f>I15</f>
        <v>21.04</v>
      </c>
      <c r="M15" s="277">
        <f>K15*L15</f>
        <v>0</v>
      </c>
      <c r="N15" s="87">
        <f>H15+K15</f>
        <v>155.001</v>
      </c>
      <c r="O15" s="88">
        <f>I15</f>
        <v>21.04</v>
      </c>
      <c r="P15" s="278">
        <f>N15*O15</f>
        <v>3261.2210399999999</v>
      </c>
    </row>
    <row r="16" spans="1:30" s="109" customFormat="1" ht="55.5" customHeight="1" x14ac:dyDescent="0.2">
      <c r="A16" s="97"/>
      <c r="B16" s="116"/>
      <c r="C16" s="117" t="s">
        <v>8</v>
      </c>
      <c r="D16" s="117" t="s">
        <v>69</v>
      </c>
      <c r="E16" s="118" t="s">
        <v>79</v>
      </c>
      <c r="F16" s="119" t="s">
        <v>80</v>
      </c>
      <c r="G16" s="120" t="s">
        <v>72</v>
      </c>
      <c r="H16" s="121">
        <v>124.27800000000001</v>
      </c>
      <c r="I16" s="122">
        <v>26.3</v>
      </c>
      <c r="J16" s="122">
        <v>3268.51</v>
      </c>
      <c r="K16" s="85">
        <v>0</v>
      </c>
      <c r="L16" s="86">
        <f t="shared" ref="L16:L79" si="0">I16</f>
        <v>26.3</v>
      </c>
      <c r="M16" s="277">
        <f t="shared" ref="M16:M79" si="1">K16*L16</f>
        <v>0</v>
      </c>
      <c r="N16" s="87">
        <f t="shared" ref="N16:N79" si="2">H16+K16</f>
        <v>124.27800000000001</v>
      </c>
      <c r="O16" s="88">
        <f t="shared" ref="O16:O79" si="3">I16</f>
        <v>26.3</v>
      </c>
      <c r="P16" s="278">
        <f t="shared" ref="P16:P79" si="4">N16*O16</f>
        <v>3268.5114000000003</v>
      </c>
    </row>
    <row r="17" spans="1:20" s="109" customFormat="1" ht="55.5" customHeight="1" x14ac:dyDescent="0.2">
      <c r="A17" s="97"/>
      <c r="B17" s="116"/>
      <c r="C17" s="117" t="s">
        <v>76</v>
      </c>
      <c r="D17" s="117" t="s">
        <v>69</v>
      </c>
      <c r="E17" s="118" t="s">
        <v>74</v>
      </c>
      <c r="F17" s="119" t="s">
        <v>75</v>
      </c>
      <c r="G17" s="120" t="s">
        <v>72</v>
      </c>
      <c r="H17" s="121">
        <v>112.72799999999999</v>
      </c>
      <c r="I17" s="122">
        <v>40.770000000000003</v>
      </c>
      <c r="J17" s="122">
        <v>4595.92</v>
      </c>
      <c r="K17" s="85">
        <v>0</v>
      </c>
      <c r="L17" s="86">
        <f t="shared" si="0"/>
        <v>40.770000000000003</v>
      </c>
      <c r="M17" s="277">
        <f t="shared" si="1"/>
        <v>0</v>
      </c>
      <c r="N17" s="87">
        <f t="shared" si="2"/>
        <v>112.72799999999999</v>
      </c>
      <c r="O17" s="88">
        <f t="shared" si="3"/>
        <v>40.770000000000003</v>
      </c>
      <c r="P17" s="278">
        <f t="shared" si="4"/>
        <v>4595.9205600000005</v>
      </c>
    </row>
    <row r="18" spans="1:20" s="109" customFormat="1" ht="55.5" customHeight="1" x14ac:dyDescent="0.2">
      <c r="A18" s="97"/>
      <c r="B18" s="116"/>
      <c r="C18" s="117" t="s">
        <v>73</v>
      </c>
      <c r="D18" s="117" t="s">
        <v>69</v>
      </c>
      <c r="E18" s="118" t="s">
        <v>314</v>
      </c>
      <c r="F18" s="119" t="s">
        <v>315</v>
      </c>
      <c r="G18" s="120" t="s">
        <v>72</v>
      </c>
      <c r="H18" s="121">
        <v>11.55</v>
      </c>
      <c r="I18" s="122">
        <v>519.33000000000004</v>
      </c>
      <c r="J18" s="122">
        <v>5998.26</v>
      </c>
      <c r="K18" s="85">
        <v>0</v>
      </c>
      <c r="L18" s="86">
        <f t="shared" si="0"/>
        <v>519.33000000000004</v>
      </c>
      <c r="M18" s="277">
        <f t="shared" si="1"/>
        <v>0</v>
      </c>
      <c r="N18" s="87">
        <f t="shared" si="2"/>
        <v>11.55</v>
      </c>
      <c r="O18" s="88">
        <f t="shared" si="3"/>
        <v>519.33000000000004</v>
      </c>
      <c r="P18" s="278">
        <f t="shared" si="4"/>
        <v>5998.2615000000005</v>
      </c>
    </row>
    <row r="19" spans="1:20" s="109" customFormat="1" ht="44.25" customHeight="1" x14ac:dyDescent="0.2">
      <c r="A19" s="97"/>
      <c r="B19" s="116"/>
      <c r="C19" s="117" t="s">
        <v>81</v>
      </c>
      <c r="D19" s="117" t="s">
        <v>69</v>
      </c>
      <c r="E19" s="118" t="s">
        <v>82</v>
      </c>
      <c r="F19" s="119" t="s">
        <v>83</v>
      </c>
      <c r="G19" s="120" t="s">
        <v>72</v>
      </c>
      <c r="H19" s="121">
        <v>112.72799999999999</v>
      </c>
      <c r="I19" s="122">
        <v>39.46</v>
      </c>
      <c r="J19" s="122">
        <v>4448.25</v>
      </c>
      <c r="K19" s="85">
        <v>0</v>
      </c>
      <c r="L19" s="86">
        <f t="shared" si="0"/>
        <v>39.46</v>
      </c>
      <c r="M19" s="277">
        <f t="shared" si="1"/>
        <v>0</v>
      </c>
      <c r="N19" s="87">
        <f t="shared" si="2"/>
        <v>112.72799999999999</v>
      </c>
      <c r="O19" s="88">
        <f t="shared" si="3"/>
        <v>39.46</v>
      </c>
      <c r="P19" s="278">
        <f t="shared" si="4"/>
        <v>4448.2468799999997</v>
      </c>
    </row>
    <row r="20" spans="1:20" s="109" customFormat="1" ht="44.25" customHeight="1" x14ac:dyDescent="0.2">
      <c r="A20" s="97"/>
      <c r="B20" s="116"/>
      <c r="C20" s="117" t="s">
        <v>84</v>
      </c>
      <c r="D20" s="117" t="s">
        <v>69</v>
      </c>
      <c r="E20" s="118" t="s">
        <v>316</v>
      </c>
      <c r="F20" s="119" t="s">
        <v>317</v>
      </c>
      <c r="G20" s="120" t="s">
        <v>72</v>
      </c>
      <c r="H20" s="121">
        <v>11.55</v>
      </c>
      <c r="I20" s="122">
        <v>77.599999999999994</v>
      </c>
      <c r="J20" s="122">
        <v>896.28</v>
      </c>
      <c r="K20" s="85">
        <v>0</v>
      </c>
      <c r="L20" s="86">
        <f t="shared" si="0"/>
        <v>77.599999999999994</v>
      </c>
      <c r="M20" s="277">
        <f t="shared" si="1"/>
        <v>0</v>
      </c>
      <c r="N20" s="87">
        <f t="shared" si="2"/>
        <v>11.55</v>
      </c>
      <c r="O20" s="88">
        <f t="shared" si="3"/>
        <v>77.599999999999994</v>
      </c>
      <c r="P20" s="278">
        <f t="shared" si="4"/>
        <v>896.28</v>
      </c>
    </row>
    <row r="21" spans="1:20" s="109" customFormat="1" ht="44.25" customHeight="1" x14ac:dyDescent="0.2">
      <c r="A21" s="97"/>
      <c r="B21" s="116"/>
      <c r="C21" s="117" t="s">
        <v>87</v>
      </c>
      <c r="D21" s="117" t="s">
        <v>69</v>
      </c>
      <c r="E21" s="118" t="s">
        <v>85</v>
      </c>
      <c r="F21" s="119" t="s">
        <v>86</v>
      </c>
      <c r="G21" s="120" t="s">
        <v>72</v>
      </c>
      <c r="H21" s="121">
        <v>196.26599999999999</v>
      </c>
      <c r="I21" s="122">
        <v>55.24</v>
      </c>
      <c r="J21" s="122">
        <v>10841.73</v>
      </c>
      <c r="K21" s="85">
        <v>0</v>
      </c>
      <c r="L21" s="86">
        <f t="shared" si="0"/>
        <v>55.24</v>
      </c>
      <c r="M21" s="277">
        <f t="shared" si="1"/>
        <v>0</v>
      </c>
      <c r="N21" s="87">
        <f t="shared" si="2"/>
        <v>196.26599999999999</v>
      </c>
      <c r="O21" s="88">
        <f t="shared" si="3"/>
        <v>55.24</v>
      </c>
      <c r="P21" s="278">
        <f t="shared" si="4"/>
        <v>10841.733840000001</v>
      </c>
      <c r="R21" s="150" t="s">
        <v>1031</v>
      </c>
      <c r="S21" s="109" t="s">
        <v>1035</v>
      </c>
      <c r="T21" s="109" t="s">
        <v>1003</v>
      </c>
    </row>
    <row r="22" spans="1:20" s="109" customFormat="1" ht="44.25" customHeight="1" x14ac:dyDescent="0.2">
      <c r="A22" s="97"/>
      <c r="B22" s="116"/>
      <c r="C22" s="117" t="s">
        <v>90</v>
      </c>
      <c r="D22" s="117" t="s">
        <v>69</v>
      </c>
      <c r="E22" s="118" t="s">
        <v>297</v>
      </c>
      <c r="F22" s="119" t="s">
        <v>298</v>
      </c>
      <c r="G22" s="120" t="s">
        <v>62</v>
      </c>
      <c r="H22" s="121">
        <v>0.72899999999999998</v>
      </c>
      <c r="I22" s="122">
        <v>57.87</v>
      </c>
      <c r="J22" s="122">
        <v>42.19</v>
      </c>
      <c r="K22" s="85">
        <f>ROUND(254/257.38*H22-H22,2)</f>
        <v>-0.01</v>
      </c>
      <c r="L22" s="86">
        <f t="shared" si="0"/>
        <v>57.87</v>
      </c>
      <c r="M22" s="277">
        <f t="shared" si="1"/>
        <v>-0.57869999999999999</v>
      </c>
      <c r="N22" s="87">
        <f t="shared" si="2"/>
        <v>0.71899999999999997</v>
      </c>
      <c r="O22" s="88">
        <f t="shared" si="3"/>
        <v>57.87</v>
      </c>
      <c r="P22" s="278">
        <f t="shared" si="4"/>
        <v>41.608529999999995</v>
      </c>
    </row>
    <row r="23" spans="1:20" s="109" customFormat="1" ht="33" customHeight="1" x14ac:dyDescent="0.2">
      <c r="A23" s="97"/>
      <c r="B23" s="116"/>
      <c r="C23" s="117" t="s">
        <v>93</v>
      </c>
      <c r="D23" s="117" t="s">
        <v>69</v>
      </c>
      <c r="E23" s="118" t="s">
        <v>613</v>
      </c>
      <c r="F23" s="119" t="s">
        <v>614</v>
      </c>
      <c r="G23" s="120" t="s">
        <v>72</v>
      </c>
      <c r="H23" s="121">
        <v>2.64</v>
      </c>
      <c r="I23" s="122">
        <v>26.3</v>
      </c>
      <c r="J23" s="122">
        <v>69.430000000000007</v>
      </c>
      <c r="K23" s="85">
        <f t="shared" ref="K23:K46" si="5">ROUND(254/257.38*H23-H23,2)</f>
        <v>-0.03</v>
      </c>
      <c r="L23" s="86">
        <f t="shared" si="0"/>
        <v>26.3</v>
      </c>
      <c r="M23" s="277">
        <f t="shared" si="1"/>
        <v>-0.78900000000000003</v>
      </c>
      <c r="N23" s="87">
        <f t="shared" si="2"/>
        <v>2.6100000000000003</v>
      </c>
      <c r="O23" s="88">
        <f t="shared" si="3"/>
        <v>26.3</v>
      </c>
      <c r="P23" s="278">
        <f t="shared" si="4"/>
        <v>68.643000000000015</v>
      </c>
    </row>
    <row r="24" spans="1:20" s="109" customFormat="1" ht="33" customHeight="1" x14ac:dyDescent="0.2">
      <c r="A24" s="97"/>
      <c r="B24" s="116"/>
      <c r="C24" s="117" t="s">
        <v>26</v>
      </c>
      <c r="D24" s="117" t="s">
        <v>69</v>
      </c>
      <c r="E24" s="118" t="s">
        <v>299</v>
      </c>
      <c r="F24" s="119" t="s">
        <v>300</v>
      </c>
      <c r="G24" s="120" t="s">
        <v>72</v>
      </c>
      <c r="H24" s="121">
        <v>2.0129999999999999</v>
      </c>
      <c r="I24" s="122">
        <v>18.41</v>
      </c>
      <c r="J24" s="122">
        <v>37.06</v>
      </c>
      <c r="K24" s="85">
        <f t="shared" si="5"/>
        <v>-0.03</v>
      </c>
      <c r="L24" s="86">
        <f t="shared" si="0"/>
        <v>18.41</v>
      </c>
      <c r="M24" s="277">
        <f t="shared" si="1"/>
        <v>-0.55230000000000001</v>
      </c>
      <c r="N24" s="87">
        <f t="shared" si="2"/>
        <v>1.9829999999999999</v>
      </c>
      <c r="O24" s="88">
        <f t="shared" si="3"/>
        <v>18.41</v>
      </c>
      <c r="P24" s="278">
        <f t="shared" si="4"/>
        <v>36.50703</v>
      </c>
    </row>
    <row r="25" spans="1:20" s="109" customFormat="1" ht="21.75" customHeight="1" x14ac:dyDescent="0.2">
      <c r="A25" s="97"/>
      <c r="B25" s="116"/>
      <c r="C25" s="117" t="s">
        <v>28</v>
      </c>
      <c r="D25" s="117" t="s">
        <v>69</v>
      </c>
      <c r="E25" s="118" t="s">
        <v>301</v>
      </c>
      <c r="F25" s="119" t="s">
        <v>302</v>
      </c>
      <c r="G25" s="120" t="s">
        <v>72</v>
      </c>
      <c r="H25" s="121">
        <v>2.0129999999999999</v>
      </c>
      <c r="I25" s="122">
        <v>27.62</v>
      </c>
      <c r="J25" s="122">
        <v>55.6</v>
      </c>
      <c r="K25" s="85">
        <f t="shared" si="5"/>
        <v>-0.03</v>
      </c>
      <c r="L25" s="86">
        <f t="shared" si="0"/>
        <v>27.62</v>
      </c>
      <c r="M25" s="277">
        <f t="shared" si="1"/>
        <v>-0.8286</v>
      </c>
      <c r="N25" s="87">
        <f t="shared" si="2"/>
        <v>1.9829999999999999</v>
      </c>
      <c r="O25" s="88">
        <f t="shared" si="3"/>
        <v>27.62</v>
      </c>
      <c r="P25" s="278">
        <f t="shared" si="4"/>
        <v>54.77046</v>
      </c>
    </row>
    <row r="26" spans="1:20" s="109" customFormat="1" ht="16.5" customHeight="1" x14ac:dyDescent="0.2">
      <c r="A26" s="97"/>
      <c r="B26" s="116"/>
      <c r="C26" s="117" t="s">
        <v>30</v>
      </c>
      <c r="D26" s="117" t="s">
        <v>69</v>
      </c>
      <c r="E26" s="118" t="s">
        <v>303</v>
      </c>
      <c r="F26" s="119" t="s">
        <v>304</v>
      </c>
      <c r="G26" s="120" t="s">
        <v>72</v>
      </c>
      <c r="H26" s="121">
        <v>2.0129999999999999</v>
      </c>
      <c r="I26" s="122">
        <v>11.84</v>
      </c>
      <c r="J26" s="122">
        <v>23.83</v>
      </c>
      <c r="K26" s="85">
        <f t="shared" si="5"/>
        <v>-0.03</v>
      </c>
      <c r="L26" s="86">
        <f t="shared" si="0"/>
        <v>11.84</v>
      </c>
      <c r="M26" s="277">
        <f t="shared" si="1"/>
        <v>-0.35519999999999996</v>
      </c>
      <c r="N26" s="87">
        <f t="shared" si="2"/>
        <v>1.9829999999999999</v>
      </c>
      <c r="O26" s="88">
        <f t="shared" si="3"/>
        <v>11.84</v>
      </c>
      <c r="P26" s="278">
        <f t="shared" si="4"/>
        <v>23.478719999999999</v>
      </c>
    </row>
    <row r="27" spans="1:20" s="109" customFormat="1" ht="16.5" customHeight="1" x14ac:dyDescent="0.2">
      <c r="A27" s="97"/>
      <c r="B27" s="116"/>
      <c r="C27" s="123" t="s">
        <v>32</v>
      </c>
      <c r="D27" s="123" t="s">
        <v>127</v>
      </c>
      <c r="E27" s="124" t="s">
        <v>305</v>
      </c>
      <c r="F27" s="125" t="s">
        <v>306</v>
      </c>
      <c r="G27" s="126" t="s">
        <v>307</v>
      </c>
      <c r="H27" s="127">
        <v>0.03</v>
      </c>
      <c r="I27" s="128">
        <v>170.98</v>
      </c>
      <c r="J27" s="128">
        <v>5.13</v>
      </c>
      <c r="K27" s="85">
        <f t="shared" si="5"/>
        <v>0</v>
      </c>
      <c r="L27" s="86">
        <f t="shared" si="0"/>
        <v>170.98</v>
      </c>
      <c r="M27" s="277">
        <f t="shared" si="1"/>
        <v>0</v>
      </c>
      <c r="N27" s="87">
        <f t="shared" si="2"/>
        <v>0.03</v>
      </c>
      <c r="O27" s="88">
        <f t="shared" si="3"/>
        <v>170.98</v>
      </c>
      <c r="P27" s="278">
        <f t="shared" si="4"/>
        <v>5.1293999999999995</v>
      </c>
    </row>
    <row r="28" spans="1:20" s="109" customFormat="1" ht="21.75" customHeight="1" x14ac:dyDescent="0.2">
      <c r="A28" s="97"/>
      <c r="B28" s="116"/>
      <c r="C28" s="117" t="s">
        <v>34</v>
      </c>
      <c r="D28" s="117" t="s">
        <v>69</v>
      </c>
      <c r="E28" s="118" t="s">
        <v>308</v>
      </c>
      <c r="F28" s="119" t="s">
        <v>309</v>
      </c>
      <c r="G28" s="120" t="s">
        <v>72</v>
      </c>
      <c r="H28" s="121">
        <v>2.0129999999999999</v>
      </c>
      <c r="I28" s="122">
        <v>5.26</v>
      </c>
      <c r="J28" s="122">
        <v>10.59</v>
      </c>
      <c r="K28" s="85">
        <f t="shared" si="5"/>
        <v>-0.03</v>
      </c>
      <c r="L28" s="86">
        <f t="shared" si="0"/>
        <v>5.26</v>
      </c>
      <c r="M28" s="277">
        <f t="shared" si="1"/>
        <v>-0.1578</v>
      </c>
      <c r="N28" s="87">
        <f t="shared" si="2"/>
        <v>1.9829999999999999</v>
      </c>
      <c r="O28" s="88">
        <f t="shared" si="3"/>
        <v>5.26</v>
      </c>
      <c r="P28" s="278">
        <f t="shared" si="4"/>
        <v>10.430579999999999</v>
      </c>
    </row>
    <row r="29" spans="1:20" s="109" customFormat="1" ht="33" customHeight="1" x14ac:dyDescent="0.2">
      <c r="A29" s="97"/>
      <c r="B29" s="116"/>
      <c r="C29" s="117" t="s">
        <v>1</v>
      </c>
      <c r="D29" s="117" t="s">
        <v>69</v>
      </c>
      <c r="E29" s="118" t="s">
        <v>96</v>
      </c>
      <c r="F29" s="119" t="s">
        <v>97</v>
      </c>
      <c r="G29" s="120" t="s">
        <v>62</v>
      </c>
      <c r="H29" s="121">
        <v>177.59</v>
      </c>
      <c r="I29" s="122">
        <v>234.11</v>
      </c>
      <c r="J29" s="122">
        <v>41575.589999999997</v>
      </c>
      <c r="K29" s="85">
        <f t="shared" si="5"/>
        <v>-2.33</v>
      </c>
      <c r="L29" s="86">
        <f t="shared" si="0"/>
        <v>234.11</v>
      </c>
      <c r="M29" s="277">
        <f t="shared" si="1"/>
        <v>-545.47630000000004</v>
      </c>
      <c r="N29" s="87">
        <f t="shared" si="2"/>
        <v>175.26</v>
      </c>
      <c r="O29" s="88">
        <f t="shared" si="3"/>
        <v>234.11</v>
      </c>
      <c r="P29" s="278">
        <f t="shared" si="4"/>
        <v>41030.118600000002</v>
      </c>
    </row>
    <row r="30" spans="1:20" s="109" customFormat="1" ht="33" customHeight="1" x14ac:dyDescent="0.2">
      <c r="A30" s="97"/>
      <c r="B30" s="116"/>
      <c r="C30" s="117" t="s">
        <v>37</v>
      </c>
      <c r="D30" s="117" t="s">
        <v>69</v>
      </c>
      <c r="E30" s="118" t="s">
        <v>98</v>
      </c>
      <c r="F30" s="119" t="s">
        <v>99</v>
      </c>
      <c r="G30" s="120" t="s">
        <v>62</v>
      </c>
      <c r="H30" s="121">
        <v>246.65</v>
      </c>
      <c r="I30" s="122">
        <v>257.77999999999997</v>
      </c>
      <c r="J30" s="122">
        <v>63581.440000000002</v>
      </c>
      <c r="K30" s="85">
        <f t="shared" si="5"/>
        <v>-3.24</v>
      </c>
      <c r="L30" s="86">
        <f t="shared" si="0"/>
        <v>257.77999999999997</v>
      </c>
      <c r="M30" s="277">
        <f t="shared" si="1"/>
        <v>-835.20719999999994</v>
      </c>
      <c r="N30" s="87">
        <f t="shared" si="2"/>
        <v>243.41</v>
      </c>
      <c r="O30" s="88">
        <f t="shared" si="3"/>
        <v>257.77999999999997</v>
      </c>
      <c r="P30" s="278">
        <f t="shared" si="4"/>
        <v>62746.229799999994</v>
      </c>
    </row>
    <row r="31" spans="1:20" s="109" customFormat="1" ht="33" customHeight="1" x14ac:dyDescent="0.2">
      <c r="A31" s="97"/>
      <c r="B31" s="116"/>
      <c r="C31" s="117" t="s">
        <v>39</v>
      </c>
      <c r="D31" s="117" t="s">
        <v>69</v>
      </c>
      <c r="E31" s="118" t="s">
        <v>100</v>
      </c>
      <c r="F31" s="119" t="s">
        <v>101</v>
      </c>
      <c r="G31" s="120" t="s">
        <v>62</v>
      </c>
      <c r="H31" s="121">
        <v>69.06</v>
      </c>
      <c r="I31" s="122">
        <v>315.64999999999998</v>
      </c>
      <c r="J31" s="122">
        <v>21798.79</v>
      </c>
      <c r="K31" s="85">
        <f t="shared" si="5"/>
        <v>-0.91</v>
      </c>
      <c r="L31" s="86">
        <f t="shared" si="0"/>
        <v>315.64999999999998</v>
      </c>
      <c r="M31" s="277">
        <f t="shared" si="1"/>
        <v>-287.24149999999997</v>
      </c>
      <c r="N31" s="87">
        <f t="shared" si="2"/>
        <v>68.150000000000006</v>
      </c>
      <c r="O31" s="88">
        <f t="shared" si="3"/>
        <v>315.64999999999998</v>
      </c>
      <c r="P31" s="278">
        <f t="shared" si="4"/>
        <v>21511.547500000001</v>
      </c>
    </row>
    <row r="32" spans="1:20" s="109" customFormat="1" ht="33" customHeight="1" x14ac:dyDescent="0.2">
      <c r="A32" s="97"/>
      <c r="B32" s="116"/>
      <c r="C32" s="117" t="s">
        <v>41</v>
      </c>
      <c r="D32" s="117" t="s">
        <v>69</v>
      </c>
      <c r="E32" s="118" t="s">
        <v>102</v>
      </c>
      <c r="F32" s="119" t="s">
        <v>103</v>
      </c>
      <c r="G32" s="120" t="s">
        <v>72</v>
      </c>
      <c r="H32" s="121">
        <v>1078.9000000000001</v>
      </c>
      <c r="I32" s="122">
        <v>69.709999999999994</v>
      </c>
      <c r="J32" s="122">
        <v>75210.12</v>
      </c>
      <c r="K32" s="85">
        <f t="shared" si="5"/>
        <v>-14.17</v>
      </c>
      <c r="L32" s="86">
        <f t="shared" si="0"/>
        <v>69.709999999999994</v>
      </c>
      <c r="M32" s="277">
        <f t="shared" si="1"/>
        <v>-987.7906999999999</v>
      </c>
      <c r="N32" s="87">
        <f t="shared" si="2"/>
        <v>1064.73</v>
      </c>
      <c r="O32" s="88">
        <f t="shared" si="3"/>
        <v>69.709999999999994</v>
      </c>
      <c r="P32" s="278">
        <f t="shared" si="4"/>
        <v>74222.328299999994</v>
      </c>
    </row>
    <row r="33" spans="1:30" s="109" customFormat="1" ht="33" customHeight="1" x14ac:dyDescent="0.2">
      <c r="A33" s="97"/>
      <c r="B33" s="116"/>
      <c r="C33" s="117" t="s">
        <v>114</v>
      </c>
      <c r="D33" s="117" t="s">
        <v>69</v>
      </c>
      <c r="E33" s="118" t="s">
        <v>104</v>
      </c>
      <c r="F33" s="119" t="s">
        <v>105</v>
      </c>
      <c r="G33" s="120" t="s">
        <v>72</v>
      </c>
      <c r="H33" s="121">
        <v>1078.9000000000001</v>
      </c>
      <c r="I33" s="122">
        <v>80.23</v>
      </c>
      <c r="J33" s="122">
        <v>86560.15</v>
      </c>
      <c r="K33" s="85">
        <f t="shared" si="5"/>
        <v>-14.17</v>
      </c>
      <c r="L33" s="86">
        <f t="shared" si="0"/>
        <v>80.23</v>
      </c>
      <c r="M33" s="277">
        <f t="shared" si="1"/>
        <v>-1136.8591000000001</v>
      </c>
      <c r="N33" s="87">
        <f t="shared" si="2"/>
        <v>1064.73</v>
      </c>
      <c r="O33" s="88">
        <f t="shared" si="3"/>
        <v>80.23</v>
      </c>
      <c r="P33" s="278">
        <f t="shared" si="4"/>
        <v>85423.28790000001</v>
      </c>
    </row>
    <row r="34" spans="1:30" s="109" customFormat="1" ht="44.25" customHeight="1" x14ac:dyDescent="0.2">
      <c r="A34" s="97"/>
      <c r="B34" s="116"/>
      <c r="C34" s="117" t="s">
        <v>117</v>
      </c>
      <c r="D34" s="117" t="s">
        <v>69</v>
      </c>
      <c r="E34" s="118" t="s">
        <v>106</v>
      </c>
      <c r="F34" s="119" t="s">
        <v>107</v>
      </c>
      <c r="G34" s="120" t="s">
        <v>62</v>
      </c>
      <c r="H34" s="121">
        <v>295.98599999999999</v>
      </c>
      <c r="I34" s="122">
        <v>13.15</v>
      </c>
      <c r="J34" s="122">
        <v>3892.22</v>
      </c>
      <c r="K34" s="85">
        <f t="shared" si="5"/>
        <v>-3.89</v>
      </c>
      <c r="L34" s="86">
        <f t="shared" si="0"/>
        <v>13.15</v>
      </c>
      <c r="M34" s="277">
        <f t="shared" si="1"/>
        <v>-51.153500000000001</v>
      </c>
      <c r="N34" s="87">
        <f t="shared" si="2"/>
        <v>292.096</v>
      </c>
      <c r="O34" s="88">
        <f t="shared" si="3"/>
        <v>13.15</v>
      </c>
      <c r="P34" s="278">
        <f t="shared" si="4"/>
        <v>3841.0624000000003</v>
      </c>
    </row>
    <row r="35" spans="1:30" s="109" customFormat="1" ht="44.25" customHeight="1" x14ac:dyDescent="0.2">
      <c r="A35" s="97"/>
      <c r="B35" s="116"/>
      <c r="C35" s="117" t="s">
        <v>0</v>
      </c>
      <c r="D35" s="117" t="s">
        <v>69</v>
      </c>
      <c r="E35" s="118" t="s">
        <v>108</v>
      </c>
      <c r="F35" s="119" t="s">
        <v>109</v>
      </c>
      <c r="G35" s="120" t="s">
        <v>62</v>
      </c>
      <c r="H35" s="121">
        <v>842.02</v>
      </c>
      <c r="I35" s="122">
        <v>187.69</v>
      </c>
      <c r="J35" s="122">
        <v>158038.73000000001</v>
      </c>
      <c r="K35" s="85">
        <f t="shared" si="5"/>
        <v>-11.06</v>
      </c>
      <c r="L35" s="86">
        <f t="shared" si="0"/>
        <v>187.69</v>
      </c>
      <c r="M35" s="277">
        <f t="shared" si="1"/>
        <v>-2075.8514</v>
      </c>
      <c r="N35" s="87">
        <f t="shared" si="2"/>
        <v>830.96</v>
      </c>
      <c r="O35" s="88">
        <f t="shared" si="3"/>
        <v>187.69</v>
      </c>
      <c r="P35" s="278">
        <f t="shared" si="4"/>
        <v>155962.8824</v>
      </c>
    </row>
    <row r="36" spans="1:30" s="109" customFormat="1" ht="33" customHeight="1" x14ac:dyDescent="0.2">
      <c r="A36" s="97"/>
      <c r="B36" s="116"/>
      <c r="C36" s="117" t="s">
        <v>123</v>
      </c>
      <c r="D36" s="117" t="s">
        <v>69</v>
      </c>
      <c r="E36" s="118" t="s">
        <v>110</v>
      </c>
      <c r="F36" s="119" t="s">
        <v>111</v>
      </c>
      <c r="G36" s="120" t="s">
        <v>62</v>
      </c>
      <c r="H36" s="121">
        <v>493.31</v>
      </c>
      <c r="I36" s="122">
        <v>44.72</v>
      </c>
      <c r="J36" s="122">
        <v>22060.82</v>
      </c>
      <c r="K36" s="85">
        <f t="shared" si="5"/>
        <v>-6.48</v>
      </c>
      <c r="L36" s="86">
        <f t="shared" si="0"/>
        <v>44.72</v>
      </c>
      <c r="M36" s="277">
        <f t="shared" si="1"/>
        <v>-289.78559999999999</v>
      </c>
      <c r="N36" s="87">
        <f t="shared" si="2"/>
        <v>486.83</v>
      </c>
      <c r="O36" s="88">
        <f t="shared" si="3"/>
        <v>44.72</v>
      </c>
      <c r="P36" s="278">
        <f t="shared" si="4"/>
        <v>21771.0376</v>
      </c>
    </row>
    <row r="37" spans="1:30" s="109" customFormat="1" ht="48" x14ac:dyDescent="0.2">
      <c r="A37" s="97"/>
      <c r="B37" s="116"/>
      <c r="C37" s="117" t="s">
        <v>126</v>
      </c>
      <c r="D37" s="117" t="s">
        <v>69</v>
      </c>
      <c r="E37" s="118" t="s">
        <v>112</v>
      </c>
      <c r="F37" s="119" t="s">
        <v>113</v>
      </c>
      <c r="G37" s="120" t="s">
        <v>62</v>
      </c>
      <c r="H37" s="121">
        <v>144.6</v>
      </c>
      <c r="I37" s="122">
        <v>247.39</v>
      </c>
      <c r="J37" s="122">
        <v>35772.589999999997</v>
      </c>
      <c r="K37" s="85">
        <f t="shared" si="5"/>
        <v>-1.9</v>
      </c>
      <c r="L37" s="86">
        <f t="shared" si="0"/>
        <v>247.39</v>
      </c>
      <c r="M37" s="277">
        <f t="shared" si="1"/>
        <v>-470.04099999999994</v>
      </c>
      <c r="N37" s="87">
        <f t="shared" si="2"/>
        <v>142.69999999999999</v>
      </c>
      <c r="O37" s="88">
        <f t="shared" si="3"/>
        <v>247.39</v>
      </c>
      <c r="P37" s="278">
        <f t="shared" si="4"/>
        <v>35302.552999999993</v>
      </c>
      <c r="W37" s="150" t="s">
        <v>1098</v>
      </c>
      <c r="X37" s="109" t="s">
        <v>1008</v>
      </c>
    </row>
    <row r="38" spans="1:30" s="109" customFormat="1" ht="22.5" x14ac:dyDescent="0.2">
      <c r="A38" s="97"/>
      <c r="B38" s="116"/>
      <c r="C38" s="117" t="s">
        <v>131</v>
      </c>
      <c r="D38" s="117" t="s">
        <v>69</v>
      </c>
      <c r="E38" s="118" t="s">
        <v>115</v>
      </c>
      <c r="F38" s="119" t="s">
        <v>116</v>
      </c>
      <c r="G38" s="120" t="s">
        <v>62</v>
      </c>
      <c r="H38" s="121">
        <v>144.6</v>
      </c>
      <c r="I38" s="122">
        <v>11.84</v>
      </c>
      <c r="J38" s="122">
        <v>1712.06</v>
      </c>
      <c r="K38" s="85">
        <f t="shared" si="5"/>
        <v>-1.9</v>
      </c>
      <c r="L38" s="86">
        <f t="shared" si="0"/>
        <v>11.84</v>
      </c>
      <c r="M38" s="277">
        <f t="shared" si="1"/>
        <v>-22.495999999999999</v>
      </c>
      <c r="N38" s="87">
        <f t="shared" si="2"/>
        <v>142.69999999999999</v>
      </c>
      <c r="O38" s="88">
        <f t="shared" si="3"/>
        <v>11.84</v>
      </c>
      <c r="P38" s="278">
        <f t="shared" si="4"/>
        <v>1689.5679999999998</v>
      </c>
      <c r="W38" s="150" t="s">
        <v>1098</v>
      </c>
      <c r="X38" s="109" t="s">
        <v>1008</v>
      </c>
    </row>
    <row r="39" spans="1:30" s="109" customFormat="1" ht="33" customHeight="1" x14ac:dyDescent="0.2">
      <c r="A39" s="97"/>
      <c r="B39" s="116"/>
      <c r="C39" s="117" t="s">
        <v>135</v>
      </c>
      <c r="D39" s="117" t="s">
        <v>69</v>
      </c>
      <c r="E39" s="118" t="s">
        <v>118</v>
      </c>
      <c r="F39" s="119" t="s">
        <v>119</v>
      </c>
      <c r="G39" s="120" t="s">
        <v>120</v>
      </c>
      <c r="H39" s="121">
        <v>231.09299999999999</v>
      </c>
      <c r="I39" s="122">
        <v>116</v>
      </c>
      <c r="J39" s="122">
        <v>26806.79</v>
      </c>
      <c r="K39" s="85">
        <f t="shared" si="5"/>
        <v>-3.03</v>
      </c>
      <c r="L39" s="86">
        <f t="shared" si="0"/>
        <v>116</v>
      </c>
      <c r="M39" s="277">
        <f t="shared" si="1"/>
        <v>-351.47999999999996</v>
      </c>
      <c r="N39" s="87">
        <f t="shared" si="2"/>
        <v>228.06299999999999</v>
      </c>
      <c r="O39" s="88">
        <f t="shared" si="3"/>
        <v>116</v>
      </c>
      <c r="P39" s="278">
        <f t="shared" si="4"/>
        <v>26455.307999999997</v>
      </c>
      <c r="W39" s="148" t="s">
        <v>1062</v>
      </c>
      <c r="X39" s="109" t="s">
        <v>1008</v>
      </c>
      <c r="Y39" s="148" t="s">
        <v>1137</v>
      </c>
      <c r="Z39" s="109" t="s">
        <v>1144</v>
      </c>
    </row>
    <row r="40" spans="1:30" s="109" customFormat="1" ht="33" customHeight="1" x14ac:dyDescent="0.2">
      <c r="A40" s="97"/>
      <c r="B40" s="116"/>
      <c r="C40" s="117" t="s">
        <v>139</v>
      </c>
      <c r="D40" s="117" t="s">
        <v>69</v>
      </c>
      <c r="E40" s="118" t="s">
        <v>121</v>
      </c>
      <c r="F40" s="119" t="s">
        <v>122</v>
      </c>
      <c r="G40" s="120" t="s">
        <v>62</v>
      </c>
      <c r="H40" s="121">
        <v>348.71</v>
      </c>
      <c r="I40" s="122">
        <v>286.72000000000003</v>
      </c>
      <c r="J40" s="122">
        <v>99982.13</v>
      </c>
      <c r="K40" s="85">
        <f t="shared" si="5"/>
        <v>-4.58</v>
      </c>
      <c r="L40" s="86">
        <f t="shared" si="0"/>
        <v>286.72000000000003</v>
      </c>
      <c r="M40" s="277">
        <f t="shared" si="1"/>
        <v>-1313.1776000000002</v>
      </c>
      <c r="N40" s="87">
        <f t="shared" si="2"/>
        <v>344.13</v>
      </c>
      <c r="O40" s="88">
        <f t="shared" si="3"/>
        <v>286.72000000000003</v>
      </c>
      <c r="P40" s="278">
        <f t="shared" si="4"/>
        <v>98668.953600000008</v>
      </c>
    </row>
    <row r="41" spans="1:30" s="109" customFormat="1" ht="55.5" customHeight="1" x14ac:dyDescent="0.2">
      <c r="A41" s="97"/>
      <c r="B41" s="116"/>
      <c r="C41" s="117" t="s">
        <v>142</v>
      </c>
      <c r="D41" s="117" t="s">
        <v>69</v>
      </c>
      <c r="E41" s="118" t="s">
        <v>124</v>
      </c>
      <c r="F41" s="119" t="s">
        <v>125</v>
      </c>
      <c r="G41" s="120" t="s">
        <v>62</v>
      </c>
      <c r="H41" s="121">
        <v>113.79</v>
      </c>
      <c r="I41" s="122">
        <v>318.27999999999997</v>
      </c>
      <c r="J41" s="122">
        <v>36217.08</v>
      </c>
      <c r="K41" s="85">
        <f t="shared" si="5"/>
        <v>-1.49</v>
      </c>
      <c r="L41" s="86">
        <f t="shared" si="0"/>
        <v>318.27999999999997</v>
      </c>
      <c r="M41" s="277">
        <f t="shared" si="1"/>
        <v>-474.23719999999997</v>
      </c>
      <c r="N41" s="87">
        <f t="shared" si="2"/>
        <v>112.30000000000001</v>
      </c>
      <c r="O41" s="88">
        <f t="shared" si="3"/>
        <v>318.27999999999997</v>
      </c>
      <c r="P41" s="278">
        <f t="shared" si="4"/>
        <v>35742.843999999997</v>
      </c>
    </row>
    <row r="42" spans="1:30" s="109" customFormat="1" ht="16.5" customHeight="1" x14ac:dyDescent="0.2">
      <c r="A42" s="97"/>
      <c r="B42" s="116"/>
      <c r="C42" s="123" t="s">
        <v>145</v>
      </c>
      <c r="D42" s="123" t="s">
        <v>127</v>
      </c>
      <c r="E42" s="124" t="s">
        <v>128</v>
      </c>
      <c r="F42" s="125" t="s">
        <v>129</v>
      </c>
      <c r="G42" s="126" t="s">
        <v>120</v>
      </c>
      <c r="H42" s="127">
        <v>204.822</v>
      </c>
      <c r="I42" s="128">
        <v>190.76</v>
      </c>
      <c r="J42" s="128">
        <v>39071.839999999997</v>
      </c>
      <c r="K42" s="85">
        <f t="shared" si="5"/>
        <v>-2.69</v>
      </c>
      <c r="L42" s="86">
        <f t="shared" si="0"/>
        <v>190.76</v>
      </c>
      <c r="M42" s="277">
        <f t="shared" si="1"/>
        <v>-513.14440000000002</v>
      </c>
      <c r="N42" s="87">
        <f t="shared" si="2"/>
        <v>202.13200000000001</v>
      </c>
      <c r="O42" s="88">
        <f t="shared" si="3"/>
        <v>190.76</v>
      </c>
      <c r="P42" s="278">
        <f t="shared" si="4"/>
        <v>38558.700319999996</v>
      </c>
    </row>
    <row r="43" spans="1:30" s="110" customFormat="1" ht="22.9" customHeight="1" x14ac:dyDescent="0.2">
      <c r="C43" s="245"/>
      <c r="D43" s="246" t="s">
        <v>3</v>
      </c>
      <c r="E43" s="247" t="s">
        <v>76</v>
      </c>
      <c r="F43" s="247" t="s">
        <v>130</v>
      </c>
      <c r="G43" s="245"/>
      <c r="H43" s="245"/>
      <c r="I43" s="245"/>
      <c r="J43" s="248">
        <v>8462.65</v>
      </c>
      <c r="K43" s="243"/>
      <c r="L43" s="244"/>
      <c r="M43" s="279">
        <f>M44</f>
        <v>-111.1344</v>
      </c>
      <c r="N43" s="280"/>
      <c r="O43" s="244"/>
      <c r="P43" s="279">
        <f>P44</f>
        <v>8351.52</v>
      </c>
    </row>
    <row r="44" spans="1:30" s="109" customFormat="1" ht="16.5" customHeight="1" x14ac:dyDescent="0.2">
      <c r="A44" s="97"/>
      <c r="B44" s="116"/>
      <c r="C44" s="117" t="s">
        <v>148</v>
      </c>
      <c r="D44" s="117" t="s">
        <v>69</v>
      </c>
      <c r="E44" s="118" t="s">
        <v>132</v>
      </c>
      <c r="F44" s="119" t="s">
        <v>133</v>
      </c>
      <c r="G44" s="120" t="s">
        <v>61</v>
      </c>
      <c r="H44" s="121">
        <v>257.38</v>
      </c>
      <c r="I44" s="122">
        <v>32.880000000000003</v>
      </c>
      <c r="J44" s="122">
        <v>8462.65</v>
      </c>
      <c r="K44" s="85">
        <f t="shared" si="5"/>
        <v>-3.38</v>
      </c>
      <c r="L44" s="86">
        <f t="shared" si="0"/>
        <v>32.880000000000003</v>
      </c>
      <c r="M44" s="277">
        <f t="shared" si="1"/>
        <v>-111.1344</v>
      </c>
      <c r="N44" s="87">
        <f t="shared" si="2"/>
        <v>254</v>
      </c>
      <c r="O44" s="88">
        <f t="shared" si="3"/>
        <v>32.880000000000003</v>
      </c>
      <c r="P44" s="278">
        <f t="shared" si="4"/>
        <v>8351.52</v>
      </c>
    </row>
    <row r="45" spans="1:30" s="110" customFormat="1" ht="22.9" customHeight="1" x14ac:dyDescent="0.2">
      <c r="C45" s="245"/>
      <c r="D45" s="246" t="s">
        <v>3</v>
      </c>
      <c r="E45" s="247" t="s">
        <v>73</v>
      </c>
      <c r="F45" s="247" t="s">
        <v>134</v>
      </c>
      <c r="G45" s="245"/>
      <c r="H45" s="245"/>
      <c r="I45" s="245"/>
      <c r="J45" s="248">
        <v>19244.55</v>
      </c>
      <c r="K45" s="243"/>
      <c r="L45" s="244"/>
      <c r="M45" s="279">
        <f>M46</f>
        <v>-251.16340000000002</v>
      </c>
      <c r="N45" s="280"/>
      <c r="O45" s="244"/>
      <c r="P45" s="279">
        <f>P46</f>
        <v>18993.383600000001</v>
      </c>
    </row>
    <row r="46" spans="1:30" s="109" customFormat="1" ht="21.75" customHeight="1" x14ac:dyDescent="0.2">
      <c r="A46" s="97"/>
      <c r="B46" s="116"/>
      <c r="C46" s="117" t="s">
        <v>151</v>
      </c>
      <c r="D46" s="117" t="s">
        <v>69</v>
      </c>
      <c r="E46" s="118" t="s">
        <v>398</v>
      </c>
      <c r="F46" s="119" t="s">
        <v>399</v>
      </c>
      <c r="G46" s="120" t="s">
        <v>62</v>
      </c>
      <c r="H46" s="121">
        <v>28.35</v>
      </c>
      <c r="I46" s="122">
        <v>678.82</v>
      </c>
      <c r="J46" s="122">
        <v>19244.55</v>
      </c>
      <c r="K46" s="85">
        <f t="shared" si="5"/>
        <v>-0.37</v>
      </c>
      <c r="L46" s="86">
        <f t="shared" si="0"/>
        <v>678.82</v>
      </c>
      <c r="M46" s="277">
        <f t="shared" si="1"/>
        <v>-251.16340000000002</v>
      </c>
      <c r="N46" s="87">
        <f t="shared" si="2"/>
        <v>27.98</v>
      </c>
      <c r="O46" s="88">
        <f t="shared" si="3"/>
        <v>678.82</v>
      </c>
      <c r="P46" s="278">
        <f t="shared" si="4"/>
        <v>18993.383600000001</v>
      </c>
    </row>
    <row r="47" spans="1:30" s="110" customFormat="1" ht="22.9" customHeight="1" x14ac:dyDescent="0.2">
      <c r="C47" s="245"/>
      <c r="D47" s="246" t="s">
        <v>3</v>
      </c>
      <c r="E47" s="247" t="s">
        <v>81</v>
      </c>
      <c r="F47" s="247" t="s">
        <v>154</v>
      </c>
      <c r="G47" s="245"/>
      <c r="H47" s="245"/>
      <c r="I47" s="245"/>
      <c r="J47" s="248">
        <v>239279.67</v>
      </c>
      <c r="K47" s="243"/>
      <c r="L47" s="244"/>
      <c r="M47" s="279">
        <f>SUM(M48:M57)</f>
        <v>0</v>
      </c>
      <c r="N47" s="280"/>
      <c r="O47" s="244"/>
      <c r="P47" s="279">
        <f>SUM(P48:P57)</f>
        <v>239279.66642999998</v>
      </c>
    </row>
    <row r="48" spans="1:30" s="109" customFormat="1" ht="33" customHeight="1" x14ac:dyDescent="0.2">
      <c r="A48" s="97"/>
      <c r="B48" s="116"/>
      <c r="C48" s="117" t="s">
        <v>155</v>
      </c>
      <c r="D48" s="117" t="s">
        <v>69</v>
      </c>
      <c r="E48" s="118" t="s">
        <v>156</v>
      </c>
      <c r="F48" s="119" t="s">
        <v>157</v>
      </c>
      <c r="G48" s="120" t="s">
        <v>72</v>
      </c>
      <c r="H48" s="121">
        <v>112.72799999999999</v>
      </c>
      <c r="I48" s="122">
        <v>319.88</v>
      </c>
      <c r="J48" s="122">
        <v>36059.43</v>
      </c>
      <c r="K48" s="85">
        <v>0</v>
      </c>
      <c r="L48" s="86">
        <f t="shared" si="0"/>
        <v>319.88</v>
      </c>
      <c r="M48" s="277">
        <f t="shared" si="1"/>
        <v>0</v>
      </c>
      <c r="N48" s="87">
        <f t="shared" si="2"/>
        <v>112.72799999999999</v>
      </c>
      <c r="O48" s="88">
        <f t="shared" si="3"/>
        <v>319.88</v>
      </c>
      <c r="P48" s="278">
        <f t="shared" si="4"/>
        <v>36059.432639999999</v>
      </c>
      <c r="Q48" s="148" t="s">
        <v>1017</v>
      </c>
      <c r="AB48" s="327" t="s">
        <v>1170</v>
      </c>
      <c r="AC48" s="335" t="s">
        <v>1003</v>
      </c>
      <c r="AD48" s="328" t="s">
        <v>1196</v>
      </c>
    </row>
    <row r="49" spans="1:30" s="109" customFormat="1" ht="21.75" customHeight="1" x14ac:dyDescent="0.2">
      <c r="A49" s="97"/>
      <c r="B49" s="116"/>
      <c r="C49" s="117" t="s">
        <v>158</v>
      </c>
      <c r="D49" s="117" t="s">
        <v>69</v>
      </c>
      <c r="E49" s="118" t="s">
        <v>159</v>
      </c>
      <c r="F49" s="119" t="s">
        <v>160</v>
      </c>
      <c r="G49" s="120" t="s">
        <v>72</v>
      </c>
      <c r="H49" s="121">
        <v>155.001</v>
      </c>
      <c r="I49" s="122">
        <v>251.97</v>
      </c>
      <c r="J49" s="122">
        <v>39055.599999999999</v>
      </c>
      <c r="K49" s="85">
        <v>0</v>
      </c>
      <c r="L49" s="86">
        <f t="shared" si="0"/>
        <v>251.97</v>
      </c>
      <c r="M49" s="277">
        <f t="shared" si="1"/>
        <v>0</v>
      </c>
      <c r="N49" s="87">
        <f t="shared" si="2"/>
        <v>155.001</v>
      </c>
      <c r="O49" s="88">
        <f t="shared" si="3"/>
        <v>251.97</v>
      </c>
      <c r="P49" s="278">
        <f t="shared" si="4"/>
        <v>39055.601970000003</v>
      </c>
      <c r="AB49" s="327"/>
      <c r="AC49" s="335"/>
      <c r="AD49" s="328"/>
    </row>
    <row r="50" spans="1:30" s="109" customFormat="1" ht="21.75" customHeight="1" x14ac:dyDescent="0.2">
      <c r="A50" s="97"/>
      <c r="B50" s="116"/>
      <c r="C50" s="117" t="s">
        <v>161</v>
      </c>
      <c r="D50" s="117" t="s">
        <v>69</v>
      </c>
      <c r="E50" s="118" t="s">
        <v>162</v>
      </c>
      <c r="F50" s="119" t="s">
        <v>163</v>
      </c>
      <c r="G50" s="120" t="s">
        <v>72</v>
      </c>
      <c r="H50" s="121">
        <v>124.27800000000001</v>
      </c>
      <c r="I50" s="122">
        <v>155.66999999999999</v>
      </c>
      <c r="J50" s="122">
        <v>19346.36</v>
      </c>
      <c r="K50" s="85">
        <v>0</v>
      </c>
      <c r="L50" s="86">
        <f t="shared" si="0"/>
        <v>155.66999999999999</v>
      </c>
      <c r="M50" s="277">
        <f t="shared" si="1"/>
        <v>0</v>
      </c>
      <c r="N50" s="87">
        <f t="shared" si="2"/>
        <v>124.27800000000001</v>
      </c>
      <c r="O50" s="88">
        <f t="shared" si="3"/>
        <v>155.66999999999999</v>
      </c>
      <c r="P50" s="278">
        <f t="shared" si="4"/>
        <v>19346.35626</v>
      </c>
      <c r="AB50" s="327"/>
      <c r="AC50" s="335"/>
      <c r="AD50" s="328"/>
    </row>
    <row r="51" spans="1:30" s="109" customFormat="1" ht="33" customHeight="1" x14ac:dyDescent="0.2">
      <c r="A51" s="97"/>
      <c r="B51" s="116"/>
      <c r="C51" s="117" t="s">
        <v>164</v>
      </c>
      <c r="D51" s="117" t="s">
        <v>69</v>
      </c>
      <c r="E51" s="118" t="s">
        <v>325</v>
      </c>
      <c r="F51" s="119" t="s">
        <v>326</v>
      </c>
      <c r="G51" s="120" t="s">
        <v>72</v>
      </c>
      <c r="H51" s="121">
        <v>11.55</v>
      </c>
      <c r="I51" s="122">
        <v>420.19</v>
      </c>
      <c r="J51" s="122">
        <v>4853.1899999999996</v>
      </c>
      <c r="K51" s="85">
        <v>0</v>
      </c>
      <c r="L51" s="86">
        <f t="shared" si="0"/>
        <v>420.19</v>
      </c>
      <c r="M51" s="277">
        <f t="shared" si="1"/>
        <v>0</v>
      </c>
      <c r="N51" s="87">
        <f t="shared" si="2"/>
        <v>11.55</v>
      </c>
      <c r="O51" s="88">
        <f t="shared" si="3"/>
        <v>420.19</v>
      </c>
      <c r="P51" s="278">
        <f t="shared" si="4"/>
        <v>4853.1945000000005</v>
      </c>
      <c r="R51" s="150" t="s">
        <v>1028</v>
      </c>
      <c r="T51" s="148" t="s">
        <v>1036</v>
      </c>
      <c r="U51" s="149" t="s">
        <v>1040</v>
      </c>
      <c r="V51" s="109" t="s">
        <v>1003</v>
      </c>
    </row>
    <row r="52" spans="1:30" s="109" customFormat="1" ht="33" customHeight="1" x14ac:dyDescent="0.2">
      <c r="A52" s="97"/>
      <c r="B52" s="116"/>
      <c r="C52" s="117" t="s">
        <v>167</v>
      </c>
      <c r="D52" s="117" t="s">
        <v>69</v>
      </c>
      <c r="E52" s="118" t="s">
        <v>327</v>
      </c>
      <c r="F52" s="119" t="s">
        <v>328</v>
      </c>
      <c r="G52" s="120" t="s">
        <v>72</v>
      </c>
      <c r="H52" s="121">
        <v>11.55</v>
      </c>
      <c r="I52" s="122">
        <v>315.11</v>
      </c>
      <c r="J52" s="122">
        <v>3639.52</v>
      </c>
      <c r="K52" s="85">
        <v>0</v>
      </c>
      <c r="L52" s="86">
        <f t="shared" si="0"/>
        <v>315.11</v>
      </c>
      <c r="M52" s="277">
        <f t="shared" si="1"/>
        <v>0</v>
      </c>
      <c r="N52" s="87">
        <f t="shared" si="2"/>
        <v>11.55</v>
      </c>
      <c r="O52" s="88">
        <f t="shared" si="3"/>
        <v>315.11</v>
      </c>
      <c r="P52" s="278">
        <f t="shared" si="4"/>
        <v>3639.5205000000005</v>
      </c>
      <c r="Q52" s="178" t="s">
        <v>1014</v>
      </c>
      <c r="U52" s="149"/>
    </row>
    <row r="53" spans="1:30" s="109" customFormat="1" ht="21.75" customHeight="1" x14ac:dyDescent="0.2">
      <c r="A53" s="97"/>
      <c r="B53" s="116"/>
      <c r="C53" s="117" t="s">
        <v>170</v>
      </c>
      <c r="D53" s="117" t="s">
        <v>69</v>
      </c>
      <c r="E53" s="118" t="s">
        <v>168</v>
      </c>
      <c r="F53" s="119" t="s">
        <v>169</v>
      </c>
      <c r="G53" s="120" t="s">
        <v>72</v>
      </c>
      <c r="H53" s="121">
        <v>196.26599999999999</v>
      </c>
      <c r="I53" s="122">
        <v>18.04</v>
      </c>
      <c r="J53" s="122">
        <v>3540.64</v>
      </c>
      <c r="K53" s="85">
        <v>0</v>
      </c>
      <c r="L53" s="86">
        <f t="shared" si="0"/>
        <v>18.04</v>
      </c>
      <c r="M53" s="277">
        <f t="shared" si="1"/>
        <v>0</v>
      </c>
      <c r="N53" s="87">
        <f t="shared" si="2"/>
        <v>196.26599999999999</v>
      </c>
      <c r="O53" s="88">
        <f t="shared" si="3"/>
        <v>18.04</v>
      </c>
      <c r="P53" s="278">
        <f t="shared" si="4"/>
        <v>3540.6386399999997</v>
      </c>
      <c r="R53" s="150" t="s">
        <v>1028</v>
      </c>
      <c r="T53" s="148" t="s">
        <v>1036</v>
      </c>
      <c r="U53" s="149" t="s">
        <v>1041</v>
      </c>
    </row>
    <row r="54" spans="1:30" s="109" customFormat="1" ht="33" customHeight="1" x14ac:dyDescent="0.2">
      <c r="A54" s="97"/>
      <c r="B54" s="116"/>
      <c r="C54" s="117" t="s">
        <v>173</v>
      </c>
      <c r="D54" s="117" t="s">
        <v>69</v>
      </c>
      <c r="E54" s="118" t="s">
        <v>171</v>
      </c>
      <c r="F54" s="119" t="s">
        <v>172</v>
      </c>
      <c r="G54" s="120" t="s">
        <v>72</v>
      </c>
      <c r="H54" s="121">
        <v>174.21600000000001</v>
      </c>
      <c r="I54" s="122">
        <v>396.71</v>
      </c>
      <c r="J54" s="122">
        <v>69113.23</v>
      </c>
      <c r="K54" s="85">
        <v>0</v>
      </c>
      <c r="L54" s="86">
        <f t="shared" si="0"/>
        <v>396.71</v>
      </c>
      <c r="M54" s="277">
        <f t="shared" si="1"/>
        <v>0</v>
      </c>
      <c r="N54" s="87">
        <f t="shared" si="2"/>
        <v>174.21600000000001</v>
      </c>
      <c r="O54" s="88">
        <f t="shared" si="3"/>
        <v>396.71</v>
      </c>
      <c r="P54" s="278">
        <f t="shared" si="4"/>
        <v>69113.229359999998</v>
      </c>
      <c r="U54" s="149"/>
    </row>
    <row r="55" spans="1:30" s="109" customFormat="1" ht="44.25" customHeight="1" x14ac:dyDescent="0.2">
      <c r="A55" s="97"/>
      <c r="B55" s="116"/>
      <c r="C55" s="117" t="s">
        <v>176</v>
      </c>
      <c r="D55" s="117" t="s">
        <v>69</v>
      </c>
      <c r="E55" s="118" t="s">
        <v>329</v>
      </c>
      <c r="F55" s="119" t="s">
        <v>330</v>
      </c>
      <c r="G55" s="120" t="s">
        <v>72</v>
      </c>
      <c r="H55" s="121">
        <v>22.05</v>
      </c>
      <c r="I55" s="122">
        <v>396.71</v>
      </c>
      <c r="J55" s="122">
        <v>8747.4599999999991</v>
      </c>
      <c r="K55" s="85">
        <v>0</v>
      </c>
      <c r="L55" s="86">
        <f t="shared" si="0"/>
        <v>396.71</v>
      </c>
      <c r="M55" s="277">
        <f t="shared" si="1"/>
        <v>0</v>
      </c>
      <c r="N55" s="87">
        <f t="shared" si="2"/>
        <v>22.05</v>
      </c>
      <c r="O55" s="88">
        <f t="shared" si="3"/>
        <v>396.71</v>
      </c>
      <c r="P55" s="278">
        <f t="shared" si="4"/>
        <v>8747.4555</v>
      </c>
      <c r="R55" s="150" t="s">
        <v>1028</v>
      </c>
      <c r="T55" s="148" t="s">
        <v>1036</v>
      </c>
      <c r="U55" s="149" t="s">
        <v>1042</v>
      </c>
    </row>
    <row r="56" spans="1:30" s="109" customFormat="1" ht="33" customHeight="1" x14ac:dyDescent="0.2">
      <c r="A56" s="97"/>
      <c r="B56" s="116"/>
      <c r="C56" s="117" t="s">
        <v>179</v>
      </c>
      <c r="D56" s="117" t="s">
        <v>69</v>
      </c>
      <c r="E56" s="118" t="s">
        <v>174</v>
      </c>
      <c r="F56" s="119" t="s">
        <v>175</v>
      </c>
      <c r="G56" s="120" t="s">
        <v>72</v>
      </c>
      <c r="H56" s="121">
        <v>112.72799999999999</v>
      </c>
      <c r="I56" s="122">
        <v>443.02</v>
      </c>
      <c r="J56" s="122">
        <v>49940.76</v>
      </c>
      <c r="K56" s="85">
        <v>0</v>
      </c>
      <c r="L56" s="86">
        <f t="shared" si="0"/>
        <v>443.02</v>
      </c>
      <c r="M56" s="277">
        <f t="shared" si="1"/>
        <v>0</v>
      </c>
      <c r="N56" s="87">
        <f t="shared" si="2"/>
        <v>112.72799999999999</v>
      </c>
      <c r="O56" s="88">
        <f t="shared" si="3"/>
        <v>443.02</v>
      </c>
      <c r="P56" s="278">
        <f t="shared" si="4"/>
        <v>49940.758559999995</v>
      </c>
    </row>
    <row r="57" spans="1:30" s="109" customFormat="1" ht="33" customHeight="1" x14ac:dyDescent="0.2">
      <c r="A57" s="97"/>
      <c r="B57" s="116"/>
      <c r="C57" s="117" t="s">
        <v>183</v>
      </c>
      <c r="D57" s="117" t="s">
        <v>69</v>
      </c>
      <c r="E57" s="118" t="s">
        <v>331</v>
      </c>
      <c r="F57" s="119" t="s">
        <v>332</v>
      </c>
      <c r="G57" s="120" t="s">
        <v>72</v>
      </c>
      <c r="H57" s="121">
        <v>11.55</v>
      </c>
      <c r="I57" s="122">
        <v>431.47</v>
      </c>
      <c r="J57" s="122">
        <v>4983.4799999999996</v>
      </c>
      <c r="K57" s="85">
        <v>0</v>
      </c>
      <c r="L57" s="86">
        <f t="shared" si="0"/>
        <v>431.47</v>
      </c>
      <c r="M57" s="277">
        <f t="shared" si="1"/>
        <v>0</v>
      </c>
      <c r="N57" s="87">
        <f t="shared" si="2"/>
        <v>11.55</v>
      </c>
      <c r="O57" s="88">
        <f t="shared" si="3"/>
        <v>431.47</v>
      </c>
      <c r="P57" s="278">
        <f t="shared" si="4"/>
        <v>4983.4785000000002</v>
      </c>
    </row>
    <row r="58" spans="1:30" s="110" customFormat="1" ht="22.9" customHeight="1" x14ac:dyDescent="0.2">
      <c r="C58" s="245"/>
      <c r="D58" s="246" t="s">
        <v>3</v>
      </c>
      <c r="E58" s="247" t="s">
        <v>90</v>
      </c>
      <c r="F58" s="247" t="s">
        <v>182</v>
      </c>
      <c r="G58" s="245"/>
      <c r="H58" s="245"/>
      <c r="I58" s="245"/>
      <c r="J58" s="248">
        <v>241331.21000000002</v>
      </c>
      <c r="K58" s="243"/>
      <c r="L58" s="244"/>
      <c r="M58" s="279">
        <f>SUM(M59:M73)</f>
        <v>-2888.4329000000007</v>
      </c>
      <c r="N58" s="280"/>
      <c r="O58" s="244"/>
      <c r="P58" s="279">
        <f>SUM(P59:P73)</f>
        <v>238442.77946999998</v>
      </c>
    </row>
    <row r="59" spans="1:30" s="109" customFormat="1" ht="33" customHeight="1" x14ac:dyDescent="0.2">
      <c r="A59" s="97"/>
      <c r="B59" s="116"/>
      <c r="C59" s="117" t="s">
        <v>186</v>
      </c>
      <c r="D59" s="117" t="s">
        <v>69</v>
      </c>
      <c r="E59" s="118" t="s">
        <v>615</v>
      </c>
      <c r="F59" s="119" t="s">
        <v>616</v>
      </c>
      <c r="G59" s="120" t="s">
        <v>61</v>
      </c>
      <c r="H59" s="121">
        <v>257.38</v>
      </c>
      <c r="I59" s="122">
        <v>122.32</v>
      </c>
      <c r="J59" s="122">
        <v>31482.720000000001</v>
      </c>
      <c r="K59" s="85">
        <f t="shared" ref="K59:K60" si="6">ROUND(254/257.38*H59-H59,2)</f>
        <v>-3.38</v>
      </c>
      <c r="L59" s="86">
        <f t="shared" si="0"/>
        <v>122.32</v>
      </c>
      <c r="M59" s="277">
        <f t="shared" si="1"/>
        <v>-413.44159999999994</v>
      </c>
      <c r="N59" s="87">
        <f t="shared" si="2"/>
        <v>254</v>
      </c>
      <c r="O59" s="88">
        <f t="shared" si="3"/>
        <v>122.32</v>
      </c>
      <c r="P59" s="278">
        <f t="shared" si="4"/>
        <v>31069.279999999999</v>
      </c>
    </row>
    <row r="60" spans="1:30" s="109" customFormat="1" ht="21.75" customHeight="1" x14ac:dyDescent="0.2">
      <c r="A60" s="97"/>
      <c r="B60" s="116"/>
      <c r="C60" s="123" t="s">
        <v>189</v>
      </c>
      <c r="D60" s="123" t="s">
        <v>127</v>
      </c>
      <c r="E60" s="124" t="s">
        <v>617</v>
      </c>
      <c r="F60" s="125" t="s">
        <v>618</v>
      </c>
      <c r="G60" s="126" t="s">
        <v>61</v>
      </c>
      <c r="H60" s="127">
        <v>261.24099999999999</v>
      </c>
      <c r="I60" s="128">
        <v>620.97</v>
      </c>
      <c r="J60" s="128">
        <v>162222.82</v>
      </c>
      <c r="K60" s="85">
        <f t="shared" si="6"/>
        <v>-3.43</v>
      </c>
      <c r="L60" s="86">
        <f t="shared" si="0"/>
        <v>620.97</v>
      </c>
      <c r="M60" s="277">
        <f t="shared" si="1"/>
        <v>-2129.9271000000003</v>
      </c>
      <c r="N60" s="87">
        <f t="shared" si="2"/>
        <v>257.81099999999998</v>
      </c>
      <c r="O60" s="88">
        <f t="shared" si="3"/>
        <v>620.97</v>
      </c>
      <c r="P60" s="278">
        <f t="shared" si="4"/>
        <v>160092.89666999999</v>
      </c>
    </row>
    <row r="61" spans="1:30" s="109" customFormat="1" ht="33" customHeight="1" x14ac:dyDescent="0.2">
      <c r="A61" s="97"/>
      <c r="B61" s="116"/>
      <c r="C61" s="117" t="s">
        <v>192</v>
      </c>
      <c r="D61" s="117" t="s">
        <v>69</v>
      </c>
      <c r="E61" s="118" t="s">
        <v>619</v>
      </c>
      <c r="F61" s="119" t="s">
        <v>620</v>
      </c>
      <c r="G61" s="120" t="s">
        <v>138</v>
      </c>
      <c r="H61" s="121">
        <v>12</v>
      </c>
      <c r="I61" s="122">
        <v>735.21</v>
      </c>
      <c r="J61" s="122">
        <v>8822.52</v>
      </c>
      <c r="K61" s="85">
        <v>0</v>
      </c>
      <c r="L61" s="86">
        <f t="shared" si="0"/>
        <v>735.21</v>
      </c>
      <c r="M61" s="277">
        <f t="shared" si="1"/>
        <v>0</v>
      </c>
      <c r="N61" s="87">
        <f t="shared" si="2"/>
        <v>12</v>
      </c>
      <c r="O61" s="88">
        <f t="shared" si="3"/>
        <v>735.21</v>
      </c>
      <c r="P61" s="278">
        <f t="shared" si="4"/>
        <v>8822.52</v>
      </c>
    </row>
    <row r="62" spans="1:30" s="109" customFormat="1" ht="16.5" customHeight="1" x14ac:dyDescent="0.2">
      <c r="A62" s="97"/>
      <c r="B62" s="116"/>
      <c r="C62" s="123" t="s">
        <v>195</v>
      </c>
      <c r="D62" s="123" t="s">
        <v>127</v>
      </c>
      <c r="E62" s="124" t="s">
        <v>621</v>
      </c>
      <c r="F62" s="125" t="s">
        <v>622</v>
      </c>
      <c r="G62" s="126" t="s">
        <v>138</v>
      </c>
      <c r="H62" s="127">
        <v>4</v>
      </c>
      <c r="I62" s="128">
        <v>322.23</v>
      </c>
      <c r="J62" s="128">
        <v>1288.92</v>
      </c>
      <c r="K62" s="85">
        <v>0</v>
      </c>
      <c r="L62" s="86">
        <f t="shared" si="0"/>
        <v>322.23</v>
      </c>
      <c r="M62" s="277">
        <f t="shared" si="1"/>
        <v>0</v>
      </c>
      <c r="N62" s="87">
        <f t="shared" si="2"/>
        <v>4</v>
      </c>
      <c r="O62" s="88">
        <f t="shared" si="3"/>
        <v>322.23</v>
      </c>
      <c r="P62" s="278">
        <f t="shared" si="4"/>
        <v>1288.92</v>
      </c>
    </row>
    <row r="63" spans="1:30" s="109" customFormat="1" ht="16.5" customHeight="1" x14ac:dyDescent="0.2">
      <c r="A63" s="97"/>
      <c r="B63" s="116"/>
      <c r="C63" s="123" t="s">
        <v>198</v>
      </c>
      <c r="D63" s="123" t="s">
        <v>127</v>
      </c>
      <c r="E63" s="124" t="s">
        <v>623</v>
      </c>
      <c r="F63" s="125" t="s">
        <v>624</v>
      </c>
      <c r="G63" s="126" t="s">
        <v>138</v>
      </c>
      <c r="H63" s="127">
        <v>1</v>
      </c>
      <c r="I63" s="128">
        <v>268.3</v>
      </c>
      <c r="J63" s="128">
        <v>268.3</v>
      </c>
      <c r="K63" s="85">
        <v>0</v>
      </c>
      <c r="L63" s="86">
        <f t="shared" si="0"/>
        <v>268.3</v>
      </c>
      <c r="M63" s="277">
        <f t="shared" si="1"/>
        <v>0</v>
      </c>
      <c r="N63" s="87">
        <f t="shared" si="2"/>
        <v>1</v>
      </c>
      <c r="O63" s="88">
        <f t="shared" si="3"/>
        <v>268.3</v>
      </c>
      <c r="P63" s="278">
        <f t="shared" si="4"/>
        <v>268.3</v>
      </c>
    </row>
    <row r="64" spans="1:30" s="109" customFormat="1" ht="21.75" customHeight="1" x14ac:dyDescent="0.2">
      <c r="A64" s="97"/>
      <c r="B64" s="116"/>
      <c r="C64" s="123" t="s">
        <v>201</v>
      </c>
      <c r="D64" s="123" t="s">
        <v>127</v>
      </c>
      <c r="E64" s="124" t="s">
        <v>625</v>
      </c>
      <c r="F64" s="125" t="s">
        <v>626</v>
      </c>
      <c r="G64" s="126" t="s">
        <v>138</v>
      </c>
      <c r="H64" s="127">
        <v>1</v>
      </c>
      <c r="I64" s="128">
        <v>502.41</v>
      </c>
      <c r="J64" s="128">
        <v>502.41</v>
      </c>
      <c r="K64" s="85">
        <v>0</v>
      </c>
      <c r="L64" s="86">
        <f t="shared" si="0"/>
        <v>502.41</v>
      </c>
      <c r="M64" s="277">
        <f t="shared" si="1"/>
        <v>0</v>
      </c>
      <c r="N64" s="87">
        <f t="shared" si="2"/>
        <v>1</v>
      </c>
      <c r="O64" s="88">
        <f t="shared" si="3"/>
        <v>502.41</v>
      </c>
      <c r="P64" s="278">
        <f t="shared" si="4"/>
        <v>502.41</v>
      </c>
    </row>
    <row r="65" spans="1:25" s="109" customFormat="1" ht="16.5" customHeight="1" x14ac:dyDescent="0.2">
      <c r="A65" s="97"/>
      <c r="B65" s="116"/>
      <c r="C65" s="123" t="s">
        <v>204</v>
      </c>
      <c r="D65" s="123" t="s">
        <v>127</v>
      </c>
      <c r="E65" s="124" t="s">
        <v>629</v>
      </c>
      <c r="F65" s="125" t="s">
        <v>630</v>
      </c>
      <c r="G65" s="126" t="s">
        <v>138</v>
      </c>
      <c r="H65" s="127">
        <v>5</v>
      </c>
      <c r="I65" s="128">
        <v>928.54</v>
      </c>
      <c r="J65" s="128">
        <v>4642.7</v>
      </c>
      <c r="K65" s="85">
        <v>0</v>
      </c>
      <c r="L65" s="86">
        <f t="shared" si="0"/>
        <v>928.54</v>
      </c>
      <c r="M65" s="277">
        <f t="shared" si="1"/>
        <v>0</v>
      </c>
      <c r="N65" s="87">
        <f t="shared" si="2"/>
        <v>5</v>
      </c>
      <c r="O65" s="88">
        <f t="shared" si="3"/>
        <v>928.54</v>
      </c>
      <c r="P65" s="278">
        <f t="shared" si="4"/>
        <v>4642.7</v>
      </c>
    </row>
    <row r="66" spans="1:25" s="109" customFormat="1" ht="16.5" customHeight="1" x14ac:dyDescent="0.2">
      <c r="A66" s="97"/>
      <c r="B66" s="116"/>
      <c r="C66" s="123" t="s">
        <v>207</v>
      </c>
      <c r="D66" s="123" t="s">
        <v>127</v>
      </c>
      <c r="E66" s="124" t="s">
        <v>912</v>
      </c>
      <c r="F66" s="125" t="s">
        <v>913</v>
      </c>
      <c r="G66" s="126" t="s">
        <v>138</v>
      </c>
      <c r="H66" s="127">
        <v>1</v>
      </c>
      <c r="I66" s="128">
        <v>928.54</v>
      </c>
      <c r="J66" s="128">
        <v>928.54</v>
      </c>
      <c r="K66" s="85">
        <v>0</v>
      </c>
      <c r="L66" s="86">
        <f t="shared" si="0"/>
        <v>928.54</v>
      </c>
      <c r="M66" s="277">
        <f t="shared" si="1"/>
        <v>0</v>
      </c>
      <c r="N66" s="87">
        <f t="shared" si="2"/>
        <v>1</v>
      </c>
      <c r="O66" s="88">
        <f t="shared" si="3"/>
        <v>928.54</v>
      </c>
      <c r="P66" s="278">
        <f t="shared" si="4"/>
        <v>928.54</v>
      </c>
    </row>
    <row r="67" spans="1:25" s="109" customFormat="1" ht="33" customHeight="1" x14ac:dyDescent="0.2">
      <c r="A67" s="97"/>
      <c r="B67" s="116"/>
      <c r="C67" s="117" t="s">
        <v>210</v>
      </c>
      <c r="D67" s="117" t="s">
        <v>69</v>
      </c>
      <c r="E67" s="118" t="s">
        <v>637</v>
      </c>
      <c r="F67" s="119" t="s">
        <v>638</v>
      </c>
      <c r="G67" s="120" t="s">
        <v>138</v>
      </c>
      <c r="H67" s="121">
        <v>1</v>
      </c>
      <c r="I67" s="122">
        <v>541.87</v>
      </c>
      <c r="J67" s="122">
        <v>541.87</v>
      </c>
      <c r="K67" s="85">
        <v>0</v>
      </c>
      <c r="L67" s="86">
        <f t="shared" si="0"/>
        <v>541.87</v>
      </c>
      <c r="M67" s="277">
        <f t="shared" si="1"/>
        <v>0</v>
      </c>
      <c r="N67" s="87">
        <f t="shared" si="2"/>
        <v>1</v>
      </c>
      <c r="O67" s="88">
        <f t="shared" si="3"/>
        <v>541.87</v>
      </c>
      <c r="P67" s="278">
        <f t="shared" si="4"/>
        <v>541.87</v>
      </c>
    </row>
    <row r="68" spans="1:25" s="109" customFormat="1" ht="21.75" customHeight="1" x14ac:dyDescent="0.2">
      <c r="A68" s="97"/>
      <c r="B68" s="116"/>
      <c r="C68" s="123" t="s">
        <v>214</v>
      </c>
      <c r="D68" s="123" t="s">
        <v>127</v>
      </c>
      <c r="E68" s="124" t="s">
        <v>639</v>
      </c>
      <c r="F68" s="125" t="s">
        <v>640</v>
      </c>
      <c r="G68" s="126" t="s">
        <v>138</v>
      </c>
      <c r="H68" s="127">
        <v>0</v>
      </c>
      <c r="I68" s="128">
        <v>14526.6</v>
      </c>
      <c r="J68" s="128">
        <v>0</v>
      </c>
      <c r="K68" s="85">
        <v>0</v>
      </c>
      <c r="L68" s="86">
        <f t="shared" si="0"/>
        <v>14526.6</v>
      </c>
      <c r="M68" s="277">
        <f t="shared" si="1"/>
        <v>0</v>
      </c>
      <c r="N68" s="87">
        <f t="shared" si="2"/>
        <v>0</v>
      </c>
      <c r="O68" s="88">
        <f t="shared" si="3"/>
        <v>14526.6</v>
      </c>
      <c r="P68" s="278">
        <f t="shared" si="4"/>
        <v>0</v>
      </c>
    </row>
    <row r="69" spans="1:25" s="109" customFormat="1" ht="21.75" customHeight="1" x14ac:dyDescent="0.2">
      <c r="A69" s="97"/>
      <c r="B69" s="116"/>
      <c r="C69" s="123" t="s">
        <v>217</v>
      </c>
      <c r="D69" s="123" t="s">
        <v>127</v>
      </c>
      <c r="E69" s="124" t="s">
        <v>641</v>
      </c>
      <c r="F69" s="125" t="s">
        <v>642</v>
      </c>
      <c r="G69" s="126" t="s">
        <v>138</v>
      </c>
      <c r="H69" s="127">
        <v>1</v>
      </c>
      <c r="I69" s="128">
        <v>2525.2199999999998</v>
      </c>
      <c r="J69" s="128">
        <v>2525.2199999999998</v>
      </c>
      <c r="K69" s="85">
        <v>0</v>
      </c>
      <c r="L69" s="86">
        <f t="shared" si="0"/>
        <v>2525.2199999999998</v>
      </c>
      <c r="M69" s="277">
        <f t="shared" si="1"/>
        <v>0</v>
      </c>
      <c r="N69" s="87">
        <f t="shared" si="2"/>
        <v>1</v>
      </c>
      <c r="O69" s="88">
        <f t="shared" si="3"/>
        <v>2525.2199999999998</v>
      </c>
      <c r="P69" s="278">
        <f t="shared" si="4"/>
        <v>2525.2199999999998</v>
      </c>
    </row>
    <row r="70" spans="1:25" s="109" customFormat="1" ht="21.75" customHeight="1" x14ac:dyDescent="0.2">
      <c r="A70" s="97"/>
      <c r="B70" s="116"/>
      <c r="C70" s="123" t="s">
        <v>220</v>
      </c>
      <c r="D70" s="123" t="s">
        <v>127</v>
      </c>
      <c r="E70" s="124" t="s">
        <v>643</v>
      </c>
      <c r="F70" s="125" t="s">
        <v>644</v>
      </c>
      <c r="G70" s="126" t="s">
        <v>138</v>
      </c>
      <c r="H70" s="127">
        <v>1</v>
      </c>
      <c r="I70" s="128">
        <v>1498.03</v>
      </c>
      <c r="J70" s="128">
        <v>1498.03</v>
      </c>
      <c r="K70" s="85">
        <v>0</v>
      </c>
      <c r="L70" s="86">
        <f t="shared" si="0"/>
        <v>1498.03</v>
      </c>
      <c r="M70" s="277">
        <f t="shared" si="1"/>
        <v>0</v>
      </c>
      <c r="N70" s="87">
        <f t="shared" si="2"/>
        <v>1</v>
      </c>
      <c r="O70" s="88">
        <f t="shared" si="3"/>
        <v>1498.03</v>
      </c>
      <c r="P70" s="278">
        <f t="shared" si="4"/>
        <v>1498.03</v>
      </c>
    </row>
    <row r="71" spans="1:25" s="109" customFormat="1" ht="21.75" customHeight="1" x14ac:dyDescent="0.2">
      <c r="A71" s="97"/>
      <c r="B71" s="116"/>
      <c r="C71" s="117" t="s">
        <v>223</v>
      </c>
      <c r="D71" s="117" t="s">
        <v>69</v>
      </c>
      <c r="E71" s="118" t="s">
        <v>467</v>
      </c>
      <c r="F71" s="119" t="s">
        <v>468</v>
      </c>
      <c r="G71" s="120" t="s">
        <v>138</v>
      </c>
      <c r="H71" s="121">
        <v>1</v>
      </c>
      <c r="I71" s="122">
        <v>322.22000000000003</v>
      </c>
      <c r="J71" s="122">
        <v>322.22000000000003</v>
      </c>
      <c r="K71" s="85">
        <v>0</v>
      </c>
      <c r="L71" s="86">
        <f t="shared" si="0"/>
        <v>322.22000000000003</v>
      </c>
      <c r="M71" s="277">
        <f t="shared" si="1"/>
        <v>0</v>
      </c>
      <c r="N71" s="87">
        <f t="shared" si="2"/>
        <v>1</v>
      </c>
      <c r="O71" s="88">
        <f t="shared" si="3"/>
        <v>322.22000000000003</v>
      </c>
      <c r="P71" s="278">
        <f t="shared" si="4"/>
        <v>322.22000000000003</v>
      </c>
    </row>
    <row r="72" spans="1:25" s="109" customFormat="1" ht="16.5" customHeight="1" x14ac:dyDescent="0.2">
      <c r="A72" s="97"/>
      <c r="B72" s="116"/>
      <c r="C72" s="117" t="s">
        <v>226</v>
      </c>
      <c r="D72" s="117" t="s">
        <v>69</v>
      </c>
      <c r="E72" s="118" t="s">
        <v>469</v>
      </c>
      <c r="F72" s="119" t="s">
        <v>470</v>
      </c>
      <c r="G72" s="120" t="s">
        <v>61</v>
      </c>
      <c r="H72" s="121">
        <v>534.76</v>
      </c>
      <c r="I72" s="122">
        <v>44.72</v>
      </c>
      <c r="J72" s="122">
        <v>23914.47</v>
      </c>
      <c r="K72" s="85">
        <f t="shared" ref="K72:K73" si="7">ROUND(254/257.38*H72-H72,2)</f>
        <v>-7.02</v>
      </c>
      <c r="L72" s="86">
        <f t="shared" si="0"/>
        <v>44.72</v>
      </c>
      <c r="M72" s="277">
        <f t="shared" si="1"/>
        <v>-313.93439999999998</v>
      </c>
      <c r="N72" s="87">
        <f t="shared" si="2"/>
        <v>527.74</v>
      </c>
      <c r="O72" s="88">
        <f t="shared" si="3"/>
        <v>44.72</v>
      </c>
      <c r="P72" s="278">
        <f t="shared" si="4"/>
        <v>23600.532800000001</v>
      </c>
      <c r="Y72" s="148" t="s">
        <v>1143</v>
      </c>
    </row>
    <row r="73" spans="1:25" s="109" customFormat="1" ht="16.5" customHeight="1" x14ac:dyDescent="0.2">
      <c r="A73" s="97"/>
      <c r="B73" s="116"/>
      <c r="C73" s="117" t="s">
        <v>229</v>
      </c>
      <c r="D73" s="117" t="s">
        <v>69</v>
      </c>
      <c r="E73" s="118" t="s">
        <v>471</v>
      </c>
      <c r="F73" s="119" t="s">
        <v>472</v>
      </c>
      <c r="G73" s="120" t="s">
        <v>61</v>
      </c>
      <c r="H73" s="121">
        <v>257.38</v>
      </c>
      <c r="I73" s="122">
        <v>9.2100000000000009</v>
      </c>
      <c r="J73" s="122">
        <v>2370.4699999999998</v>
      </c>
      <c r="K73" s="85">
        <f t="shared" si="7"/>
        <v>-3.38</v>
      </c>
      <c r="L73" s="86">
        <f t="shared" si="0"/>
        <v>9.2100000000000009</v>
      </c>
      <c r="M73" s="277">
        <f t="shared" si="1"/>
        <v>-31.129800000000003</v>
      </c>
      <c r="N73" s="87">
        <f t="shared" si="2"/>
        <v>254</v>
      </c>
      <c r="O73" s="88">
        <f t="shared" si="3"/>
        <v>9.2100000000000009</v>
      </c>
      <c r="P73" s="278">
        <f t="shared" si="4"/>
        <v>2339.34</v>
      </c>
    </row>
    <row r="74" spans="1:25" s="110" customFormat="1" ht="22.9" customHeight="1" x14ac:dyDescent="0.2">
      <c r="C74" s="245"/>
      <c r="D74" s="246" t="s">
        <v>3</v>
      </c>
      <c r="E74" s="247" t="s">
        <v>93</v>
      </c>
      <c r="F74" s="247" t="s">
        <v>268</v>
      </c>
      <c r="G74" s="245"/>
      <c r="H74" s="245"/>
      <c r="I74" s="245"/>
      <c r="J74" s="248">
        <v>67262.820000000007</v>
      </c>
      <c r="K74" s="243"/>
      <c r="L74" s="244"/>
      <c r="M74" s="279">
        <f>SUM(M75:M80)</f>
        <v>0</v>
      </c>
      <c r="N74" s="280"/>
      <c r="O74" s="244"/>
      <c r="P74" s="279">
        <f>SUM(P75:P80)</f>
        <v>67262.829200000007</v>
      </c>
    </row>
    <row r="75" spans="1:25" s="109" customFormat="1" ht="44.25" customHeight="1" x14ac:dyDescent="0.2">
      <c r="A75" s="97"/>
      <c r="B75" s="116"/>
      <c r="C75" s="117" t="s">
        <v>232</v>
      </c>
      <c r="D75" s="117" t="s">
        <v>69</v>
      </c>
      <c r="E75" s="118" t="s">
        <v>270</v>
      </c>
      <c r="F75" s="119" t="s">
        <v>271</v>
      </c>
      <c r="G75" s="120" t="s">
        <v>61</v>
      </c>
      <c r="H75" s="121">
        <v>215.96</v>
      </c>
      <c r="I75" s="122">
        <v>87.65</v>
      </c>
      <c r="J75" s="122">
        <v>18928.89</v>
      </c>
      <c r="K75" s="85">
        <v>0</v>
      </c>
      <c r="L75" s="86">
        <f t="shared" si="0"/>
        <v>87.65</v>
      </c>
      <c r="M75" s="277">
        <f t="shared" si="1"/>
        <v>0</v>
      </c>
      <c r="N75" s="87">
        <f t="shared" si="2"/>
        <v>215.96</v>
      </c>
      <c r="O75" s="88">
        <f t="shared" si="3"/>
        <v>87.65</v>
      </c>
      <c r="P75" s="278">
        <f t="shared" si="4"/>
        <v>18928.894</v>
      </c>
    </row>
    <row r="76" spans="1:25" s="109" customFormat="1" ht="33" customHeight="1" x14ac:dyDescent="0.2">
      <c r="A76" s="97"/>
      <c r="B76" s="116"/>
      <c r="C76" s="117" t="s">
        <v>235</v>
      </c>
      <c r="D76" s="117" t="s">
        <v>69</v>
      </c>
      <c r="E76" s="118" t="s">
        <v>273</v>
      </c>
      <c r="F76" s="119" t="s">
        <v>274</v>
      </c>
      <c r="G76" s="120" t="s">
        <v>61</v>
      </c>
      <c r="H76" s="121">
        <v>420.92</v>
      </c>
      <c r="I76" s="122">
        <v>32.22</v>
      </c>
      <c r="J76" s="122">
        <v>13562.04</v>
      </c>
      <c r="K76" s="85">
        <v>0</v>
      </c>
      <c r="L76" s="86">
        <f t="shared" si="0"/>
        <v>32.22</v>
      </c>
      <c r="M76" s="277">
        <f t="shared" si="1"/>
        <v>0</v>
      </c>
      <c r="N76" s="87">
        <f t="shared" si="2"/>
        <v>420.92</v>
      </c>
      <c r="O76" s="88">
        <f t="shared" si="3"/>
        <v>32.22</v>
      </c>
      <c r="P76" s="278">
        <f t="shared" si="4"/>
        <v>13562.0424</v>
      </c>
    </row>
    <row r="77" spans="1:25" s="109" customFormat="1" ht="33" customHeight="1" x14ac:dyDescent="0.2">
      <c r="A77" s="97"/>
      <c r="B77" s="116"/>
      <c r="C77" s="117" t="s">
        <v>238</v>
      </c>
      <c r="D77" s="117" t="s">
        <v>69</v>
      </c>
      <c r="E77" s="118" t="s">
        <v>350</v>
      </c>
      <c r="F77" s="119" t="s">
        <v>351</v>
      </c>
      <c r="G77" s="120" t="s">
        <v>61</v>
      </c>
      <c r="H77" s="121">
        <v>21</v>
      </c>
      <c r="I77" s="122">
        <v>32.22</v>
      </c>
      <c r="J77" s="122">
        <v>676.62</v>
      </c>
      <c r="K77" s="85">
        <v>0</v>
      </c>
      <c r="L77" s="86">
        <f t="shared" si="0"/>
        <v>32.22</v>
      </c>
      <c r="M77" s="277">
        <f t="shared" si="1"/>
        <v>0</v>
      </c>
      <c r="N77" s="87">
        <f t="shared" si="2"/>
        <v>21</v>
      </c>
      <c r="O77" s="88">
        <f t="shared" si="3"/>
        <v>32.22</v>
      </c>
      <c r="P77" s="278">
        <f t="shared" si="4"/>
        <v>676.62</v>
      </c>
    </row>
    <row r="78" spans="1:25" s="109" customFormat="1" ht="21.75" customHeight="1" x14ac:dyDescent="0.2">
      <c r="A78" s="97"/>
      <c r="B78" s="116"/>
      <c r="C78" s="117" t="s">
        <v>241</v>
      </c>
      <c r="D78" s="117" t="s">
        <v>69</v>
      </c>
      <c r="E78" s="118" t="s">
        <v>276</v>
      </c>
      <c r="F78" s="119" t="s">
        <v>277</v>
      </c>
      <c r="G78" s="120" t="s">
        <v>61</v>
      </c>
      <c r="H78" s="121">
        <v>420.92</v>
      </c>
      <c r="I78" s="122">
        <v>72.34</v>
      </c>
      <c r="J78" s="122">
        <v>30449.35</v>
      </c>
      <c r="K78" s="85">
        <v>0</v>
      </c>
      <c r="L78" s="86">
        <f t="shared" si="0"/>
        <v>72.34</v>
      </c>
      <c r="M78" s="277">
        <f t="shared" si="1"/>
        <v>0</v>
      </c>
      <c r="N78" s="87">
        <f t="shared" si="2"/>
        <v>420.92</v>
      </c>
      <c r="O78" s="88">
        <f t="shared" si="3"/>
        <v>72.34</v>
      </c>
      <c r="P78" s="278">
        <f t="shared" si="4"/>
        <v>30449.352800000004</v>
      </c>
    </row>
    <row r="79" spans="1:25" s="109" customFormat="1" ht="21.75" customHeight="1" x14ac:dyDescent="0.2">
      <c r="A79" s="97"/>
      <c r="B79" s="116"/>
      <c r="C79" s="117" t="s">
        <v>244</v>
      </c>
      <c r="D79" s="117" t="s">
        <v>69</v>
      </c>
      <c r="E79" s="118" t="s">
        <v>354</v>
      </c>
      <c r="F79" s="119" t="s">
        <v>355</v>
      </c>
      <c r="G79" s="120" t="s">
        <v>61</v>
      </c>
      <c r="H79" s="121">
        <v>21</v>
      </c>
      <c r="I79" s="122">
        <v>94.7</v>
      </c>
      <c r="J79" s="122">
        <v>1988.7</v>
      </c>
      <c r="K79" s="85">
        <v>0</v>
      </c>
      <c r="L79" s="86">
        <f t="shared" si="0"/>
        <v>94.7</v>
      </c>
      <c r="M79" s="277">
        <f t="shared" si="1"/>
        <v>0</v>
      </c>
      <c r="N79" s="87">
        <f t="shared" si="2"/>
        <v>21</v>
      </c>
      <c r="O79" s="88">
        <f t="shared" si="3"/>
        <v>94.7</v>
      </c>
      <c r="P79" s="278">
        <f t="shared" si="4"/>
        <v>1988.7</v>
      </c>
    </row>
    <row r="80" spans="1:25" s="109" customFormat="1" ht="33" customHeight="1" x14ac:dyDescent="0.2">
      <c r="A80" s="97"/>
      <c r="B80" s="116"/>
      <c r="C80" s="117" t="s">
        <v>247</v>
      </c>
      <c r="D80" s="117" t="s">
        <v>69</v>
      </c>
      <c r="E80" s="118" t="s">
        <v>279</v>
      </c>
      <c r="F80" s="119" t="s">
        <v>280</v>
      </c>
      <c r="G80" s="120" t="s">
        <v>138</v>
      </c>
      <c r="H80" s="121">
        <v>1</v>
      </c>
      <c r="I80" s="122">
        <v>1657.22</v>
      </c>
      <c r="J80" s="122">
        <v>1657.22</v>
      </c>
      <c r="K80" s="85">
        <v>0</v>
      </c>
      <c r="L80" s="86">
        <f t="shared" ref="L80:L88" si="8">I80</f>
        <v>1657.22</v>
      </c>
      <c r="M80" s="277">
        <f t="shared" ref="M80:M88" si="9">K80*L80</f>
        <v>0</v>
      </c>
      <c r="N80" s="87">
        <f t="shared" ref="N80:N88" si="10">H80+K80</f>
        <v>1</v>
      </c>
      <c r="O80" s="88">
        <f t="shared" ref="O80:O88" si="11">I80</f>
        <v>1657.22</v>
      </c>
      <c r="P80" s="278">
        <f t="shared" ref="P80:P88" si="12">N80*O80</f>
        <v>1657.22</v>
      </c>
    </row>
    <row r="81" spans="1:26" s="110" customFormat="1" ht="22.9" customHeight="1" x14ac:dyDescent="0.2">
      <c r="C81" s="245"/>
      <c r="D81" s="246" t="s">
        <v>3</v>
      </c>
      <c r="E81" s="247" t="s">
        <v>281</v>
      </c>
      <c r="F81" s="247" t="s">
        <v>282</v>
      </c>
      <c r="G81" s="245"/>
      <c r="H81" s="245"/>
      <c r="I81" s="245"/>
      <c r="J81" s="248">
        <v>48988.119999999995</v>
      </c>
      <c r="K81" s="243"/>
      <c r="L81" s="244"/>
      <c r="M81" s="279">
        <f>SUM(M82:M86)</f>
        <v>-511.03929999999997</v>
      </c>
      <c r="N81" s="280"/>
      <c r="O81" s="244"/>
      <c r="P81" s="279">
        <f>SUM(P82:P86)</f>
        <v>48477.078789999992</v>
      </c>
    </row>
    <row r="82" spans="1:26" s="109" customFormat="1" ht="21.75" customHeight="1" x14ac:dyDescent="0.2">
      <c r="A82" s="97"/>
      <c r="B82" s="116"/>
      <c r="C82" s="117" t="s">
        <v>250</v>
      </c>
      <c r="D82" s="117" t="s">
        <v>69</v>
      </c>
      <c r="E82" s="118" t="s">
        <v>284</v>
      </c>
      <c r="F82" s="119" t="s">
        <v>285</v>
      </c>
      <c r="G82" s="120" t="s">
        <v>120</v>
      </c>
      <c r="H82" s="121">
        <v>152.25700000000001</v>
      </c>
      <c r="I82" s="122">
        <v>129.72</v>
      </c>
      <c r="J82" s="122">
        <v>19750.78</v>
      </c>
      <c r="K82" s="85">
        <f t="shared" ref="K82" si="13">ROUND(254/257.38*H82-H82,2)</f>
        <v>-2</v>
      </c>
      <c r="L82" s="86">
        <f t="shared" si="8"/>
        <v>129.72</v>
      </c>
      <c r="M82" s="277">
        <f t="shared" si="9"/>
        <v>-259.44</v>
      </c>
      <c r="N82" s="87">
        <f t="shared" si="10"/>
        <v>150.25700000000001</v>
      </c>
      <c r="O82" s="88">
        <f t="shared" si="11"/>
        <v>129.72</v>
      </c>
      <c r="P82" s="278">
        <f t="shared" si="12"/>
        <v>19491.338039999999</v>
      </c>
    </row>
    <row r="83" spans="1:26" s="109" customFormat="1" ht="33" customHeight="1" x14ac:dyDescent="0.2">
      <c r="A83" s="97"/>
      <c r="B83" s="116"/>
      <c r="C83" s="117" t="s">
        <v>253</v>
      </c>
      <c r="D83" s="117" t="s">
        <v>69</v>
      </c>
      <c r="E83" s="118" t="s">
        <v>287</v>
      </c>
      <c r="F83" s="119" t="s">
        <v>288</v>
      </c>
      <c r="G83" s="120" t="s">
        <v>120</v>
      </c>
      <c r="H83" s="121">
        <v>38.716000000000001</v>
      </c>
      <c r="I83" s="122">
        <v>257.77999999999997</v>
      </c>
      <c r="J83" s="122">
        <v>9980.2099999999991</v>
      </c>
      <c r="K83" s="85">
        <v>0</v>
      </c>
      <c r="L83" s="86">
        <f t="shared" si="8"/>
        <v>257.77999999999997</v>
      </c>
      <c r="M83" s="277">
        <f t="shared" si="9"/>
        <v>0</v>
      </c>
      <c r="N83" s="87">
        <f t="shared" si="10"/>
        <v>38.716000000000001</v>
      </c>
      <c r="O83" s="88">
        <f t="shared" si="11"/>
        <v>257.77999999999997</v>
      </c>
      <c r="P83" s="278">
        <f t="shared" si="12"/>
        <v>9980.2104799999997</v>
      </c>
    </row>
    <row r="84" spans="1:26" s="109" customFormat="1" ht="33" customHeight="1" x14ac:dyDescent="0.2">
      <c r="A84" s="97"/>
      <c r="B84" s="116"/>
      <c r="C84" s="117" t="s">
        <v>256</v>
      </c>
      <c r="D84" s="117" t="s">
        <v>69</v>
      </c>
      <c r="E84" s="118" t="s">
        <v>290</v>
      </c>
      <c r="F84" s="119" t="s">
        <v>119</v>
      </c>
      <c r="G84" s="120" t="s">
        <v>120</v>
      </c>
      <c r="H84" s="121">
        <v>113.541</v>
      </c>
      <c r="I84" s="122">
        <v>154.66999999999999</v>
      </c>
      <c r="J84" s="122">
        <v>17561.39</v>
      </c>
      <c r="K84" s="85">
        <f t="shared" ref="K84:K86" si="14">ROUND(254/257.38*H84-H84,2)</f>
        <v>-1.49</v>
      </c>
      <c r="L84" s="86">
        <f t="shared" si="8"/>
        <v>154.66999999999999</v>
      </c>
      <c r="M84" s="277">
        <f t="shared" si="9"/>
        <v>-230.45829999999998</v>
      </c>
      <c r="N84" s="87">
        <f t="shared" si="10"/>
        <v>112.051</v>
      </c>
      <c r="O84" s="88">
        <f t="shared" si="11"/>
        <v>154.66999999999999</v>
      </c>
      <c r="P84" s="278">
        <f t="shared" si="12"/>
        <v>17330.928169999999</v>
      </c>
      <c r="Y84" s="148" t="s">
        <v>1137</v>
      </c>
      <c r="Z84" s="109" t="s">
        <v>1144</v>
      </c>
    </row>
    <row r="85" spans="1:26" s="109" customFormat="1" ht="21.75" customHeight="1" x14ac:dyDescent="0.2">
      <c r="A85" s="97"/>
      <c r="B85" s="116"/>
      <c r="C85" s="117" t="s">
        <v>259</v>
      </c>
      <c r="D85" s="117" t="s">
        <v>69</v>
      </c>
      <c r="E85" s="118" t="s">
        <v>361</v>
      </c>
      <c r="F85" s="119" t="s">
        <v>362</v>
      </c>
      <c r="G85" s="120" t="s">
        <v>120</v>
      </c>
      <c r="H85" s="121">
        <v>7.2190000000000003</v>
      </c>
      <c r="I85" s="122">
        <v>80.23</v>
      </c>
      <c r="J85" s="122">
        <v>579.17999999999995</v>
      </c>
      <c r="K85" s="85">
        <f t="shared" si="14"/>
        <v>-0.09</v>
      </c>
      <c r="L85" s="86">
        <f t="shared" si="8"/>
        <v>80.23</v>
      </c>
      <c r="M85" s="277">
        <f t="shared" si="9"/>
        <v>-7.2206999999999999</v>
      </c>
      <c r="N85" s="87">
        <f t="shared" si="10"/>
        <v>7.1290000000000004</v>
      </c>
      <c r="O85" s="88">
        <f t="shared" si="11"/>
        <v>80.23</v>
      </c>
      <c r="P85" s="278">
        <f t="shared" si="12"/>
        <v>571.95967000000007</v>
      </c>
    </row>
    <row r="86" spans="1:26" s="109" customFormat="1" ht="33" customHeight="1" x14ac:dyDescent="0.2">
      <c r="A86" s="97"/>
      <c r="B86" s="116"/>
      <c r="C86" s="117" t="s">
        <v>262</v>
      </c>
      <c r="D86" s="117" t="s">
        <v>69</v>
      </c>
      <c r="E86" s="118" t="s">
        <v>364</v>
      </c>
      <c r="F86" s="119" t="s">
        <v>365</v>
      </c>
      <c r="G86" s="120" t="s">
        <v>120</v>
      </c>
      <c r="H86" s="121">
        <v>7.2190000000000003</v>
      </c>
      <c r="I86" s="122">
        <v>154.66999999999999</v>
      </c>
      <c r="J86" s="122">
        <v>1116.56</v>
      </c>
      <c r="K86" s="85">
        <f t="shared" si="14"/>
        <v>-0.09</v>
      </c>
      <c r="L86" s="86">
        <f t="shared" si="8"/>
        <v>154.66999999999999</v>
      </c>
      <c r="M86" s="277">
        <f t="shared" si="9"/>
        <v>-13.920299999999999</v>
      </c>
      <c r="N86" s="87">
        <f t="shared" si="10"/>
        <v>7.1290000000000004</v>
      </c>
      <c r="O86" s="88">
        <f t="shared" si="11"/>
        <v>154.66999999999999</v>
      </c>
      <c r="P86" s="278">
        <f t="shared" si="12"/>
        <v>1102.6424299999999</v>
      </c>
    </row>
    <row r="87" spans="1:26" s="110" customFormat="1" ht="22.9" customHeight="1" x14ac:dyDescent="0.2">
      <c r="C87" s="245"/>
      <c r="D87" s="246" t="s">
        <v>3</v>
      </c>
      <c r="E87" s="247" t="s">
        <v>291</v>
      </c>
      <c r="F87" s="247" t="s">
        <v>292</v>
      </c>
      <c r="G87" s="245"/>
      <c r="H87" s="245"/>
      <c r="I87" s="245"/>
      <c r="J87" s="248">
        <v>552.99</v>
      </c>
      <c r="K87" s="243"/>
      <c r="L87" s="244"/>
      <c r="M87" s="279">
        <f>M88</f>
        <v>-6.8651999999999997</v>
      </c>
      <c r="N87" s="280"/>
      <c r="O87" s="244"/>
      <c r="P87" s="279">
        <f>P88</f>
        <v>546.12666000000013</v>
      </c>
    </row>
    <row r="88" spans="1:26" s="109" customFormat="1" ht="44.25" customHeight="1" x14ac:dyDescent="0.2">
      <c r="A88" s="97"/>
      <c r="B88" s="116"/>
      <c r="C88" s="117" t="s">
        <v>265</v>
      </c>
      <c r="D88" s="117" t="s">
        <v>69</v>
      </c>
      <c r="E88" s="118" t="s">
        <v>473</v>
      </c>
      <c r="F88" s="119" t="s">
        <v>474</v>
      </c>
      <c r="G88" s="120" t="s">
        <v>120</v>
      </c>
      <c r="H88" s="121">
        <v>4.8330000000000002</v>
      </c>
      <c r="I88" s="122">
        <v>114.42</v>
      </c>
      <c r="J88" s="122">
        <v>552.99</v>
      </c>
      <c r="K88" s="85">
        <f t="shared" ref="K88" si="15">ROUND(254/257.38*H88-H88,2)</f>
        <v>-0.06</v>
      </c>
      <c r="L88" s="86">
        <f t="shared" si="8"/>
        <v>114.42</v>
      </c>
      <c r="M88" s="277">
        <f t="shared" si="9"/>
        <v>-6.8651999999999997</v>
      </c>
      <c r="N88" s="87">
        <f t="shared" si="10"/>
        <v>4.7730000000000006</v>
      </c>
      <c r="O88" s="88">
        <f t="shared" si="11"/>
        <v>114.42</v>
      </c>
      <c r="P88" s="278">
        <f t="shared" si="12"/>
        <v>546.12666000000013</v>
      </c>
    </row>
    <row r="89" spans="1:26" s="109" customFormat="1" ht="6.95" customHeight="1" x14ac:dyDescent="0.2">
      <c r="A89" s="97"/>
      <c r="B89" s="97"/>
      <c r="C89" s="97"/>
      <c r="D89" s="97"/>
      <c r="E89" s="97"/>
      <c r="F89" s="97"/>
      <c r="G89" s="97"/>
      <c r="H89" s="97"/>
      <c r="I89" s="97"/>
      <c r="J89" s="97"/>
      <c r="N89" s="87"/>
    </row>
    <row r="90" spans="1:26" ht="18" customHeight="1" x14ac:dyDescent="0.2">
      <c r="D90" s="89"/>
      <c r="E90" s="141" t="str">
        <f>CONCATENATE("CELKEM ",C$12)</f>
        <v>CELKEM 02 - SO 03.B - Výtlačný řad 2 - d110</v>
      </c>
      <c r="F90" s="90"/>
      <c r="G90" s="90"/>
      <c r="H90" s="91"/>
      <c r="I90" s="90"/>
      <c r="J90" s="92">
        <v>1370956.36</v>
      </c>
      <c r="K90" s="94"/>
      <c r="L90" s="92"/>
      <c r="M90" s="147">
        <f>M87+M81+M74+M58+M47+M45+M43+M14</f>
        <v>-13125.838299999999</v>
      </c>
      <c r="N90" s="147"/>
      <c r="O90" s="147"/>
      <c r="P90" s="147">
        <f t="shared" ref="P90" si="16">P87+P81+P74+P58+P47+P45+P43+P14</f>
        <v>1357830.5485099999</v>
      </c>
    </row>
    <row r="91" spans="1:26" ht="0.75" customHeight="1" x14ac:dyDescent="0.2">
      <c r="I91" s="95"/>
    </row>
    <row r="92" spans="1:26" ht="14.25" x14ac:dyDescent="0.2">
      <c r="E92" s="58" t="s">
        <v>994</v>
      </c>
      <c r="F92" s="58"/>
      <c r="H92" s="96"/>
      <c r="J92" s="161"/>
      <c r="K92" s="58" t="s">
        <v>995</v>
      </c>
    </row>
  </sheetData>
  <protectedRanges>
    <protectedRange password="CCAA" sqref="K8" name="Oblast1_1_1_1_1_1_1"/>
    <protectedRange password="CCAA" sqref="D9:H10" name="Oblast1_2_1_1_1_1_1"/>
  </protectedRanges>
  <autoFilter ref="C10:P88" xr:uid="{41F052D5-B8A4-4AEA-ADF4-9D36091D4159}"/>
  <mergeCells count="5">
    <mergeCell ref="AC48:AC50"/>
    <mergeCell ref="K9:M9"/>
    <mergeCell ref="N9:P9"/>
    <mergeCell ref="AD48:AD50"/>
    <mergeCell ref="AB48:AB50"/>
  </mergeCells>
  <pageMargins left="0.39370078740157483" right="0.39370078740157483" top="0.39370078740157483" bottom="0.39370078740157483" header="0" footer="0"/>
  <pageSetup paperSize="9" scale="52" fitToHeight="0" orientation="portrait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T92"/>
  <sheetViews>
    <sheetView showGridLines="0" view="pageBreakPreview" topLeftCell="A71" zoomScale="80" zoomScaleNormal="90" zoomScaleSheetLayoutView="80" workbookViewId="0">
      <selection activeCell="K69" sqref="K69"/>
    </sheetView>
  </sheetViews>
  <sheetFormatPr defaultColWidth="9.33203125" defaultRowHeight="11.25" x14ac:dyDescent="0.2"/>
  <cols>
    <col min="1" max="1" width="8.33203125" style="60" customWidth="1"/>
    <col min="2" max="2" width="1.6640625" style="60" customWidth="1"/>
    <col min="3" max="3" width="5.6640625" style="60" customWidth="1"/>
    <col min="4" max="4" width="11.6640625" style="60" bestFit="1" customWidth="1"/>
    <col min="5" max="5" width="15.6640625" style="60" customWidth="1"/>
    <col min="6" max="6" width="51.1640625" style="60" bestFit="1" customWidth="1"/>
    <col min="7" max="7" width="11.1640625" style="60" customWidth="1"/>
    <col min="8" max="8" width="14.83203125" style="60" bestFit="1" customWidth="1"/>
    <col min="9" max="9" width="13.33203125" style="60" customWidth="1"/>
    <col min="10" max="10" width="21.83203125" style="60" bestFit="1" customWidth="1"/>
    <col min="11" max="11" width="16.33203125" style="60" bestFit="1" customWidth="1"/>
    <col min="12" max="12" width="10.5" style="60" bestFit="1" customWidth="1"/>
    <col min="13" max="13" width="15" style="60" customWidth="1"/>
    <col min="14" max="14" width="12.83203125" style="60" bestFit="1" customWidth="1"/>
    <col min="15" max="15" width="11.33203125" style="60" bestFit="1" customWidth="1"/>
    <col min="16" max="16" width="20.1640625" style="60" bestFit="1" customWidth="1"/>
    <col min="17" max="17" width="23.83203125" style="60" bestFit="1" customWidth="1"/>
    <col min="18" max="18" width="71.6640625" style="60" bestFit="1" customWidth="1"/>
    <col min="19" max="19" width="23.83203125" style="60" bestFit="1" customWidth="1"/>
    <col min="20" max="20" width="9.33203125" style="60" hidden="1" customWidth="1"/>
    <col min="21" max="16384" width="9.33203125" style="60"/>
  </cols>
  <sheetData>
    <row r="1" spans="1:19" ht="15" x14ac:dyDescent="0.2">
      <c r="F1" s="3"/>
      <c r="G1" s="4"/>
      <c r="H1" s="1"/>
      <c r="J1" s="61"/>
      <c r="K1" s="62"/>
    </row>
    <row r="2" spans="1:19" s="1" customFormat="1" ht="15.75" x14ac:dyDescent="0.25">
      <c r="E2" s="2"/>
      <c r="F2" s="3" t="s">
        <v>979</v>
      </c>
      <c r="G2" s="4" t="str">
        <f>'[1]VRN 01'!G3</f>
        <v>Odkanalizování povodí Jizery - část B</v>
      </c>
      <c r="I2" s="5"/>
      <c r="J2" s="63"/>
      <c r="K2" s="5"/>
      <c r="L2" s="6"/>
      <c r="M2" s="6"/>
      <c r="N2" s="6"/>
      <c r="O2" s="10"/>
      <c r="P2" s="11"/>
    </row>
    <row r="3" spans="1:19" s="1" customFormat="1" ht="15.75" x14ac:dyDescent="0.25">
      <c r="E3" s="2"/>
      <c r="F3" s="3" t="s">
        <v>980</v>
      </c>
      <c r="G3" s="4" t="str">
        <f>+'Rekapitulace stavby'!D2</f>
        <v>ÚHERCE, výstavba kanalizace - UZNATELNÉ NÁKLADY - doměrky</v>
      </c>
      <c r="H3" s="2"/>
      <c r="I3" s="5"/>
      <c r="J3" s="63"/>
      <c r="K3" s="5"/>
      <c r="L3" s="6"/>
      <c r="M3" s="6"/>
      <c r="N3" s="6"/>
      <c r="O3" s="10"/>
      <c r="P3" s="11"/>
    </row>
    <row r="4" spans="1:19" s="2" customFormat="1" ht="15.75" x14ac:dyDescent="0.25">
      <c r="F4" s="12" t="s">
        <v>981</v>
      </c>
      <c r="G4" s="13" t="str">
        <f>'[1]VRN 01'!G5</f>
        <v>VRI/SOD/2020/Ži</v>
      </c>
      <c r="I4" s="5"/>
      <c r="J4" s="65"/>
      <c r="K4" s="5"/>
      <c r="L4" s="14"/>
      <c r="M4" s="14"/>
      <c r="N4" s="14"/>
      <c r="O4" s="18"/>
      <c r="P4" s="19"/>
    </row>
    <row r="5" spans="1:19" s="2" customFormat="1" ht="15.75" x14ac:dyDescent="0.25">
      <c r="F5" s="12" t="s">
        <v>983</v>
      </c>
      <c r="G5" s="13" t="s">
        <v>1001</v>
      </c>
      <c r="I5" s="5"/>
      <c r="J5" s="65"/>
      <c r="K5" s="5"/>
      <c r="L5" s="14"/>
      <c r="M5" s="14"/>
      <c r="N5" s="14"/>
      <c r="O5" s="18"/>
      <c r="P5" s="19"/>
    </row>
    <row r="6" spans="1:19" s="2" customFormat="1" ht="15.75" x14ac:dyDescent="0.25">
      <c r="F6" s="3" t="s">
        <v>984</v>
      </c>
      <c r="G6" s="13" t="str">
        <f>'[1]VRN 01'!G7</f>
        <v>Vododvody a kanalizace Mladá Boleslav, a.s.</v>
      </c>
      <c r="I6" s="5"/>
      <c r="J6" s="65"/>
      <c r="K6" s="5"/>
      <c r="L6" s="14"/>
      <c r="M6" s="14"/>
      <c r="N6" s="14"/>
      <c r="O6" s="18"/>
      <c r="P6" s="19"/>
    </row>
    <row r="7" spans="1:19" s="2" customFormat="1" ht="15.75" x14ac:dyDescent="0.25">
      <c r="F7" s="3" t="s">
        <v>986</v>
      </c>
      <c r="G7" s="20" t="str">
        <f>'[1]VRN 01'!G8</f>
        <v>VCES a.s.</v>
      </c>
      <c r="H7" s="67"/>
      <c r="I7" s="5"/>
      <c r="J7" s="65"/>
      <c r="K7" s="5"/>
      <c r="L7" s="14"/>
      <c r="M7" s="14"/>
      <c r="N7" s="14"/>
      <c r="O7" s="18"/>
      <c r="P7" s="19"/>
    </row>
    <row r="8" spans="1:19" s="68" customFormat="1" ht="12.75" x14ac:dyDescent="0.2">
      <c r="D8" s="69"/>
      <c r="F8" s="3"/>
      <c r="G8" s="20"/>
      <c r="H8" s="67"/>
      <c r="I8" s="68" t="s">
        <v>1265</v>
      </c>
      <c r="K8" s="70"/>
      <c r="L8" s="71"/>
      <c r="M8" s="217"/>
      <c r="N8" s="216"/>
      <c r="O8" s="72"/>
      <c r="P8" s="73"/>
    </row>
    <row r="9" spans="1:19" s="75" customFormat="1" ht="12.75" x14ac:dyDescent="0.2">
      <c r="C9" s="76"/>
      <c r="D9" s="77"/>
      <c r="E9" s="77"/>
      <c r="F9" s="77"/>
      <c r="G9" s="77"/>
      <c r="H9" s="77"/>
      <c r="I9" s="78"/>
      <c r="J9" s="79"/>
      <c r="K9" s="332" t="s">
        <v>1266</v>
      </c>
      <c r="L9" s="332"/>
      <c r="M9" s="332"/>
      <c r="N9" s="333" t="s">
        <v>1267</v>
      </c>
      <c r="O9" s="333"/>
      <c r="P9" s="334"/>
    </row>
    <row r="10" spans="1:19" s="75" customFormat="1" ht="12.75" x14ac:dyDescent="0.2">
      <c r="C10" s="80"/>
      <c r="D10" s="81" t="s">
        <v>997</v>
      </c>
      <c r="E10" s="81" t="s">
        <v>976</v>
      </c>
      <c r="F10" s="81" t="s">
        <v>977</v>
      </c>
      <c r="G10" s="81" t="s">
        <v>64</v>
      </c>
      <c r="H10" s="82" t="s">
        <v>65</v>
      </c>
      <c r="I10" s="83" t="s">
        <v>998</v>
      </c>
      <c r="J10" s="84" t="s">
        <v>978</v>
      </c>
      <c r="K10" s="218" t="s">
        <v>999</v>
      </c>
      <c r="L10" s="219" t="s">
        <v>1260</v>
      </c>
      <c r="M10" s="220" t="s">
        <v>978</v>
      </c>
      <c r="N10" s="221" t="s">
        <v>1264</v>
      </c>
      <c r="O10" s="222" t="s">
        <v>1260</v>
      </c>
      <c r="P10" s="223" t="s">
        <v>978</v>
      </c>
      <c r="Q10" s="157" t="s">
        <v>1012</v>
      </c>
      <c r="R10" s="157" t="s">
        <v>1019</v>
      </c>
      <c r="S10" s="157" t="s">
        <v>1083</v>
      </c>
    </row>
    <row r="11" spans="1:19" s="109" customFormat="1" x14ac:dyDescent="0.2">
      <c r="A11" s="97"/>
      <c r="B11" s="97"/>
      <c r="C11" s="97"/>
      <c r="D11" s="97"/>
      <c r="E11" s="97"/>
      <c r="F11" s="97"/>
      <c r="G11" s="97"/>
      <c r="H11" s="97"/>
      <c r="I11" s="97"/>
      <c r="J11" s="97"/>
      <c r="R11" s="329" t="s">
        <v>1020</v>
      </c>
    </row>
    <row r="12" spans="1:19" s="109" customFormat="1" ht="15.75" x14ac:dyDescent="0.25">
      <c r="A12" s="97"/>
      <c r="B12" s="97"/>
      <c r="C12" s="98" t="s">
        <v>296</v>
      </c>
      <c r="D12" s="97"/>
      <c r="E12" s="97"/>
      <c r="F12" s="97"/>
      <c r="G12" s="97"/>
      <c r="H12" s="97"/>
      <c r="I12" s="97"/>
      <c r="J12" s="99">
        <v>728120.67999999982</v>
      </c>
      <c r="R12" s="329"/>
      <c r="S12" s="109" t="s">
        <v>1008</v>
      </c>
    </row>
    <row r="13" spans="1:19" s="110" customFormat="1" ht="15" x14ac:dyDescent="0.2">
      <c r="D13" s="111" t="s">
        <v>3</v>
      </c>
      <c r="E13" s="112" t="s">
        <v>66</v>
      </c>
      <c r="F13" s="112" t="s">
        <v>67</v>
      </c>
      <c r="J13" s="113">
        <v>728120.67999999982</v>
      </c>
      <c r="R13" s="329"/>
    </row>
    <row r="14" spans="1:19" s="110" customFormat="1" ht="12.75" x14ac:dyDescent="0.2">
      <c r="C14" s="252"/>
      <c r="D14" s="253" t="s">
        <v>3</v>
      </c>
      <c r="E14" s="254" t="s">
        <v>7</v>
      </c>
      <c r="F14" s="254" t="s">
        <v>68</v>
      </c>
      <c r="G14" s="252"/>
      <c r="H14" s="252"/>
      <c r="I14" s="252"/>
      <c r="J14" s="255">
        <v>380675.04</v>
      </c>
      <c r="K14" s="252"/>
      <c r="L14" s="252"/>
      <c r="M14" s="258">
        <f>SUM(M15:M42)</f>
        <v>4775.0728999999992</v>
      </c>
      <c r="N14" s="252"/>
      <c r="O14" s="252"/>
      <c r="P14" s="258">
        <f>SUM(P15:P42)</f>
        <v>385450.1</v>
      </c>
      <c r="Q14" s="176" t="s">
        <v>1003</v>
      </c>
      <c r="R14" s="329"/>
    </row>
    <row r="15" spans="1:19" s="109" customFormat="1" ht="60" x14ac:dyDescent="0.2">
      <c r="A15" s="97"/>
      <c r="B15" s="116"/>
      <c r="C15" s="117" t="s">
        <v>7</v>
      </c>
      <c r="D15" s="117" t="s">
        <v>69</v>
      </c>
      <c r="E15" s="118" t="s">
        <v>77</v>
      </c>
      <c r="F15" s="119" t="s">
        <v>78</v>
      </c>
      <c r="G15" s="120" t="s">
        <v>72</v>
      </c>
      <c r="H15" s="121">
        <v>37.664000000000001</v>
      </c>
      <c r="I15" s="122">
        <v>21.04</v>
      </c>
      <c r="J15" s="122">
        <v>792.45</v>
      </c>
      <c r="K15" s="206">
        <v>0</v>
      </c>
      <c r="L15" s="210">
        <f>I15</f>
        <v>21.04</v>
      </c>
      <c r="M15" s="251">
        <f>K15*L15</f>
        <v>0</v>
      </c>
      <c r="N15" s="215">
        <f t="shared" ref="N15:N42" si="0">H15+K15</f>
        <v>37.664000000000001</v>
      </c>
      <c r="O15" s="208">
        <f t="shared" ref="O15:O42" si="1">I15</f>
        <v>21.04</v>
      </c>
      <c r="P15" s="209">
        <f t="shared" ref="P15:P42" si="2">ROUND(N15*O15,2)</f>
        <v>792.45</v>
      </c>
      <c r="R15" s="109" t="s">
        <v>1032</v>
      </c>
    </row>
    <row r="16" spans="1:19" s="109" customFormat="1" ht="60" x14ac:dyDescent="0.2">
      <c r="A16" s="97"/>
      <c r="B16" s="116"/>
      <c r="C16" s="117" t="s">
        <v>8</v>
      </c>
      <c r="D16" s="117" t="s">
        <v>69</v>
      </c>
      <c r="E16" s="118" t="s">
        <v>79</v>
      </c>
      <c r="F16" s="119" t="s">
        <v>80</v>
      </c>
      <c r="G16" s="120" t="s">
        <v>72</v>
      </c>
      <c r="H16" s="121">
        <v>5.5</v>
      </c>
      <c r="I16" s="122">
        <v>26.3</v>
      </c>
      <c r="J16" s="122">
        <v>144.65</v>
      </c>
      <c r="K16" s="206">
        <v>0</v>
      </c>
      <c r="L16" s="210">
        <f t="shared" ref="L16:L79" si="3">I16</f>
        <v>26.3</v>
      </c>
      <c r="M16" s="251">
        <f t="shared" ref="M16:M79" si="4">K16*L16</f>
        <v>0</v>
      </c>
      <c r="N16" s="215">
        <f t="shared" si="0"/>
        <v>5.5</v>
      </c>
      <c r="O16" s="208">
        <f t="shared" si="1"/>
        <v>26.3</v>
      </c>
      <c r="P16" s="209">
        <f t="shared" si="2"/>
        <v>144.65</v>
      </c>
    </row>
    <row r="17" spans="1:16" s="109" customFormat="1" ht="60" x14ac:dyDescent="0.2">
      <c r="A17" s="97"/>
      <c r="B17" s="116"/>
      <c r="C17" s="117" t="s">
        <v>76</v>
      </c>
      <c r="D17" s="117" t="s">
        <v>69</v>
      </c>
      <c r="E17" s="118" t="s">
        <v>74</v>
      </c>
      <c r="F17" s="119" t="s">
        <v>75</v>
      </c>
      <c r="G17" s="120" t="s">
        <v>72</v>
      </c>
      <c r="H17" s="121">
        <v>5.5</v>
      </c>
      <c r="I17" s="122">
        <v>40.770000000000003</v>
      </c>
      <c r="J17" s="122">
        <v>224.24</v>
      </c>
      <c r="K17" s="206">
        <v>0</v>
      </c>
      <c r="L17" s="210">
        <f t="shared" si="3"/>
        <v>40.770000000000003</v>
      </c>
      <c r="M17" s="251">
        <f t="shared" si="4"/>
        <v>0</v>
      </c>
      <c r="N17" s="215">
        <f t="shared" si="0"/>
        <v>5.5</v>
      </c>
      <c r="O17" s="208">
        <f t="shared" si="1"/>
        <v>40.770000000000003</v>
      </c>
      <c r="P17" s="209">
        <f t="shared" si="2"/>
        <v>224.24</v>
      </c>
    </row>
    <row r="18" spans="1:16" s="109" customFormat="1" ht="48" x14ac:dyDescent="0.2">
      <c r="A18" s="97"/>
      <c r="B18" s="116"/>
      <c r="C18" s="117" t="s">
        <v>73</v>
      </c>
      <c r="D18" s="117" t="s">
        <v>69</v>
      </c>
      <c r="E18" s="118" t="s">
        <v>82</v>
      </c>
      <c r="F18" s="119" t="s">
        <v>83</v>
      </c>
      <c r="G18" s="120" t="s">
        <v>72</v>
      </c>
      <c r="H18" s="121">
        <v>5.5</v>
      </c>
      <c r="I18" s="122">
        <v>39.46</v>
      </c>
      <c r="J18" s="122">
        <v>217.03</v>
      </c>
      <c r="K18" s="206">
        <v>0</v>
      </c>
      <c r="L18" s="210">
        <f t="shared" si="3"/>
        <v>39.46</v>
      </c>
      <c r="M18" s="251">
        <f t="shared" si="4"/>
        <v>0</v>
      </c>
      <c r="N18" s="215">
        <f t="shared" si="0"/>
        <v>5.5</v>
      </c>
      <c r="O18" s="208">
        <f t="shared" si="1"/>
        <v>39.46</v>
      </c>
      <c r="P18" s="209">
        <f t="shared" si="2"/>
        <v>217.03</v>
      </c>
    </row>
    <row r="19" spans="1:16" s="109" customFormat="1" ht="48" x14ac:dyDescent="0.2">
      <c r="A19" s="97"/>
      <c r="B19" s="116"/>
      <c r="C19" s="117" t="s">
        <v>81</v>
      </c>
      <c r="D19" s="117" t="s">
        <v>69</v>
      </c>
      <c r="E19" s="118" t="s">
        <v>85</v>
      </c>
      <c r="F19" s="119" t="s">
        <v>86</v>
      </c>
      <c r="G19" s="120" t="s">
        <v>72</v>
      </c>
      <c r="H19" s="121">
        <v>8.5</v>
      </c>
      <c r="I19" s="122">
        <v>55.24</v>
      </c>
      <c r="J19" s="122">
        <v>469.54</v>
      </c>
      <c r="K19" s="206">
        <v>0</v>
      </c>
      <c r="L19" s="210">
        <f t="shared" si="3"/>
        <v>55.24</v>
      </c>
      <c r="M19" s="251">
        <f t="shared" si="4"/>
        <v>0</v>
      </c>
      <c r="N19" s="215">
        <f t="shared" si="0"/>
        <v>8.5</v>
      </c>
      <c r="O19" s="208">
        <f t="shared" si="1"/>
        <v>55.24</v>
      </c>
      <c r="P19" s="209">
        <f t="shared" si="2"/>
        <v>469.54</v>
      </c>
    </row>
    <row r="20" spans="1:16" s="109" customFormat="1" ht="84" x14ac:dyDescent="0.2">
      <c r="A20" s="97"/>
      <c r="B20" s="116"/>
      <c r="C20" s="117" t="s">
        <v>84</v>
      </c>
      <c r="D20" s="117" t="s">
        <v>69</v>
      </c>
      <c r="E20" s="118" t="s">
        <v>88</v>
      </c>
      <c r="F20" s="119" t="s">
        <v>89</v>
      </c>
      <c r="G20" s="120" t="s">
        <v>61</v>
      </c>
      <c r="H20" s="121">
        <v>9.9</v>
      </c>
      <c r="I20" s="122">
        <v>170.98</v>
      </c>
      <c r="J20" s="122">
        <v>1692.7</v>
      </c>
      <c r="K20" s="206">
        <f>ROUND(90.8/89.67*H20-H20,2)</f>
        <v>0.12</v>
      </c>
      <c r="L20" s="210">
        <f t="shared" si="3"/>
        <v>170.98</v>
      </c>
      <c r="M20" s="251">
        <f t="shared" si="4"/>
        <v>20.517599999999998</v>
      </c>
      <c r="N20" s="215">
        <f t="shared" si="0"/>
        <v>10.02</v>
      </c>
      <c r="O20" s="208">
        <f t="shared" si="1"/>
        <v>170.98</v>
      </c>
      <c r="P20" s="209">
        <f t="shared" si="2"/>
        <v>1713.22</v>
      </c>
    </row>
    <row r="21" spans="1:16" s="109" customFormat="1" ht="84" x14ac:dyDescent="0.2">
      <c r="A21" s="97"/>
      <c r="B21" s="116"/>
      <c r="C21" s="117" t="s">
        <v>87</v>
      </c>
      <c r="D21" s="117" t="s">
        <v>69</v>
      </c>
      <c r="E21" s="118" t="s">
        <v>91</v>
      </c>
      <c r="F21" s="119" t="s">
        <v>92</v>
      </c>
      <c r="G21" s="120" t="s">
        <v>61</v>
      </c>
      <c r="H21" s="121">
        <v>5.5</v>
      </c>
      <c r="I21" s="122">
        <v>147.30000000000001</v>
      </c>
      <c r="J21" s="122">
        <v>810.15</v>
      </c>
      <c r="K21" s="206">
        <f t="shared" ref="K21:K42" si="5">ROUND(90.8/89.67*H21-H21,2)</f>
        <v>7.0000000000000007E-2</v>
      </c>
      <c r="L21" s="210">
        <f t="shared" si="3"/>
        <v>147.30000000000001</v>
      </c>
      <c r="M21" s="251">
        <f t="shared" si="4"/>
        <v>10.311000000000002</v>
      </c>
      <c r="N21" s="215">
        <f t="shared" si="0"/>
        <v>5.57</v>
      </c>
      <c r="O21" s="208">
        <f t="shared" si="1"/>
        <v>147.30000000000001</v>
      </c>
      <c r="P21" s="209">
        <f t="shared" si="2"/>
        <v>820.46</v>
      </c>
    </row>
    <row r="22" spans="1:16" s="109" customFormat="1" ht="48" x14ac:dyDescent="0.2">
      <c r="A22" s="97"/>
      <c r="B22" s="116"/>
      <c r="C22" s="117" t="s">
        <v>90</v>
      </c>
      <c r="D22" s="117" t="s">
        <v>69</v>
      </c>
      <c r="E22" s="118" t="s">
        <v>297</v>
      </c>
      <c r="F22" s="119" t="s">
        <v>298</v>
      </c>
      <c r="G22" s="120" t="s">
        <v>62</v>
      </c>
      <c r="H22" s="121">
        <v>5.5469999999999997</v>
      </c>
      <c r="I22" s="122">
        <v>57.87</v>
      </c>
      <c r="J22" s="122">
        <v>321</v>
      </c>
      <c r="K22" s="206">
        <f t="shared" si="5"/>
        <v>7.0000000000000007E-2</v>
      </c>
      <c r="L22" s="210">
        <f t="shared" si="3"/>
        <v>57.87</v>
      </c>
      <c r="M22" s="251">
        <f t="shared" si="4"/>
        <v>4.0509000000000004</v>
      </c>
      <c r="N22" s="215">
        <f t="shared" si="0"/>
        <v>5.617</v>
      </c>
      <c r="O22" s="208">
        <f t="shared" si="1"/>
        <v>57.87</v>
      </c>
      <c r="P22" s="209">
        <f t="shared" si="2"/>
        <v>325.06</v>
      </c>
    </row>
    <row r="23" spans="1:16" s="109" customFormat="1" ht="36" x14ac:dyDescent="0.2">
      <c r="A23" s="97"/>
      <c r="B23" s="116"/>
      <c r="C23" s="117" t="s">
        <v>93</v>
      </c>
      <c r="D23" s="117" t="s">
        <v>69</v>
      </c>
      <c r="E23" s="118" t="s">
        <v>94</v>
      </c>
      <c r="F23" s="119" t="s">
        <v>95</v>
      </c>
      <c r="G23" s="120" t="s">
        <v>62</v>
      </c>
      <c r="H23" s="121">
        <v>60.64</v>
      </c>
      <c r="I23" s="122">
        <v>257.77999999999997</v>
      </c>
      <c r="J23" s="122">
        <v>15631.78</v>
      </c>
      <c r="K23" s="206">
        <f t="shared" si="5"/>
        <v>0.76</v>
      </c>
      <c r="L23" s="210">
        <f t="shared" si="3"/>
        <v>257.77999999999997</v>
      </c>
      <c r="M23" s="251">
        <f t="shared" si="4"/>
        <v>195.91279999999998</v>
      </c>
      <c r="N23" s="215">
        <f t="shared" si="0"/>
        <v>61.4</v>
      </c>
      <c r="O23" s="208">
        <f t="shared" si="1"/>
        <v>257.77999999999997</v>
      </c>
      <c r="P23" s="209">
        <f t="shared" si="2"/>
        <v>15827.69</v>
      </c>
    </row>
    <row r="24" spans="1:16" s="109" customFormat="1" ht="48" x14ac:dyDescent="0.2">
      <c r="A24" s="97"/>
      <c r="B24" s="116"/>
      <c r="C24" s="117" t="s">
        <v>26</v>
      </c>
      <c r="D24" s="117" t="s">
        <v>69</v>
      </c>
      <c r="E24" s="118" t="s">
        <v>96</v>
      </c>
      <c r="F24" s="119" t="s">
        <v>97</v>
      </c>
      <c r="G24" s="120" t="s">
        <v>62</v>
      </c>
      <c r="H24" s="121">
        <v>94.91</v>
      </c>
      <c r="I24" s="122">
        <v>234.11</v>
      </c>
      <c r="J24" s="122">
        <v>22219.38</v>
      </c>
      <c r="K24" s="206">
        <f t="shared" si="5"/>
        <v>1.2</v>
      </c>
      <c r="L24" s="210">
        <f t="shared" si="3"/>
        <v>234.11</v>
      </c>
      <c r="M24" s="251">
        <f t="shared" si="4"/>
        <v>280.93200000000002</v>
      </c>
      <c r="N24" s="215">
        <f t="shared" si="0"/>
        <v>96.11</v>
      </c>
      <c r="O24" s="208">
        <f t="shared" si="1"/>
        <v>234.11</v>
      </c>
      <c r="P24" s="209">
        <f t="shared" si="2"/>
        <v>22500.31</v>
      </c>
    </row>
    <row r="25" spans="1:16" s="109" customFormat="1" ht="48" x14ac:dyDescent="0.2">
      <c r="A25" s="97"/>
      <c r="B25" s="116"/>
      <c r="C25" s="117" t="s">
        <v>28</v>
      </c>
      <c r="D25" s="117" t="s">
        <v>69</v>
      </c>
      <c r="E25" s="118" t="s">
        <v>98</v>
      </c>
      <c r="F25" s="119" t="s">
        <v>99</v>
      </c>
      <c r="G25" s="120" t="s">
        <v>62</v>
      </c>
      <c r="H25" s="121">
        <v>131.82</v>
      </c>
      <c r="I25" s="122">
        <v>257.77999999999997</v>
      </c>
      <c r="J25" s="122">
        <v>33980.559999999998</v>
      </c>
      <c r="K25" s="206">
        <f t="shared" si="5"/>
        <v>1.66</v>
      </c>
      <c r="L25" s="210">
        <f t="shared" si="3"/>
        <v>257.77999999999997</v>
      </c>
      <c r="M25" s="251">
        <f t="shared" si="4"/>
        <v>427.91479999999996</v>
      </c>
      <c r="N25" s="215">
        <f t="shared" si="0"/>
        <v>133.47999999999999</v>
      </c>
      <c r="O25" s="208">
        <f t="shared" si="1"/>
        <v>257.77999999999997</v>
      </c>
      <c r="P25" s="209">
        <f t="shared" si="2"/>
        <v>34408.47</v>
      </c>
    </row>
    <row r="26" spans="1:16" s="109" customFormat="1" ht="48" x14ac:dyDescent="0.2">
      <c r="A26" s="97"/>
      <c r="B26" s="116"/>
      <c r="C26" s="117" t="s">
        <v>30</v>
      </c>
      <c r="D26" s="117" t="s">
        <v>69</v>
      </c>
      <c r="E26" s="118" t="s">
        <v>100</v>
      </c>
      <c r="F26" s="119" t="s">
        <v>101</v>
      </c>
      <c r="G26" s="120" t="s">
        <v>62</v>
      </c>
      <c r="H26" s="121">
        <v>36.909999999999997</v>
      </c>
      <c r="I26" s="122">
        <v>315.64999999999998</v>
      </c>
      <c r="J26" s="122">
        <v>11650.64</v>
      </c>
      <c r="K26" s="206">
        <f t="shared" si="5"/>
        <v>0.47</v>
      </c>
      <c r="L26" s="210">
        <f t="shared" si="3"/>
        <v>315.64999999999998</v>
      </c>
      <c r="M26" s="251">
        <f t="shared" si="4"/>
        <v>148.35549999999998</v>
      </c>
      <c r="N26" s="215">
        <f t="shared" si="0"/>
        <v>37.379999999999995</v>
      </c>
      <c r="O26" s="208">
        <f t="shared" si="1"/>
        <v>315.64999999999998</v>
      </c>
      <c r="P26" s="209">
        <f t="shared" si="2"/>
        <v>11799</v>
      </c>
    </row>
    <row r="27" spans="1:16" s="109" customFormat="1" ht="36" x14ac:dyDescent="0.2">
      <c r="A27" s="97"/>
      <c r="B27" s="116"/>
      <c r="C27" s="117" t="s">
        <v>32</v>
      </c>
      <c r="D27" s="117" t="s">
        <v>69</v>
      </c>
      <c r="E27" s="118" t="s">
        <v>102</v>
      </c>
      <c r="F27" s="119" t="s">
        <v>103</v>
      </c>
      <c r="G27" s="120" t="s">
        <v>72</v>
      </c>
      <c r="H27" s="121">
        <v>462.26</v>
      </c>
      <c r="I27" s="122">
        <v>69.709999999999994</v>
      </c>
      <c r="J27" s="122">
        <v>32224.14</v>
      </c>
      <c r="K27" s="206">
        <f t="shared" si="5"/>
        <v>5.83</v>
      </c>
      <c r="L27" s="210">
        <f t="shared" si="3"/>
        <v>69.709999999999994</v>
      </c>
      <c r="M27" s="251">
        <f t="shared" si="4"/>
        <v>406.40929999999997</v>
      </c>
      <c r="N27" s="215">
        <f t="shared" si="0"/>
        <v>468.09</v>
      </c>
      <c r="O27" s="208">
        <f t="shared" si="1"/>
        <v>69.709999999999994</v>
      </c>
      <c r="P27" s="209">
        <f t="shared" si="2"/>
        <v>32630.55</v>
      </c>
    </row>
    <row r="28" spans="1:16" s="109" customFormat="1" ht="36" x14ac:dyDescent="0.2">
      <c r="A28" s="97"/>
      <c r="B28" s="116"/>
      <c r="C28" s="117" t="s">
        <v>34</v>
      </c>
      <c r="D28" s="117" t="s">
        <v>69</v>
      </c>
      <c r="E28" s="118" t="s">
        <v>104</v>
      </c>
      <c r="F28" s="119" t="s">
        <v>105</v>
      </c>
      <c r="G28" s="120" t="s">
        <v>72</v>
      </c>
      <c r="H28" s="121">
        <v>462.26</v>
      </c>
      <c r="I28" s="122">
        <v>80.23</v>
      </c>
      <c r="J28" s="122">
        <v>37087.120000000003</v>
      </c>
      <c r="K28" s="206">
        <f t="shared" si="5"/>
        <v>5.83</v>
      </c>
      <c r="L28" s="210">
        <f t="shared" si="3"/>
        <v>80.23</v>
      </c>
      <c r="M28" s="251">
        <f t="shared" si="4"/>
        <v>467.74090000000001</v>
      </c>
      <c r="N28" s="215">
        <f t="shared" si="0"/>
        <v>468.09</v>
      </c>
      <c r="O28" s="208">
        <f t="shared" si="1"/>
        <v>80.23</v>
      </c>
      <c r="P28" s="209">
        <f t="shared" si="2"/>
        <v>37554.86</v>
      </c>
    </row>
    <row r="29" spans="1:16" s="109" customFormat="1" ht="48" x14ac:dyDescent="0.2">
      <c r="A29" s="97"/>
      <c r="B29" s="116"/>
      <c r="C29" s="117" t="s">
        <v>1</v>
      </c>
      <c r="D29" s="117" t="s">
        <v>69</v>
      </c>
      <c r="E29" s="118" t="s">
        <v>106</v>
      </c>
      <c r="F29" s="119" t="s">
        <v>107</v>
      </c>
      <c r="G29" s="120" t="s">
        <v>62</v>
      </c>
      <c r="H29" s="121">
        <v>158.184</v>
      </c>
      <c r="I29" s="122">
        <v>13.15</v>
      </c>
      <c r="J29" s="122">
        <v>2080.12</v>
      </c>
      <c r="K29" s="206">
        <f t="shared" si="5"/>
        <v>1.99</v>
      </c>
      <c r="L29" s="210">
        <f t="shared" si="3"/>
        <v>13.15</v>
      </c>
      <c r="M29" s="251">
        <f t="shared" si="4"/>
        <v>26.168500000000002</v>
      </c>
      <c r="N29" s="215">
        <f t="shared" si="0"/>
        <v>160.17400000000001</v>
      </c>
      <c r="O29" s="208">
        <f t="shared" si="1"/>
        <v>13.15</v>
      </c>
      <c r="P29" s="209">
        <f t="shared" si="2"/>
        <v>2106.29</v>
      </c>
    </row>
    <row r="30" spans="1:16" s="109" customFormat="1" ht="48" x14ac:dyDescent="0.2">
      <c r="A30" s="97"/>
      <c r="B30" s="116"/>
      <c r="C30" s="117" t="s">
        <v>37</v>
      </c>
      <c r="D30" s="117" t="s">
        <v>69</v>
      </c>
      <c r="E30" s="118" t="s">
        <v>108</v>
      </c>
      <c r="F30" s="119" t="s">
        <v>109</v>
      </c>
      <c r="G30" s="120" t="s">
        <v>62</v>
      </c>
      <c r="H30" s="121">
        <v>447.64</v>
      </c>
      <c r="I30" s="122">
        <v>187.48</v>
      </c>
      <c r="J30" s="122">
        <v>83923.55</v>
      </c>
      <c r="K30" s="206">
        <f t="shared" si="5"/>
        <v>5.64</v>
      </c>
      <c r="L30" s="210">
        <f t="shared" si="3"/>
        <v>187.48</v>
      </c>
      <c r="M30" s="251">
        <f t="shared" si="4"/>
        <v>1057.3871999999999</v>
      </c>
      <c r="N30" s="215">
        <f t="shared" si="0"/>
        <v>453.28</v>
      </c>
      <c r="O30" s="208">
        <f t="shared" si="1"/>
        <v>187.48</v>
      </c>
      <c r="P30" s="209">
        <f t="shared" si="2"/>
        <v>84980.93</v>
      </c>
    </row>
    <row r="31" spans="1:16" s="109" customFormat="1" ht="36" x14ac:dyDescent="0.2">
      <c r="A31" s="97"/>
      <c r="B31" s="116"/>
      <c r="C31" s="117" t="s">
        <v>39</v>
      </c>
      <c r="D31" s="117" t="s">
        <v>69</v>
      </c>
      <c r="E31" s="118" t="s">
        <v>110</v>
      </c>
      <c r="F31" s="119" t="s">
        <v>111</v>
      </c>
      <c r="G31" s="120" t="s">
        <v>62</v>
      </c>
      <c r="H31" s="121">
        <v>263.64</v>
      </c>
      <c r="I31" s="122">
        <v>44.72</v>
      </c>
      <c r="J31" s="122">
        <v>11789.98</v>
      </c>
      <c r="K31" s="206">
        <f t="shared" si="5"/>
        <v>3.32</v>
      </c>
      <c r="L31" s="210">
        <f t="shared" si="3"/>
        <v>44.72</v>
      </c>
      <c r="M31" s="251">
        <f t="shared" si="4"/>
        <v>148.47039999999998</v>
      </c>
      <c r="N31" s="215">
        <f t="shared" si="0"/>
        <v>266.95999999999998</v>
      </c>
      <c r="O31" s="208">
        <f t="shared" si="1"/>
        <v>44.72</v>
      </c>
      <c r="P31" s="209">
        <f t="shared" si="2"/>
        <v>11938.45</v>
      </c>
    </row>
    <row r="32" spans="1:16" s="109" customFormat="1" ht="48" x14ac:dyDescent="0.2">
      <c r="A32" s="97"/>
      <c r="B32" s="116"/>
      <c r="C32" s="117" t="s">
        <v>41</v>
      </c>
      <c r="D32" s="117" t="s">
        <v>69</v>
      </c>
      <c r="E32" s="118" t="s">
        <v>112</v>
      </c>
      <c r="F32" s="119" t="s">
        <v>113</v>
      </c>
      <c r="G32" s="120" t="s">
        <v>62</v>
      </c>
      <c r="H32" s="121">
        <v>79.3</v>
      </c>
      <c r="I32" s="122">
        <v>247.39</v>
      </c>
      <c r="J32" s="122">
        <v>19618.03</v>
      </c>
      <c r="K32" s="206">
        <f t="shared" si="5"/>
        <v>1</v>
      </c>
      <c r="L32" s="210">
        <f t="shared" si="3"/>
        <v>247.39</v>
      </c>
      <c r="M32" s="251">
        <f t="shared" si="4"/>
        <v>247.39</v>
      </c>
      <c r="N32" s="215">
        <f t="shared" si="0"/>
        <v>80.3</v>
      </c>
      <c r="O32" s="208">
        <f t="shared" si="1"/>
        <v>247.39</v>
      </c>
      <c r="P32" s="209">
        <f t="shared" si="2"/>
        <v>19865.419999999998</v>
      </c>
    </row>
    <row r="33" spans="1:19" s="109" customFormat="1" ht="12" x14ac:dyDescent="0.2">
      <c r="A33" s="97"/>
      <c r="B33" s="116"/>
      <c r="C33" s="117" t="s">
        <v>114</v>
      </c>
      <c r="D33" s="117" t="s">
        <v>69</v>
      </c>
      <c r="E33" s="118" t="s">
        <v>115</v>
      </c>
      <c r="F33" s="119" t="s">
        <v>116</v>
      </c>
      <c r="G33" s="120" t="s">
        <v>62</v>
      </c>
      <c r="H33" s="121">
        <v>79.3</v>
      </c>
      <c r="I33" s="122">
        <v>11.84</v>
      </c>
      <c r="J33" s="122">
        <v>938.91</v>
      </c>
      <c r="K33" s="206">
        <f t="shared" si="5"/>
        <v>1</v>
      </c>
      <c r="L33" s="210">
        <f t="shared" si="3"/>
        <v>11.84</v>
      </c>
      <c r="M33" s="251">
        <f t="shared" si="4"/>
        <v>11.84</v>
      </c>
      <c r="N33" s="215">
        <f t="shared" si="0"/>
        <v>80.3</v>
      </c>
      <c r="O33" s="208">
        <f t="shared" si="1"/>
        <v>11.84</v>
      </c>
      <c r="P33" s="209">
        <f t="shared" si="2"/>
        <v>950.75</v>
      </c>
    </row>
    <row r="34" spans="1:19" s="109" customFormat="1" ht="36" x14ac:dyDescent="0.2">
      <c r="A34" s="97"/>
      <c r="B34" s="116"/>
      <c r="C34" s="117" t="s">
        <v>117</v>
      </c>
      <c r="D34" s="117" t="s">
        <v>69</v>
      </c>
      <c r="E34" s="118" t="s">
        <v>118</v>
      </c>
      <c r="F34" s="119" t="s">
        <v>119</v>
      </c>
      <c r="G34" s="120" t="s">
        <v>120</v>
      </c>
      <c r="H34" s="121">
        <v>126.733</v>
      </c>
      <c r="I34" s="122">
        <v>116</v>
      </c>
      <c r="J34" s="122">
        <v>14701.03</v>
      </c>
      <c r="K34" s="206">
        <f t="shared" si="5"/>
        <v>1.6</v>
      </c>
      <c r="L34" s="210">
        <f t="shared" si="3"/>
        <v>116</v>
      </c>
      <c r="M34" s="251">
        <f t="shared" si="4"/>
        <v>185.60000000000002</v>
      </c>
      <c r="N34" s="215">
        <f t="shared" si="0"/>
        <v>128.333</v>
      </c>
      <c r="O34" s="208">
        <f t="shared" si="1"/>
        <v>116</v>
      </c>
      <c r="P34" s="209">
        <f t="shared" si="2"/>
        <v>14886.63</v>
      </c>
    </row>
    <row r="35" spans="1:19" s="109" customFormat="1" ht="36" x14ac:dyDescent="0.2">
      <c r="A35" s="97"/>
      <c r="B35" s="116"/>
      <c r="C35" s="117" t="s">
        <v>0</v>
      </c>
      <c r="D35" s="117" t="s">
        <v>69</v>
      </c>
      <c r="E35" s="118" t="s">
        <v>121</v>
      </c>
      <c r="F35" s="119" t="s">
        <v>122</v>
      </c>
      <c r="G35" s="120" t="s">
        <v>62</v>
      </c>
      <c r="H35" s="121">
        <v>184</v>
      </c>
      <c r="I35" s="122">
        <v>286.72000000000003</v>
      </c>
      <c r="J35" s="122">
        <v>52756.480000000003</v>
      </c>
      <c r="K35" s="206">
        <f t="shared" si="5"/>
        <v>2.3199999999999998</v>
      </c>
      <c r="L35" s="210">
        <f t="shared" si="3"/>
        <v>286.72000000000003</v>
      </c>
      <c r="M35" s="251">
        <f t="shared" si="4"/>
        <v>665.19040000000007</v>
      </c>
      <c r="N35" s="215">
        <f t="shared" si="0"/>
        <v>186.32</v>
      </c>
      <c r="O35" s="208">
        <f t="shared" si="1"/>
        <v>286.72000000000003</v>
      </c>
      <c r="P35" s="209">
        <f t="shared" si="2"/>
        <v>53421.67</v>
      </c>
    </row>
    <row r="36" spans="1:19" s="109" customFormat="1" ht="60" x14ac:dyDescent="0.2">
      <c r="A36" s="97"/>
      <c r="B36" s="116"/>
      <c r="C36" s="117" t="s">
        <v>123</v>
      </c>
      <c r="D36" s="117" t="s">
        <v>69</v>
      </c>
      <c r="E36" s="118" t="s">
        <v>124</v>
      </c>
      <c r="F36" s="119" t="s">
        <v>125</v>
      </c>
      <c r="G36" s="120" t="s">
        <v>62</v>
      </c>
      <c r="H36" s="121">
        <v>51.02</v>
      </c>
      <c r="I36" s="122">
        <v>318.27999999999997</v>
      </c>
      <c r="J36" s="122">
        <v>16238.65</v>
      </c>
      <c r="K36" s="206">
        <f t="shared" si="5"/>
        <v>0.64</v>
      </c>
      <c r="L36" s="210">
        <f t="shared" si="3"/>
        <v>318.27999999999997</v>
      </c>
      <c r="M36" s="251">
        <f t="shared" si="4"/>
        <v>203.69919999999999</v>
      </c>
      <c r="N36" s="215">
        <f t="shared" si="0"/>
        <v>51.660000000000004</v>
      </c>
      <c r="O36" s="208">
        <f t="shared" si="1"/>
        <v>318.27999999999997</v>
      </c>
      <c r="P36" s="209">
        <f t="shared" si="2"/>
        <v>16442.34</v>
      </c>
      <c r="S36" s="192">
        <v>0.05</v>
      </c>
    </row>
    <row r="37" spans="1:19" s="109" customFormat="1" ht="12" x14ac:dyDescent="0.2">
      <c r="A37" s="97"/>
      <c r="B37" s="116"/>
      <c r="C37" s="123" t="s">
        <v>126</v>
      </c>
      <c r="D37" s="123" t="s">
        <v>127</v>
      </c>
      <c r="E37" s="124" t="s">
        <v>128</v>
      </c>
      <c r="F37" s="125" t="s">
        <v>129</v>
      </c>
      <c r="G37" s="126" t="s">
        <v>120</v>
      </c>
      <c r="H37" s="127">
        <v>91.835999999999999</v>
      </c>
      <c r="I37" s="128">
        <v>190.76</v>
      </c>
      <c r="J37" s="128">
        <v>17518.64</v>
      </c>
      <c r="K37" s="206">
        <f t="shared" si="5"/>
        <v>1.1599999999999999</v>
      </c>
      <c r="L37" s="210">
        <f t="shared" si="3"/>
        <v>190.76</v>
      </c>
      <c r="M37" s="251">
        <f t="shared" si="4"/>
        <v>221.28159999999997</v>
      </c>
      <c r="N37" s="215">
        <f t="shared" si="0"/>
        <v>92.995999999999995</v>
      </c>
      <c r="O37" s="208">
        <f t="shared" si="1"/>
        <v>190.76</v>
      </c>
      <c r="P37" s="209">
        <f t="shared" si="2"/>
        <v>17739.919999999998</v>
      </c>
    </row>
    <row r="38" spans="1:19" s="109" customFormat="1" ht="36" x14ac:dyDescent="0.2">
      <c r="A38" s="97"/>
      <c r="B38" s="116"/>
      <c r="C38" s="117" t="s">
        <v>131</v>
      </c>
      <c r="D38" s="117" t="s">
        <v>69</v>
      </c>
      <c r="E38" s="118" t="s">
        <v>299</v>
      </c>
      <c r="F38" s="119" t="s">
        <v>300</v>
      </c>
      <c r="G38" s="120" t="s">
        <v>72</v>
      </c>
      <c r="H38" s="121">
        <v>55.472999999999999</v>
      </c>
      <c r="I38" s="122">
        <v>18.41</v>
      </c>
      <c r="J38" s="122">
        <v>1021.26</v>
      </c>
      <c r="K38" s="206">
        <f t="shared" si="5"/>
        <v>0.7</v>
      </c>
      <c r="L38" s="210">
        <f t="shared" si="3"/>
        <v>18.41</v>
      </c>
      <c r="M38" s="251">
        <f t="shared" si="4"/>
        <v>12.886999999999999</v>
      </c>
      <c r="N38" s="215">
        <f t="shared" si="0"/>
        <v>56.173000000000002</v>
      </c>
      <c r="O38" s="208">
        <f t="shared" si="1"/>
        <v>18.41</v>
      </c>
      <c r="P38" s="209">
        <f t="shared" si="2"/>
        <v>1034.1400000000001</v>
      </c>
    </row>
    <row r="39" spans="1:19" s="109" customFormat="1" ht="24" x14ac:dyDescent="0.2">
      <c r="A39" s="97"/>
      <c r="B39" s="116"/>
      <c r="C39" s="117" t="s">
        <v>135</v>
      </c>
      <c r="D39" s="117" t="s">
        <v>69</v>
      </c>
      <c r="E39" s="118" t="s">
        <v>301</v>
      </c>
      <c r="F39" s="119" t="s">
        <v>302</v>
      </c>
      <c r="G39" s="120" t="s">
        <v>72</v>
      </c>
      <c r="H39" s="121">
        <v>55.472999999999999</v>
      </c>
      <c r="I39" s="122">
        <v>27.62</v>
      </c>
      <c r="J39" s="122">
        <v>1532.16</v>
      </c>
      <c r="K39" s="206">
        <f t="shared" si="5"/>
        <v>0.7</v>
      </c>
      <c r="L39" s="210">
        <f t="shared" si="3"/>
        <v>27.62</v>
      </c>
      <c r="M39" s="251">
        <f t="shared" si="4"/>
        <v>19.334</v>
      </c>
      <c r="N39" s="215">
        <f t="shared" si="0"/>
        <v>56.173000000000002</v>
      </c>
      <c r="O39" s="208">
        <f t="shared" si="1"/>
        <v>27.62</v>
      </c>
      <c r="P39" s="209">
        <f t="shared" si="2"/>
        <v>1551.5</v>
      </c>
    </row>
    <row r="40" spans="1:19" s="109" customFormat="1" ht="12" x14ac:dyDescent="0.2">
      <c r="A40" s="97"/>
      <c r="B40" s="116"/>
      <c r="C40" s="117" t="s">
        <v>139</v>
      </c>
      <c r="D40" s="117" t="s">
        <v>69</v>
      </c>
      <c r="E40" s="118" t="s">
        <v>303</v>
      </c>
      <c r="F40" s="119" t="s">
        <v>304</v>
      </c>
      <c r="G40" s="120" t="s">
        <v>72</v>
      </c>
      <c r="H40" s="121">
        <v>55.472999999999999</v>
      </c>
      <c r="I40" s="122">
        <v>11.84</v>
      </c>
      <c r="J40" s="122">
        <v>656.8</v>
      </c>
      <c r="K40" s="206">
        <f t="shared" si="5"/>
        <v>0.7</v>
      </c>
      <c r="L40" s="210">
        <f t="shared" si="3"/>
        <v>11.84</v>
      </c>
      <c r="M40" s="251">
        <f t="shared" si="4"/>
        <v>8.2880000000000003</v>
      </c>
      <c r="N40" s="215">
        <f t="shared" si="0"/>
        <v>56.173000000000002</v>
      </c>
      <c r="O40" s="208">
        <f t="shared" si="1"/>
        <v>11.84</v>
      </c>
      <c r="P40" s="209">
        <f t="shared" si="2"/>
        <v>665.09</v>
      </c>
    </row>
    <row r="41" spans="1:19" s="109" customFormat="1" ht="12" x14ac:dyDescent="0.2">
      <c r="A41" s="97"/>
      <c r="B41" s="116"/>
      <c r="C41" s="123" t="s">
        <v>142</v>
      </c>
      <c r="D41" s="123" t="s">
        <v>127</v>
      </c>
      <c r="E41" s="124" t="s">
        <v>305</v>
      </c>
      <c r="F41" s="125" t="s">
        <v>306</v>
      </c>
      <c r="G41" s="126" t="s">
        <v>307</v>
      </c>
      <c r="H41" s="127">
        <v>0.83199999999999996</v>
      </c>
      <c r="I41" s="128">
        <v>170.98</v>
      </c>
      <c r="J41" s="128">
        <v>142.26</v>
      </c>
      <c r="K41" s="206">
        <f t="shared" si="5"/>
        <v>0.01</v>
      </c>
      <c r="L41" s="210">
        <f t="shared" si="3"/>
        <v>170.98</v>
      </c>
      <c r="M41" s="251">
        <f t="shared" si="4"/>
        <v>1.7098</v>
      </c>
      <c r="N41" s="215">
        <f t="shared" si="0"/>
        <v>0.84199999999999997</v>
      </c>
      <c r="O41" s="208">
        <f t="shared" si="1"/>
        <v>170.98</v>
      </c>
      <c r="P41" s="209">
        <f t="shared" si="2"/>
        <v>143.97</v>
      </c>
    </row>
    <row r="42" spans="1:19" s="109" customFormat="1" ht="24" x14ac:dyDescent="0.2">
      <c r="A42" s="97"/>
      <c r="B42" s="116"/>
      <c r="C42" s="117" t="s">
        <v>145</v>
      </c>
      <c r="D42" s="117" t="s">
        <v>69</v>
      </c>
      <c r="E42" s="118" t="s">
        <v>308</v>
      </c>
      <c r="F42" s="119" t="s">
        <v>309</v>
      </c>
      <c r="G42" s="120" t="s">
        <v>72</v>
      </c>
      <c r="H42" s="121">
        <v>55.472999999999999</v>
      </c>
      <c r="I42" s="122">
        <v>5.26</v>
      </c>
      <c r="J42" s="122">
        <v>291.79000000000002</v>
      </c>
      <c r="K42" s="206">
        <f t="shared" si="5"/>
        <v>0.7</v>
      </c>
      <c r="L42" s="210">
        <f t="shared" si="3"/>
        <v>5.26</v>
      </c>
      <c r="M42" s="251">
        <f t="shared" si="4"/>
        <v>3.6819999999999995</v>
      </c>
      <c r="N42" s="215">
        <f t="shared" si="0"/>
        <v>56.173000000000002</v>
      </c>
      <c r="O42" s="208">
        <f t="shared" si="1"/>
        <v>5.26</v>
      </c>
      <c r="P42" s="209">
        <f t="shared" si="2"/>
        <v>295.47000000000003</v>
      </c>
    </row>
    <row r="43" spans="1:19" s="110" customFormat="1" ht="12.75" x14ac:dyDescent="0.2">
      <c r="C43" s="245"/>
      <c r="D43" s="246" t="s">
        <v>3</v>
      </c>
      <c r="E43" s="247" t="s">
        <v>76</v>
      </c>
      <c r="F43" s="247" t="s">
        <v>130</v>
      </c>
      <c r="G43" s="245"/>
      <c r="H43" s="245"/>
      <c r="I43" s="245"/>
      <c r="J43" s="248"/>
      <c r="K43" s="249"/>
      <c r="L43" s="250"/>
      <c r="M43" s="256">
        <f>M44</f>
        <v>37.154400000000003</v>
      </c>
      <c r="N43" s="257"/>
      <c r="O43" s="243"/>
      <c r="P43" s="256">
        <f>P44</f>
        <v>2985.5</v>
      </c>
    </row>
    <row r="44" spans="1:19" s="109" customFormat="1" ht="12" x14ac:dyDescent="0.2">
      <c r="A44" s="97"/>
      <c r="B44" s="116"/>
      <c r="C44" s="117" t="s">
        <v>148</v>
      </c>
      <c r="D44" s="117" t="s">
        <v>69</v>
      </c>
      <c r="E44" s="118" t="s">
        <v>132</v>
      </c>
      <c r="F44" s="119" t="s">
        <v>133</v>
      </c>
      <c r="G44" s="120" t="s">
        <v>61</v>
      </c>
      <c r="H44" s="121">
        <v>89.67</v>
      </c>
      <c r="I44" s="122">
        <v>32.880000000000003</v>
      </c>
      <c r="J44" s="122">
        <v>2948.35</v>
      </c>
      <c r="K44" s="206">
        <f>ROUND(90.8-H44,2)</f>
        <v>1.1299999999999999</v>
      </c>
      <c r="L44" s="210">
        <f t="shared" si="3"/>
        <v>32.880000000000003</v>
      </c>
      <c r="M44" s="251">
        <f t="shared" si="4"/>
        <v>37.154400000000003</v>
      </c>
      <c r="N44" s="215">
        <f>H44+K44</f>
        <v>90.8</v>
      </c>
      <c r="O44" s="208">
        <f>I44</f>
        <v>32.880000000000003</v>
      </c>
      <c r="P44" s="209">
        <f>ROUND(N44*O44,2)</f>
        <v>2985.5</v>
      </c>
    </row>
    <row r="45" spans="1:19" s="110" customFormat="1" ht="12.75" x14ac:dyDescent="0.2">
      <c r="C45" s="245"/>
      <c r="D45" s="246" t="s">
        <v>3</v>
      </c>
      <c r="E45" s="247" t="s">
        <v>73</v>
      </c>
      <c r="F45" s="247" t="s">
        <v>134</v>
      </c>
      <c r="G45" s="245"/>
      <c r="H45" s="245"/>
      <c r="I45" s="245"/>
      <c r="J45" s="248">
        <v>2593.64</v>
      </c>
      <c r="K45" s="249"/>
      <c r="L45" s="250"/>
      <c r="M45" s="256">
        <f>SUM(M46:M49)</f>
        <v>0</v>
      </c>
      <c r="N45" s="257"/>
      <c r="O45" s="243"/>
      <c r="P45" s="256">
        <f>SUM(P46:P49)</f>
        <v>2593.64</v>
      </c>
    </row>
    <row r="46" spans="1:19" s="109" customFormat="1" ht="24" x14ac:dyDescent="0.2">
      <c r="A46" s="97"/>
      <c r="B46" s="116"/>
      <c r="C46" s="117" t="s">
        <v>151</v>
      </c>
      <c r="D46" s="117" t="s">
        <v>69</v>
      </c>
      <c r="E46" s="118" t="s">
        <v>136</v>
      </c>
      <c r="F46" s="119" t="s">
        <v>137</v>
      </c>
      <c r="G46" s="120" t="s">
        <v>138</v>
      </c>
      <c r="H46" s="121">
        <v>6</v>
      </c>
      <c r="I46" s="122">
        <v>122.32</v>
      </c>
      <c r="J46" s="122">
        <v>733.92</v>
      </c>
      <c r="K46" s="206">
        <v>0</v>
      </c>
      <c r="L46" s="210">
        <f t="shared" si="3"/>
        <v>122.32</v>
      </c>
      <c r="M46" s="251">
        <f t="shared" si="4"/>
        <v>0</v>
      </c>
      <c r="N46" s="215">
        <f>H46+K46</f>
        <v>6</v>
      </c>
      <c r="O46" s="208">
        <f>I46</f>
        <v>122.32</v>
      </c>
      <c r="P46" s="209">
        <f>ROUND(N46*O46,2)</f>
        <v>733.92</v>
      </c>
    </row>
    <row r="47" spans="1:19" s="109" customFormat="1" ht="12" x14ac:dyDescent="0.2">
      <c r="A47" s="97"/>
      <c r="B47" s="116"/>
      <c r="C47" s="123" t="s">
        <v>155</v>
      </c>
      <c r="D47" s="123" t="s">
        <v>127</v>
      </c>
      <c r="E47" s="124" t="s">
        <v>140</v>
      </c>
      <c r="F47" s="125" t="s">
        <v>141</v>
      </c>
      <c r="G47" s="126" t="s">
        <v>138</v>
      </c>
      <c r="H47" s="127">
        <v>2</v>
      </c>
      <c r="I47" s="128">
        <v>270.94</v>
      </c>
      <c r="J47" s="128">
        <v>541.88</v>
      </c>
      <c r="K47" s="206">
        <v>0</v>
      </c>
      <c r="L47" s="210">
        <f t="shared" si="3"/>
        <v>270.94</v>
      </c>
      <c r="M47" s="251">
        <f t="shared" si="4"/>
        <v>0</v>
      </c>
      <c r="N47" s="215">
        <f>H47+K47</f>
        <v>2</v>
      </c>
      <c r="O47" s="208">
        <f>I47</f>
        <v>270.94</v>
      </c>
      <c r="P47" s="209">
        <f>ROUND(N47*O47,2)</f>
        <v>541.88</v>
      </c>
    </row>
    <row r="48" spans="1:19" s="109" customFormat="1" ht="24" x14ac:dyDescent="0.2">
      <c r="A48" s="97"/>
      <c r="B48" s="116"/>
      <c r="C48" s="123" t="s">
        <v>158</v>
      </c>
      <c r="D48" s="123" t="s">
        <v>127</v>
      </c>
      <c r="E48" s="124" t="s">
        <v>143</v>
      </c>
      <c r="F48" s="125" t="s">
        <v>144</v>
      </c>
      <c r="G48" s="126" t="s">
        <v>138</v>
      </c>
      <c r="H48" s="127">
        <v>2</v>
      </c>
      <c r="I48" s="128">
        <v>313.02</v>
      </c>
      <c r="J48" s="128">
        <v>626.04</v>
      </c>
      <c r="K48" s="206">
        <v>0</v>
      </c>
      <c r="L48" s="210">
        <f t="shared" si="3"/>
        <v>313.02</v>
      </c>
      <c r="M48" s="251">
        <f t="shared" si="4"/>
        <v>0</v>
      </c>
      <c r="N48" s="215">
        <f>H48+K48</f>
        <v>2</v>
      </c>
      <c r="O48" s="208">
        <f>I48</f>
        <v>313.02</v>
      </c>
      <c r="P48" s="209">
        <f>ROUND(N48*O48,2)</f>
        <v>626.04</v>
      </c>
    </row>
    <row r="49" spans="1:16" s="109" customFormat="1" ht="12" x14ac:dyDescent="0.2">
      <c r="A49" s="97"/>
      <c r="B49" s="116"/>
      <c r="C49" s="123" t="s">
        <v>161</v>
      </c>
      <c r="D49" s="123" t="s">
        <v>127</v>
      </c>
      <c r="E49" s="124" t="s">
        <v>146</v>
      </c>
      <c r="F49" s="125" t="s">
        <v>147</v>
      </c>
      <c r="G49" s="126" t="s">
        <v>138</v>
      </c>
      <c r="H49" s="127">
        <v>2</v>
      </c>
      <c r="I49" s="128">
        <v>345.9</v>
      </c>
      <c r="J49" s="128">
        <v>691.8</v>
      </c>
      <c r="K49" s="206">
        <v>0</v>
      </c>
      <c r="L49" s="210">
        <f t="shared" si="3"/>
        <v>345.9</v>
      </c>
      <c r="M49" s="251">
        <f t="shared" si="4"/>
        <v>0</v>
      </c>
      <c r="N49" s="215">
        <f>H49+K49</f>
        <v>2</v>
      </c>
      <c r="O49" s="208">
        <f>I49</f>
        <v>345.9</v>
      </c>
      <c r="P49" s="209">
        <f>ROUND(N49*O49,2)</f>
        <v>691.8</v>
      </c>
    </row>
    <row r="50" spans="1:16" s="110" customFormat="1" ht="12.75" x14ac:dyDescent="0.2">
      <c r="C50" s="245"/>
      <c r="D50" s="246" t="s">
        <v>3</v>
      </c>
      <c r="E50" s="247" t="s">
        <v>81</v>
      </c>
      <c r="F50" s="247" t="s">
        <v>154</v>
      </c>
      <c r="G50" s="245"/>
      <c r="H50" s="245"/>
      <c r="I50" s="245"/>
      <c r="J50" s="248"/>
      <c r="K50" s="249"/>
      <c r="L50" s="250"/>
      <c r="M50" s="256">
        <f>SUM(M51:M56)</f>
        <v>0</v>
      </c>
      <c r="N50" s="257"/>
      <c r="O50" s="243"/>
      <c r="P50" s="256">
        <f>SUM(P51:P56)</f>
        <v>18067.72</v>
      </c>
    </row>
    <row r="51" spans="1:16" s="109" customFormat="1" ht="36" x14ac:dyDescent="0.2">
      <c r="A51" s="97"/>
      <c r="B51" s="116"/>
      <c r="C51" s="117" t="s">
        <v>164</v>
      </c>
      <c r="D51" s="117" t="s">
        <v>69</v>
      </c>
      <c r="E51" s="118" t="s">
        <v>156</v>
      </c>
      <c r="F51" s="119" t="s">
        <v>157</v>
      </c>
      <c r="G51" s="120" t="s">
        <v>72</v>
      </c>
      <c r="H51" s="121">
        <v>5.5</v>
      </c>
      <c r="I51" s="122">
        <v>319.88</v>
      </c>
      <c r="J51" s="122">
        <v>1759.34</v>
      </c>
      <c r="K51" s="206">
        <v>0</v>
      </c>
      <c r="L51" s="210">
        <f t="shared" si="3"/>
        <v>319.88</v>
      </c>
      <c r="M51" s="251">
        <f t="shared" si="4"/>
        <v>0</v>
      </c>
      <c r="N51" s="215">
        <f t="shared" ref="N51:N56" si="6">H51+K51</f>
        <v>5.5</v>
      </c>
      <c r="O51" s="208">
        <f t="shared" ref="O51:O56" si="7">I51</f>
        <v>319.88</v>
      </c>
      <c r="P51" s="209">
        <f t="shared" ref="P51:P56" si="8">ROUND(N51*O51,2)</f>
        <v>1759.34</v>
      </c>
    </row>
    <row r="52" spans="1:16" s="109" customFormat="1" ht="24" x14ac:dyDescent="0.2">
      <c r="A52" s="97"/>
      <c r="B52" s="116"/>
      <c r="C52" s="117" t="s">
        <v>167</v>
      </c>
      <c r="D52" s="117" t="s">
        <v>69</v>
      </c>
      <c r="E52" s="118" t="s">
        <v>159</v>
      </c>
      <c r="F52" s="119" t="s">
        <v>160</v>
      </c>
      <c r="G52" s="120" t="s">
        <v>72</v>
      </c>
      <c r="H52" s="121">
        <v>37.664000000000001</v>
      </c>
      <c r="I52" s="122">
        <v>251.97</v>
      </c>
      <c r="J52" s="122">
        <v>9490.2000000000007</v>
      </c>
      <c r="K52" s="206">
        <v>0</v>
      </c>
      <c r="L52" s="210">
        <f t="shared" si="3"/>
        <v>251.97</v>
      </c>
      <c r="M52" s="251">
        <f t="shared" si="4"/>
        <v>0</v>
      </c>
      <c r="N52" s="215">
        <f t="shared" si="6"/>
        <v>37.664000000000001</v>
      </c>
      <c r="O52" s="208">
        <f t="shared" si="7"/>
        <v>251.97</v>
      </c>
      <c r="P52" s="209">
        <f t="shared" si="8"/>
        <v>9490.2000000000007</v>
      </c>
    </row>
    <row r="53" spans="1:16" s="109" customFormat="1" ht="24" x14ac:dyDescent="0.2">
      <c r="A53" s="97"/>
      <c r="B53" s="116"/>
      <c r="C53" s="117" t="s">
        <v>170</v>
      </c>
      <c r="D53" s="117" t="s">
        <v>69</v>
      </c>
      <c r="E53" s="118" t="s">
        <v>162</v>
      </c>
      <c r="F53" s="119" t="s">
        <v>163</v>
      </c>
      <c r="G53" s="120" t="s">
        <v>72</v>
      </c>
      <c r="H53" s="121">
        <v>5.5</v>
      </c>
      <c r="I53" s="122">
        <v>155.66999999999999</v>
      </c>
      <c r="J53" s="122">
        <v>856.19</v>
      </c>
      <c r="K53" s="206">
        <v>0</v>
      </c>
      <c r="L53" s="210">
        <f t="shared" si="3"/>
        <v>155.66999999999999</v>
      </c>
      <c r="M53" s="251">
        <f t="shared" si="4"/>
        <v>0</v>
      </c>
      <c r="N53" s="215">
        <f t="shared" si="6"/>
        <v>5.5</v>
      </c>
      <c r="O53" s="208">
        <f t="shared" si="7"/>
        <v>155.66999999999999</v>
      </c>
      <c r="P53" s="209">
        <f t="shared" si="8"/>
        <v>856.19</v>
      </c>
    </row>
    <row r="54" spans="1:16" s="109" customFormat="1" ht="24" x14ac:dyDescent="0.2">
      <c r="A54" s="97"/>
      <c r="B54" s="116"/>
      <c r="C54" s="117" t="s">
        <v>173</v>
      </c>
      <c r="D54" s="117" t="s">
        <v>69</v>
      </c>
      <c r="E54" s="118" t="s">
        <v>168</v>
      </c>
      <c r="F54" s="119" t="s">
        <v>169</v>
      </c>
      <c r="G54" s="120" t="s">
        <v>72</v>
      </c>
      <c r="H54" s="121">
        <v>8.5</v>
      </c>
      <c r="I54" s="122">
        <v>18.04</v>
      </c>
      <c r="J54" s="122">
        <v>153.34</v>
      </c>
      <c r="K54" s="206">
        <v>0</v>
      </c>
      <c r="L54" s="210">
        <f t="shared" si="3"/>
        <v>18.04</v>
      </c>
      <c r="M54" s="251">
        <f t="shared" si="4"/>
        <v>0</v>
      </c>
      <c r="N54" s="215">
        <f t="shared" si="6"/>
        <v>8.5</v>
      </c>
      <c r="O54" s="208">
        <f t="shared" si="7"/>
        <v>18.04</v>
      </c>
      <c r="P54" s="209">
        <f t="shared" si="8"/>
        <v>153.34</v>
      </c>
    </row>
    <row r="55" spans="1:16" s="109" customFormat="1" ht="48" x14ac:dyDescent="0.2">
      <c r="A55" s="97"/>
      <c r="B55" s="116"/>
      <c r="C55" s="117" t="s">
        <v>176</v>
      </c>
      <c r="D55" s="117" t="s">
        <v>69</v>
      </c>
      <c r="E55" s="118" t="s">
        <v>171</v>
      </c>
      <c r="F55" s="119" t="s">
        <v>172</v>
      </c>
      <c r="G55" s="120" t="s">
        <v>72</v>
      </c>
      <c r="H55" s="121">
        <v>8.5</v>
      </c>
      <c r="I55" s="122">
        <v>396.71</v>
      </c>
      <c r="J55" s="122">
        <v>3372.04</v>
      </c>
      <c r="K55" s="206">
        <v>0</v>
      </c>
      <c r="L55" s="210">
        <f t="shared" si="3"/>
        <v>396.71</v>
      </c>
      <c r="M55" s="251">
        <f t="shared" si="4"/>
        <v>0</v>
      </c>
      <c r="N55" s="215">
        <f t="shared" si="6"/>
        <v>8.5</v>
      </c>
      <c r="O55" s="208">
        <f t="shared" si="7"/>
        <v>396.71</v>
      </c>
      <c r="P55" s="209">
        <f t="shared" si="8"/>
        <v>3372.04</v>
      </c>
    </row>
    <row r="56" spans="1:16" s="109" customFormat="1" ht="36" x14ac:dyDescent="0.2">
      <c r="A56" s="97"/>
      <c r="B56" s="116"/>
      <c r="C56" s="117" t="s">
        <v>179</v>
      </c>
      <c r="D56" s="117" t="s">
        <v>69</v>
      </c>
      <c r="E56" s="118" t="s">
        <v>174</v>
      </c>
      <c r="F56" s="119" t="s">
        <v>175</v>
      </c>
      <c r="G56" s="120" t="s">
        <v>72</v>
      </c>
      <c r="H56" s="121">
        <v>5.5</v>
      </c>
      <c r="I56" s="122">
        <v>443.02</v>
      </c>
      <c r="J56" s="122">
        <v>2436.61</v>
      </c>
      <c r="K56" s="206">
        <v>0</v>
      </c>
      <c r="L56" s="210">
        <f t="shared" si="3"/>
        <v>443.02</v>
      </c>
      <c r="M56" s="251">
        <f t="shared" si="4"/>
        <v>0</v>
      </c>
      <c r="N56" s="215">
        <f t="shared" si="6"/>
        <v>5.5</v>
      </c>
      <c r="O56" s="208">
        <f t="shared" si="7"/>
        <v>443.02</v>
      </c>
      <c r="P56" s="209">
        <f t="shared" si="8"/>
        <v>2436.61</v>
      </c>
    </row>
    <row r="57" spans="1:16" s="110" customFormat="1" ht="12.75" x14ac:dyDescent="0.2">
      <c r="C57" s="245"/>
      <c r="D57" s="246" t="s">
        <v>3</v>
      </c>
      <c r="E57" s="247" t="s">
        <v>90</v>
      </c>
      <c r="F57" s="247" t="s">
        <v>182</v>
      </c>
      <c r="G57" s="245"/>
      <c r="H57" s="245"/>
      <c r="I57" s="245"/>
      <c r="J57" s="248"/>
      <c r="K57" s="249"/>
      <c r="L57" s="250"/>
      <c r="M57" s="256">
        <f>SUM(M58:M77)</f>
        <v>63544.993699999999</v>
      </c>
      <c r="N57" s="257"/>
      <c r="O57" s="243"/>
      <c r="P57" s="256">
        <f>SUM(P58:P77)</f>
        <v>374536.2900000001</v>
      </c>
    </row>
    <row r="58" spans="1:16" s="109" customFormat="1" ht="36" x14ac:dyDescent="0.2">
      <c r="A58" s="97"/>
      <c r="B58" s="116"/>
      <c r="C58" s="117" t="s">
        <v>183</v>
      </c>
      <c r="D58" s="117" t="s">
        <v>69</v>
      </c>
      <c r="E58" s="118" t="s">
        <v>184</v>
      </c>
      <c r="F58" s="119" t="s">
        <v>185</v>
      </c>
      <c r="G58" s="120" t="s">
        <v>61</v>
      </c>
      <c r="H58" s="121">
        <v>89.67</v>
      </c>
      <c r="I58" s="122">
        <v>552.39</v>
      </c>
      <c r="J58" s="122">
        <v>49532.81</v>
      </c>
      <c r="K58" s="206">
        <f>ROUND(90.8-H58,2)</f>
        <v>1.1299999999999999</v>
      </c>
      <c r="L58" s="210">
        <f t="shared" si="3"/>
        <v>552.39</v>
      </c>
      <c r="M58" s="251">
        <f t="shared" si="4"/>
        <v>624.20069999999987</v>
      </c>
      <c r="N58" s="215">
        <f t="shared" ref="N58:N77" si="9">H58+K58</f>
        <v>90.8</v>
      </c>
      <c r="O58" s="208">
        <f t="shared" ref="O58:O77" si="10">I58</f>
        <v>552.39</v>
      </c>
      <c r="P58" s="209">
        <f t="shared" ref="P58:P77" si="11">ROUND(N58*O58,2)</f>
        <v>50157.01</v>
      </c>
    </row>
    <row r="59" spans="1:16" s="109" customFormat="1" ht="24" x14ac:dyDescent="0.2">
      <c r="A59" s="97"/>
      <c r="B59" s="116"/>
      <c r="C59" s="123" t="s">
        <v>186</v>
      </c>
      <c r="D59" s="123" t="s">
        <v>127</v>
      </c>
      <c r="E59" s="124" t="s">
        <v>187</v>
      </c>
      <c r="F59" s="125" t="s">
        <v>188</v>
      </c>
      <c r="G59" s="126" t="s">
        <v>61</v>
      </c>
      <c r="H59" s="127">
        <v>91.015000000000001</v>
      </c>
      <c r="I59" s="128">
        <v>1060.07</v>
      </c>
      <c r="J59" s="128">
        <v>96482.27</v>
      </c>
      <c r="K59" s="206">
        <f>ROUND(H59/H58*K58,2)</f>
        <v>1.1499999999999999</v>
      </c>
      <c r="L59" s="210">
        <f t="shared" si="3"/>
        <v>1060.07</v>
      </c>
      <c r="M59" s="251">
        <f t="shared" si="4"/>
        <v>1219.0804999999998</v>
      </c>
      <c r="N59" s="215">
        <f t="shared" si="9"/>
        <v>92.165000000000006</v>
      </c>
      <c r="O59" s="208">
        <f t="shared" si="10"/>
        <v>1060.07</v>
      </c>
      <c r="P59" s="209">
        <f t="shared" si="11"/>
        <v>97701.35</v>
      </c>
    </row>
    <row r="60" spans="1:16" s="109" customFormat="1" ht="36" x14ac:dyDescent="0.2">
      <c r="A60" s="97"/>
      <c r="B60" s="116"/>
      <c r="C60" s="117" t="s">
        <v>189</v>
      </c>
      <c r="D60" s="117" t="s">
        <v>69</v>
      </c>
      <c r="E60" s="118" t="s">
        <v>202</v>
      </c>
      <c r="F60" s="119" t="s">
        <v>203</v>
      </c>
      <c r="G60" s="120" t="s">
        <v>138</v>
      </c>
      <c r="H60" s="121">
        <v>2</v>
      </c>
      <c r="I60" s="122">
        <v>260.41000000000003</v>
      </c>
      <c r="J60" s="122">
        <v>520.82000000000005</v>
      </c>
      <c r="K60" s="206">
        <v>0</v>
      </c>
      <c r="L60" s="210">
        <f t="shared" si="3"/>
        <v>260.41000000000003</v>
      </c>
      <c r="M60" s="251">
        <f t="shared" si="4"/>
        <v>0</v>
      </c>
      <c r="N60" s="215">
        <f t="shared" si="9"/>
        <v>2</v>
      </c>
      <c r="O60" s="208">
        <f t="shared" si="10"/>
        <v>260.41000000000003</v>
      </c>
      <c r="P60" s="209">
        <f t="shared" si="11"/>
        <v>520.82000000000005</v>
      </c>
    </row>
    <row r="61" spans="1:16" s="109" customFormat="1" ht="36" x14ac:dyDescent="0.2">
      <c r="A61" s="97"/>
      <c r="B61" s="116"/>
      <c r="C61" s="123" t="s">
        <v>192</v>
      </c>
      <c r="D61" s="123" t="s">
        <v>127</v>
      </c>
      <c r="E61" s="124" t="s">
        <v>205</v>
      </c>
      <c r="F61" s="125" t="s">
        <v>206</v>
      </c>
      <c r="G61" s="126" t="s">
        <v>138</v>
      </c>
      <c r="H61" s="127">
        <v>2</v>
      </c>
      <c r="I61" s="128">
        <v>1801.85</v>
      </c>
      <c r="J61" s="128">
        <v>3603.7</v>
      </c>
      <c r="K61" s="206">
        <v>0</v>
      </c>
      <c r="L61" s="210">
        <f t="shared" si="3"/>
        <v>1801.85</v>
      </c>
      <c r="M61" s="251">
        <f t="shared" si="4"/>
        <v>0</v>
      </c>
      <c r="N61" s="215">
        <f t="shared" si="9"/>
        <v>2</v>
      </c>
      <c r="O61" s="208">
        <f t="shared" si="10"/>
        <v>1801.85</v>
      </c>
      <c r="P61" s="209">
        <f t="shared" si="11"/>
        <v>3603.7</v>
      </c>
    </row>
    <row r="62" spans="1:16" s="109" customFormat="1" ht="24" x14ac:dyDescent="0.2">
      <c r="A62" s="97"/>
      <c r="B62" s="116"/>
      <c r="C62" s="117" t="s">
        <v>195</v>
      </c>
      <c r="D62" s="117" t="s">
        <v>69</v>
      </c>
      <c r="E62" s="118" t="s">
        <v>211</v>
      </c>
      <c r="F62" s="119" t="s">
        <v>212</v>
      </c>
      <c r="G62" s="120" t="s">
        <v>213</v>
      </c>
      <c r="H62" s="121">
        <v>2</v>
      </c>
      <c r="I62" s="122">
        <v>2564.6799999999998</v>
      </c>
      <c r="J62" s="122">
        <v>5129.3599999999997</v>
      </c>
      <c r="K62" s="206">
        <f>ROUND(90.8/89.67*H62-H62,2)</f>
        <v>0.03</v>
      </c>
      <c r="L62" s="210">
        <f t="shared" si="3"/>
        <v>2564.6799999999998</v>
      </c>
      <c r="M62" s="251">
        <f t="shared" si="4"/>
        <v>76.940399999999997</v>
      </c>
      <c r="N62" s="215">
        <f t="shared" si="9"/>
        <v>2.0299999999999998</v>
      </c>
      <c r="O62" s="208">
        <f t="shared" si="10"/>
        <v>2564.6799999999998</v>
      </c>
      <c r="P62" s="209">
        <f t="shared" si="11"/>
        <v>5206.3</v>
      </c>
    </row>
    <row r="63" spans="1:16" s="109" customFormat="1" ht="24" x14ac:dyDescent="0.2">
      <c r="A63" s="97"/>
      <c r="B63" s="116"/>
      <c r="C63" s="117" t="s">
        <v>198</v>
      </c>
      <c r="D63" s="117" t="s">
        <v>69</v>
      </c>
      <c r="E63" s="118" t="s">
        <v>215</v>
      </c>
      <c r="F63" s="119" t="s">
        <v>216</v>
      </c>
      <c r="G63" s="120" t="s">
        <v>138</v>
      </c>
      <c r="H63" s="121">
        <v>8</v>
      </c>
      <c r="I63" s="122">
        <v>2016.23</v>
      </c>
      <c r="J63" s="122">
        <v>16129.84</v>
      </c>
      <c r="K63" s="206">
        <v>0</v>
      </c>
      <c r="L63" s="210">
        <f t="shared" si="3"/>
        <v>2016.23</v>
      </c>
      <c r="M63" s="251">
        <f t="shared" si="4"/>
        <v>0</v>
      </c>
      <c r="N63" s="215">
        <f t="shared" si="9"/>
        <v>8</v>
      </c>
      <c r="O63" s="208">
        <f t="shared" si="10"/>
        <v>2016.23</v>
      </c>
      <c r="P63" s="209">
        <f t="shared" si="11"/>
        <v>16129.84</v>
      </c>
    </row>
    <row r="64" spans="1:16" s="109" customFormat="1" ht="24" x14ac:dyDescent="0.2">
      <c r="A64" s="97"/>
      <c r="B64" s="116"/>
      <c r="C64" s="123" t="s">
        <v>201</v>
      </c>
      <c r="D64" s="123" t="s">
        <v>127</v>
      </c>
      <c r="E64" s="124" t="s">
        <v>218</v>
      </c>
      <c r="F64" s="125" t="s">
        <v>219</v>
      </c>
      <c r="G64" s="126" t="s">
        <v>138</v>
      </c>
      <c r="H64" s="127">
        <v>2</v>
      </c>
      <c r="I64" s="128">
        <v>14898.16</v>
      </c>
      <c r="J64" s="128">
        <v>29796.32</v>
      </c>
      <c r="K64" s="206">
        <v>2</v>
      </c>
      <c r="L64" s="210">
        <f t="shared" si="3"/>
        <v>14898.16</v>
      </c>
      <c r="M64" s="251">
        <f t="shared" si="4"/>
        <v>29796.32</v>
      </c>
      <c r="N64" s="215">
        <f t="shared" si="9"/>
        <v>4</v>
      </c>
      <c r="O64" s="208">
        <f t="shared" si="10"/>
        <v>14898.16</v>
      </c>
      <c r="P64" s="209">
        <f t="shared" si="11"/>
        <v>59592.639999999999</v>
      </c>
    </row>
    <row r="65" spans="1:19" s="109" customFormat="1" ht="24" x14ac:dyDescent="0.2">
      <c r="A65" s="97"/>
      <c r="B65" s="116"/>
      <c r="C65" s="123" t="s">
        <v>204</v>
      </c>
      <c r="D65" s="123" t="s">
        <v>127</v>
      </c>
      <c r="E65" s="124" t="s">
        <v>221</v>
      </c>
      <c r="F65" s="125" t="s">
        <v>222</v>
      </c>
      <c r="G65" s="126" t="s">
        <v>138</v>
      </c>
      <c r="H65" s="127">
        <v>1</v>
      </c>
      <c r="I65" s="128">
        <v>14898.16</v>
      </c>
      <c r="J65" s="128">
        <v>14898.16</v>
      </c>
      <c r="K65" s="206">
        <v>0</v>
      </c>
      <c r="L65" s="210">
        <f t="shared" si="3"/>
        <v>14898.16</v>
      </c>
      <c r="M65" s="251">
        <f t="shared" si="4"/>
        <v>0</v>
      </c>
      <c r="N65" s="215">
        <f t="shared" si="9"/>
        <v>1</v>
      </c>
      <c r="O65" s="208">
        <f t="shared" si="10"/>
        <v>14898.16</v>
      </c>
      <c r="P65" s="209">
        <f t="shared" si="11"/>
        <v>14898.16</v>
      </c>
    </row>
    <row r="66" spans="1:19" s="109" customFormat="1" ht="24" x14ac:dyDescent="0.2">
      <c r="A66" s="97"/>
      <c r="B66" s="116"/>
      <c r="C66" s="123" t="s">
        <v>207</v>
      </c>
      <c r="D66" s="123" t="s">
        <v>127</v>
      </c>
      <c r="E66" s="124" t="s">
        <v>224</v>
      </c>
      <c r="F66" s="125" t="s">
        <v>225</v>
      </c>
      <c r="G66" s="126" t="s">
        <v>138</v>
      </c>
      <c r="H66" s="127">
        <v>3</v>
      </c>
      <c r="I66" s="128">
        <v>1530.92</v>
      </c>
      <c r="J66" s="128">
        <v>4592.76</v>
      </c>
      <c r="K66" s="206">
        <v>2</v>
      </c>
      <c r="L66" s="210">
        <f t="shared" si="3"/>
        <v>1530.92</v>
      </c>
      <c r="M66" s="251">
        <f t="shared" si="4"/>
        <v>3061.84</v>
      </c>
      <c r="N66" s="215">
        <f t="shared" si="9"/>
        <v>5</v>
      </c>
      <c r="O66" s="208">
        <f t="shared" si="10"/>
        <v>1530.92</v>
      </c>
      <c r="P66" s="209">
        <f t="shared" si="11"/>
        <v>7654.6</v>
      </c>
    </row>
    <row r="67" spans="1:19" s="109" customFormat="1" ht="24" x14ac:dyDescent="0.2">
      <c r="A67" s="97"/>
      <c r="B67" s="116"/>
      <c r="C67" s="123" t="s">
        <v>210</v>
      </c>
      <c r="D67" s="123" t="s">
        <v>127</v>
      </c>
      <c r="E67" s="124" t="s">
        <v>227</v>
      </c>
      <c r="F67" s="125" t="s">
        <v>228</v>
      </c>
      <c r="G67" s="126" t="s">
        <v>138</v>
      </c>
      <c r="H67" s="127">
        <v>1</v>
      </c>
      <c r="I67" s="128">
        <v>775.98</v>
      </c>
      <c r="J67" s="128">
        <v>775.98</v>
      </c>
      <c r="K67" s="206">
        <v>0</v>
      </c>
      <c r="L67" s="210">
        <f t="shared" si="3"/>
        <v>775.98</v>
      </c>
      <c r="M67" s="251">
        <f t="shared" si="4"/>
        <v>0</v>
      </c>
      <c r="N67" s="215">
        <f t="shared" si="9"/>
        <v>1</v>
      </c>
      <c r="O67" s="208">
        <f t="shared" si="10"/>
        <v>775.98</v>
      </c>
      <c r="P67" s="209">
        <f t="shared" si="11"/>
        <v>775.98</v>
      </c>
    </row>
    <row r="68" spans="1:19" s="109" customFormat="1" ht="24" x14ac:dyDescent="0.2">
      <c r="A68" s="97"/>
      <c r="B68" s="116"/>
      <c r="C68" s="123" t="s">
        <v>214</v>
      </c>
      <c r="D68" s="123" t="s">
        <v>127</v>
      </c>
      <c r="E68" s="124" t="s">
        <v>230</v>
      </c>
      <c r="F68" s="125" t="s">
        <v>231</v>
      </c>
      <c r="G68" s="126" t="s">
        <v>138</v>
      </c>
      <c r="H68" s="127">
        <v>1</v>
      </c>
      <c r="I68" s="128">
        <v>1202.1099999999999</v>
      </c>
      <c r="J68" s="128">
        <v>1202.1099999999999</v>
      </c>
      <c r="K68" s="206">
        <v>2</v>
      </c>
      <c r="L68" s="210">
        <f t="shared" si="3"/>
        <v>1202.1099999999999</v>
      </c>
      <c r="M68" s="251">
        <f t="shared" si="4"/>
        <v>2404.2199999999998</v>
      </c>
      <c r="N68" s="215">
        <f t="shared" si="9"/>
        <v>3</v>
      </c>
      <c r="O68" s="208">
        <f t="shared" si="10"/>
        <v>1202.1099999999999</v>
      </c>
      <c r="P68" s="209">
        <f t="shared" si="11"/>
        <v>3606.33</v>
      </c>
    </row>
    <row r="69" spans="1:19" s="109" customFormat="1" ht="24" x14ac:dyDescent="0.2">
      <c r="A69" s="97"/>
      <c r="B69" s="116"/>
      <c r="C69" s="123" t="s">
        <v>217</v>
      </c>
      <c r="D69" s="123" t="s">
        <v>127</v>
      </c>
      <c r="E69" s="124" t="s">
        <v>233</v>
      </c>
      <c r="F69" s="125" t="s">
        <v>310</v>
      </c>
      <c r="G69" s="126" t="s">
        <v>138</v>
      </c>
      <c r="H69" s="127">
        <v>3</v>
      </c>
      <c r="I69" s="128">
        <v>2648.85</v>
      </c>
      <c r="J69" s="128">
        <v>7946.55</v>
      </c>
      <c r="K69" s="206">
        <v>0</v>
      </c>
      <c r="L69" s="210">
        <f t="shared" si="3"/>
        <v>2648.85</v>
      </c>
      <c r="M69" s="251">
        <f t="shared" si="4"/>
        <v>0</v>
      </c>
      <c r="N69" s="215">
        <f t="shared" si="9"/>
        <v>3</v>
      </c>
      <c r="O69" s="208">
        <f t="shared" si="10"/>
        <v>2648.85</v>
      </c>
      <c r="P69" s="209">
        <f t="shared" si="11"/>
        <v>7946.55</v>
      </c>
    </row>
    <row r="70" spans="1:19" s="109" customFormat="1" ht="24" x14ac:dyDescent="0.2">
      <c r="A70" s="97"/>
      <c r="B70" s="116"/>
      <c r="C70" s="123" t="s">
        <v>220</v>
      </c>
      <c r="D70" s="123" t="s">
        <v>127</v>
      </c>
      <c r="E70" s="124" t="s">
        <v>236</v>
      </c>
      <c r="F70" s="125" t="s">
        <v>237</v>
      </c>
      <c r="G70" s="126" t="s">
        <v>138</v>
      </c>
      <c r="H70" s="127">
        <v>8</v>
      </c>
      <c r="I70" s="128">
        <v>211.75</v>
      </c>
      <c r="J70" s="128">
        <v>1694</v>
      </c>
      <c r="K70" s="206">
        <v>0</v>
      </c>
      <c r="L70" s="210">
        <f t="shared" si="3"/>
        <v>211.75</v>
      </c>
      <c r="M70" s="251">
        <f t="shared" si="4"/>
        <v>0</v>
      </c>
      <c r="N70" s="215">
        <f t="shared" si="9"/>
        <v>8</v>
      </c>
      <c r="O70" s="208">
        <f t="shared" si="10"/>
        <v>211.75</v>
      </c>
      <c r="P70" s="209">
        <f t="shared" si="11"/>
        <v>1694</v>
      </c>
    </row>
    <row r="71" spans="1:19" s="109" customFormat="1" ht="36" x14ac:dyDescent="0.2">
      <c r="A71" s="97"/>
      <c r="B71" s="116"/>
      <c r="C71" s="117" t="s">
        <v>223</v>
      </c>
      <c r="D71" s="117" t="s">
        <v>69</v>
      </c>
      <c r="E71" s="118" t="s">
        <v>239</v>
      </c>
      <c r="F71" s="119" t="s">
        <v>240</v>
      </c>
      <c r="G71" s="120" t="s">
        <v>138</v>
      </c>
      <c r="H71" s="121">
        <v>3</v>
      </c>
      <c r="I71" s="122">
        <v>5935.59</v>
      </c>
      <c r="J71" s="122">
        <v>17806.77</v>
      </c>
      <c r="K71" s="206">
        <v>2</v>
      </c>
      <c r="L71" s="210">
        <f t="shared" si="3"/>
        <v>5935.59</v>
      </c>
      <c r="M71" s="251">
        <f t="shared" si="4"/>
        <v>11871.18</v>
      </c>
      <c r="N71" s="215">
        <f t="shared" si="9"/>
        <v>5</v>
      </c>
      <c r="O71" s="208">
        <f t="shared" si="10"/>
        <v>5935.59</v>
      </c>
      <c r="P71" s="209">
        <f t="shared" si="11"/>
        <v>29677.95</v>
      </c>
    </row>
    <row r="72" spans="1:19" s="109" customFormat="1" ht="24" x14ac:dyDescent="0.2">
      <c r="A72" s="97"/>
      <c r="B72" s="116"/>
      <c r="C72" s="117" t="s">
        <v>226</v>
      </c>
      <c r="D72" s="117" t="s">
        <v>69</v>
      </c>
      <c r="E72" s="118" t="s">
        <v>242</v>
      </c>
      <c r="F72" s="119" t="s">
        <v>243</v>
      </c>
      <c r="G72" s="120" t="s">
        <v>138</v>
      </c>
      <c r="H72" s="121">
        <v>3</v>
      </c>
      <c r="I72" s="122">
        <v>485.32</v>
      </c>
      <c r="J72" s="122">
        <v>1455.96</v>
      </c>
      <c r="K72" s="206">
        <v>2</v>
      </c>
      <c r="L72" s="210">
        <f t="shared" si="3"/>
        <v>485.32</v>
      </c>
      <c r="M72" s="251">
        <f t="shared" si="4"/>
        <v>970.64</v>
      </c>
      <c r="N72" s="215">
        <f t="shared" si="9"/>
        <v>5</v>
      </c>
      <c r="O72" s="208">
        <f t="shared" si="10"/>
        <v>485.32</v>
      </c>
      <c r="P72" s="209">
        <f t="shared" si="11"/>
        <v>2426.6</v>
      </c>
    </row>
    <row r="73" spans="1:19" s="109" customFormat="1" ht="24" x14ac:dyDescent="0.2">
      <c r="A73" s="97"/>
      <c r="B73" s="116"/>
      <c r="C73" s="123" t="s">
        <v>229</v>
      </c>
      <c r="D73" s="123" t="s">
        <v>127</v>
      </c>
      <c r="E73" s="124" t="s">
        <v>245</v>
      </c>
      <c r="F73" s="125" t="s">
        <v>246</v>
      </c>
      <c r="G73" s="126" t="s">
        <v>138</v>
      </c>
      <c r="H73" s="127">
        <v>1</v>
      </c>
      <c r="I73" s="128">
        <v>6510.34</v>
      </c>
      <c r="J73" s="128">
        <v>6510.34</v>
      </c>
      <c r="K73" s="206">
        <v>0</v>
      </c>
      <c r="L73" s="210">
        <f t="shared" si="3"/>
        <v>6510.34</v>
      </c>
      <c r="M73" s="251">
        <f t="shared" si="4"/>
        <v>0</v>
      </c>
      <c r="N73" s="215">
        <f t="shared" si="9"/>
        <v>1</v>
      </c>
      <c r="O73" s="208">
        <f t="shared" si="10"/>
        <v>6510.34</v>
      </c>
      <c r="P73" s="209">
        <f t="shared" si="11"/>
        <v>6510.34</v>
      </c>
    </row>
    <row r="74" spans="1:19" s="109" customFormat="1" ht="12" x14ac:dyDescent="0.2">
      <c r="A74" s="97"/>
      <c r="B74" s="116"/>
      <c r="C74" s="123" t="s">
        <v>232</v>
      </c>
      <c r="D74" s="123" t="s">
        <v>127</v>
      </c>
      <c r="E74" s="124" t="s">
        <v>311</v>
      </c>
      <c r="F74" s="125" t="s">
        <v>312</v>
      </c>
      <c r="G74" s="126" t="s">
        <v>138</v>
      </c>
      <c r="H74" s="127">
        <v>1</v>
      </c>
      <c r="I74" s="128">
        <v>6510.34</v>
      </c>
      <c r="J74" s="128">
        <v>6510.34</v>
      </c>
      <c r="K74" s="206">
        <v>0</v>
      </c>
      <c r="L74" s="210">
        <f t="shared" si="3"/>
        <v>6510.34</v>
      </c>
      <c r="M74" s="251">
        <f t="shared" si="4"/>
        <v>0</v>
      </c>
      <c r="N74" s="215">
        <f t="shared" si="9"/>
        <v>1</v>
      </c>
      <c r="O74" s="208">
        <f t="shared" si="10"/>
        <v>6510.34</v>
      </c>
      <c r="P74" s="209">
        <f t="shared" si="11"/>
        <v>6510.34</v>
      </c>
    </row>
    <row r="75" spans="1:19" s="109" customFormat="1" ht="24" x14ac:dyDescent="0.2">
      <c r="A75" s="97"/>
      <c r="B75" s="116"/>
      <c r="C75" s="123" t="s">
        <v>235</v>
      </c>
      <c r="D75" s="123" t="s">
        <v>127</v>
      </c>
      <c r="E75" s="124" t="s">
        <v>248</v>
      </c>
      <c r="F75" s="125" t="s">
        <v>249</v>
      </c>
      <c r="G75" s="126" t="s">
        <v>138</v>
      </c>
      <c r="H75" s="127">
        <v>1</v>
      </c>
      <c r="I75" s="128">
        <v>6510.34</v>
      </c>
      <c r="J75" s="128">
        <v>6510.34</v>
      </c>
      <c r="K75" s="206">
        <v>2</v>
      </c>
      <c r="L75" s="210">
        <f t="shared" si="3"/>
        <v>6510.34</v>
      </c>
      <c r="M75" s="251">
        <f t="shared" si="4"/>
        <v>13020.68</v>
      </c>
      <c r="N75" s="215">
        <f t="shared" si="9"/>
        <v>3</v>
      </c>
      <c r="O75" s="208">
        <f t="shared" si="10"/>
        <v>6510.34</v>
      </c>
      <c r="P75" s="209">
        <f t="shared" si="11"/>
        <v>19531.02</v>
      </c>
    </row>
    <row r="76" spans="1:19" s="109" customFormat="1" ht="24" x14ac:dyDescent="0.2">
      <c r="A76" s="97"/>
      <c r="B76" s="116"/>
      <c r="C76" s="117" t="s">
        <v>238</v>
      </c>
      <c r="D76" s="117" t="s">
        <v>69</v>
      </c>
      <c r="E76" s="118" t="s">
        <v>254</v>
      </c>
      <c r="F76" s="119" t="s">
        <v>255</v>
      </c>
      <c r="G76" s="120" t="s">
        <v>62</v>
      </c>
      <c r="H76" s="121">
        <v>12.77</v>
      </c>
      <c r="I76" s="122">
        <v>3059.28</v>
      </c>
      <c r="J76" s="122">
        <v>39067.01</v>
      </c>
      <c r="K76" s="206">
        <f>ROUND(90.8/89.67*H76-H76,2)</f>
        <v>0.16</v>
      </c>
      <c r="L76" s="210">
        <f t="shared" si="3"/>
        <v>3059.28</v>
      </c>
      <c r="M76" s="251">
        <f t="shared" si="4"/>
        <v>489.48480000000006</v>
      </c>
      <c r="N76" s="215">
        <f t="shared" si="9"/>
        <v>12.93</v>
      </c>
      <c r="O76" s="208">
        <f t="shared" si="10"/>
        <v>3059.28</v>
      </c>
      <c r="P76" s="209">
        <f t="shared" si="11"/>
        <v>39556.49</v>
      </c>
      <c r="S76" s="192">
        <v>0.05</v>
      </c>
    </row>
    <row r="77" spans="1:19" s="109" customFormat="1" ht="12" x14ac:dyDescent="0.2">
      <c r="A77" s="97"/>
      <c r="B77" s="116"/>
      <c r="C77" s="117" t="s">
        <v>241</v>
      </c>
      <c r="D77" s="117" t="s">
        <v>69</v>
      </c>
      <c r="E77" s="118" t="s">
        <v>266</v>
      </c>
      <c r="F77" s="119" t="s">
        <v>267</v>
      </c>
      <c r="G77" s="120" t="s">
        <v>61</v>
      </c>
      <c r="H77" s="121">
        <v>89.67</v>
      </c>
      <c r="I77" s="122">
        <v>9.2100000000000009</v>
      </c>
      <c r="J77" s="122">
        <v>825.86</v>
      </c>
      <c r="K77" s="206">
        <f>ROUND(90.8/89.67*H77-H77,2)</f>
        <v>1.1299999999999999</v>
      </c>
      <c r="L77" s="210">
        <f t="shared" si="3"/>
        <v>9.2100000000000009</v>
      </c>
      <c r="M77" s="251">
        <f t="shared" si="4"/>
        <v>10.407299999999999</v>
      </c>
      <c r="N77" s="215">
        <f t="shared" si="9"/>
        <v>90.8</v>
      </c>
      <c r="O77" s="208">
        <f t="shared" si="10"/>
        <v>9.2100000000000009</v>
      </c>
      <c r="P77" s="209">
        <f t="shared" si="11"/>
        <v>836.27</v>
      </c>
    </row>
    <row r="78" spans="1:19" s="110" customFormat="1" ht="12.75" x14ac:dyDescent="0.2">
      <c r="C78" s="245"/>
      <c r="D78" s="246" t="s">
        <v>3</v>
      </c>
      <c r="E78" s="247" t="s">
        <v>93</v>
      </c>
      <c r="F78" s="247" t="s">
        <v>268</v>
      </c>
      <c r="G78" s="245"/>
      <c r="H78" s="245"/>
      <c r="I78" s="245"/>
      <c r="J78" s="248"/>
      <c r="K78" s="249"/>
      <c r="L78" s="250"/>
      <c r="M78" s="256">
        <f>SUM(M79:M82)</f>
        <v>0</v>
      </c>
      <c r="N78" s="257"/>
      <c r="O78" s="243"/>
      <c r="P78" s="256">
        <f>SUM(P79:P82)</f>
        <v>6282.1399999999994</v>
      </c>
    </row>
    <row r="79" spans="1:19" s="109" customFormat="1" ht="48" x14ac:dyDescent="0.2">
      <c r="A79" s="97"/>
      <c r="B79" s="116"/>
      <c r="C79" s="117" t="s">
        <v>244</v>
      </c>
      <c r="D79" s="117" t="s">
        <v>69</v>
      </c>
      <c r="E79" s="118" t="s">
        <v>270</v>
      </c>
      <c r="F79" s="119" t="s">
        <v>271</v>
      </c>
      <c r="G79" s="120" t="s">
        <v>61</v>
      </c>
      <c r="H79" s="121">
        <v>10</v>
      </c>
      <c r="I79" s="122">
        <v>87.65</v>
      </c>
      <c r="J79" s="122">
        <v>876.5</v>
      </c>
      <c r="K79" s="206">
        <v>0</v>
      </c>
      <c r="L79" s="210">
        <f t="shared" si="3"/>
        <v>87.65</v>
      </c>
      <c r="M79" s="251">
        <f t="shared" si="4"/>
        <v>0</v>
      </c>
      <c r="N79" s="215">
        <f>H79+K79</f>
        <v>10</v>
      </c>
      <c r="O79" s="208">
        <f>I79</f>
        <v>87.65</v>
      </c>
      <c r="P79" s="209">
        <f>ROUND(N79*O79,2)</f>
        <v>876.5</v>
      </c>
    </row>
    <row r="80" spans="1:19" s="109" customFormat="1" ht="36" x14ac:dyDescent="0.2">
      <c r="A80" s="97"/>
      <c r="B80" s="116"/>
      <c r="C80" s="117" t="s">
        <v>247</v>
      </c>
      <c r="D80" s="117" t="s">
        <v>69</v>
      </c>
      <c r="E80" s="118" t="s">
        <v>273</v>
      </c>
      <c r="F80" s="119" t="s">
        <v>274</v>
      </c>
      <c r="G80" s="120" t="s">
        <v>61</v>
      </c>
      <c r="H80" s="121">
        <v>20</v>
      </c>
      <c r="I80" s="122">
        <v>32.22</v>
      </c>
      <c r="J80" s="122">
        <v>644.4</v>
      </c>
      <c r="K80" s="206">
        <v>0</v>
      </c>
      <c r="L80" s="210">
        <f t="shared" ref="L80:L88" si="12">I80</f>
        <v>32.22</v>
      </c>
      <c r="M80" s="251">
        <f t="shared" ref="M80:M88" si="13">K80*L80</f>
        <v>0</v>
      </c>
      <c r="N80" s="215">
        <f>H80+K80</f>
        <v>20</v>
      </c>
      <c r="O80" s="208">
        <f>I80</f>
        <v>32.22</v>
      </c>
      <c r="P80" s="209">
        <f>ROUND(N80*O80,2)</f>
        <v>644.4</v>
      </c>
    </row>
    <row r="81" spans="1:19" s="109" customFormat="1" ht="24" x14ac:dyDescent="0.2">
      <c r="A81" s="97"/>
      <c r="B81" s="116"/>
      <c r="C81" s="117" t="s">
        <v>250</v>
      </c>
      <c r="D81" s="117" t="s">
        <v>69</v>
      </c>
      <c r="E81" s="118" t="s">
        <v>276</v>
      </c>
      <c r="F81" s="119" t="s">
        <v>277</v>
      </c>
      <c r="G81" s="120" t="s">
        <v>61</v>
      </c>
      <c r="H81" s="121">
        <v>20</v>
      </c>
      <c r="I81" s="122">
        <v>72.34</v>
      </c>
      <c r="J81" s="122">
        <v>1446.8</v>
      </c>
      <c r="K81" s="206">
        <v>0</v>
      </c>
      <c r="L81" s="210">
        <f t="shared" si="12"/>
        <v>72.34</v>
      </c>
      <c r="M81" s="251">
        <f t="shared" si="13"/>
        <v>0</v>
      </c>
      <c r="N81" s="215">
        <f>H81+K81</f>
        <v>20</v>
      </c>
      <c r="O81" s="208">
        <f>I81</f>
        <v>72.34</v>
      </c>
      <c r="P81" s="209">
        <f>ROUND(N81*O81,2)</f>
        <v>1446.8</v>
      </c>
    </row>
    <row r="82" spans="1:19" s="109" customFormat="1" ht="48" x14ac:dyDescent="0.2">
      <c r="A82" s="97"/>
      <c r="B82" s="116"/>
      <c r="C82" s="117" t="s">
        <v>253</v>
      </c>
      <c r="D82" s="117" t="s">
        <v>69</v>
      </c>
      <c r="E82" s="118" t="s">
        <v>279</v>
      </c>
      <c r="F82" s="119" t="s">
        <v>280</v>
      </c>
      <c r="G82" s="120" t="s">
        <v>138</v>
      </c>
      <c r="H82" s="121">
        <v>2</v>
      </c>
      <c r="I82" s="122">
        <v>1657.22</v>
      </c>
      <c r="J82" s="122">
        <v>3314.44</v>
      </c>
      <c r="K82" s="206">
        <v>0</v>
      </c>
      <c r="L82" s="210">
        <f t="shared" si="12"/>
        <v>1657.22</v>
      </c>
      <c r="M82" s="251">
        <f t="shared" si="13"/>
        <v>0</v>
      </c>
      <c r="N82" s="215">
        <f>H82+K82</f>
        <v>2</v>
      </c>
      <c r="O82" s="208">
        <f>I82</f>
        <v>1657.22</v>
      </c>
      <c r="P82" s="209">
        <f>ROUND(N82*O82,2)</f>
        <v>3314.44</v>
      </c>
    </row>
    <row r="83" spans="1:19" s="110" customFormat="1" ht="12.75" x14ac:dyDescent="0.2">
      <c r="C83" s="245"/>
      <c r="D83" s="246" t="s">
        <v>3</v>
      </c>
      <c r="E83" s="247" t="s">
        <v>281</v>
      </c>
      <c r="F83" s="247" t="s">
        <v>282</v>
      </c>
      <c r="G83" s="245"/>
      <c r="H83" s="245"/>
      <c r="I83" s="245"/>
      <c r="J83" s="248"/>
      <c r="K83" s="249"/>
      <c r="L83" s="250"/>
      <c r="M83" s="256">
        <f>SUM(M84:M86)</f>
        <v>38.569000000000003</v>
      </c>
      <c r="N83" s="257"/>
      <c r="O83" s="243"/>
      <c r="P83" s="256">
        <f>SUM(P84:P86)</f>
        <v>3440.9</v>
      </c>
    </row>
    <row r="84" spans="1:19" s="109" customFormat="1" ht="36" x14ac:dyDescent="0.2">
      <c r="A84" s="97"/>
      <c r="B84" s="116"/>
      <c r="C84" s="117" t="s">
        <v>256</v>
      </c>
      <c r="D84" s="117" t="s">
        <v>69</v>
      </c>
      <c r="E84" s="118" t="s">
        <v>284</v>
      </c>
      <c r="F84" s="119" t="s">
        <v>285</v>
      </c>
      <c r="G84" s="120" t="s">
        <v>120</v>
      </c>
      <c r="H84" s="121">
        <v>12.422000000000001</v>
      </c>
      <c r="I84" s="122">
        <v>105.72</v>
      </c>
      <c r="J84" s="122">
        <v>1313.25</v>
      </c>
      <c r="K84" s="206">
        <f>ROUND(90.8/89.67*H84-H84,2)</f>
        <v>0.16</v>
      </c>
      <c r="L84" s="210">
        <f t="shared" si="12"/>
        <v>105.72</v>
      </c>
      <c r="M84" s="251">
        <f t="shared" si="13"/>
        <v>16.915199999999999</v>
      </c>
      <c r="N84" s="215">
        <f>H84+K84</f>
        <v>12.582000000000001</v>
      </c>
      <c r="O84" s="208">
        <f>I84</f>
        <v>105.72</v>
      </c>
      <c r="P84" s="209">
        <f>ROUND(N84*O84,2)</f>
        <v>1330.17</v>
      </c>
      <c r="S84" s="192">
        <v>0.05</v>
      </c>
    </row>
    <row r="85" spans="1:19" s="109" customFormat="1" ht="48" x14ac:dyDescent="0.2">
      <c r="A85" s="97"/>
      <c r="B85" s="116"/>
      <c r="C85" s="117" t="s">
        <v>259</v>
      </c>
      <c r="D85" s="117" t="s">
        <v>69</v>
      </c>
      <c r="E85" s="118" t="s">
        <v>287</v>
      </c>
      <c r="F85" s="119" t="s">
        <v>288</v>
      </c>
      <c r="G85" s="120" t="s">
        <v>120</v>
      </c>
      <c r="H85" s="121">
        <v>1.627</v>
      </c>
      <c r="I85" s="122">
        <v>257.77999999999997</v>
      </c>
      <c r="J85" s="122">
        <v>419.41</v>
      </c>
      <c r="K85" s="206">
        <v>0</v>
      </c>
      <c r="L85" s="210">
        <f t="shared" si="12"/>
        <v>257.77999999999997</v>
      </c>
      <c r="M85" s="251">
        <f t="shared" si="13"/>
        <v>0</v>
      </c>
      <c r="N85" s="215">
        <f>H85+K85</f>
        <v>1.627</v>
      </c>
      <c r="O85" s="208">
        <f>I85</f>
        <v>257.77999999999997</v>
      </c>
      <c r="P85" s="209">
        <f>ROUND(N85*O85,2)</f>
        <v>419.41</v>
      </c>
      <c r="S85" s="150" t="s">
        <v>1084</v>
      </c>
    </row>
    <row r="86" spans="1:19" s="109" customFormat="1" ht="36" x14ac:dyDescent="0.2">
      <c r="A86" s="97"/>
      <c r="B86" s="116"/>
      <c r="C86" s="117" t="s">
        <v>262</v>
      </c>
      <c r="D86" s="117" t="s">
        <v>69</v>
      </c>
      <c r="E86" s="118" t="s">
        <v>290</v>
      </c>
      <c r="F86" s="119" t="s">
        <v>119</v>
      </c>
      <c r="G86" s="120" t="s">
        <v>120</v>
      </c>
      <c r="H86" s="121">
        <v>10.795</v>
      </c>
      <c r="I86" s="122">
        <v>154.66999999999999</v>
      </c>
      <c r="J86" s="122">
        <v>1669.66</v>
      </c>
      <c r="K86" s="206">
        <f>ROUND(90.8/89.67*H86-H86,2)</f>
        <v>0.14000000000000001</v>
      </c>
      <c r="L86" s="210">
        <f t="shared" si="12"/>
        <v>154.66999999999999</v>
      </c>
      <c r="M86" s="251">
        <f t="shared" si="13"/>
        <v>21.6538</v>
      </c>
      <c r="N86" s="215">
        <f>H86+K86</f>
        <v>10.935</v>
      </c>
      <c r="O86" s="208">
        <f>I86</f>
        <v>154.66999999999999</v>
      </c>
      <c r="P86" s="209">
        <f>ROUND(N86*O86,2)</f>
        <v>1691.32</v>
      </c>
      <c r="S86" s="150" t="s">
        <v>1084</v>
      </c>
    </row>
    <row r="87" spans="1:19" s="110" customFormat="1" ht="12.75" x14ac:dyDescent="0.2">
      <c r="C87" s="245"/>
      <c r="D87" s="246" t="s">
        <v>3</v>
      </c>
      <c r="E87" s="247" t="s">
        <v>291</v>
      </c>
      <c r="F87" s="247" t="s">
        <v>292</v>
      </c>
      <c r="G87" s="245"/>
      <c r="H87" s="245"/>
      <c r="I87" s="245"/>
      <c r="J87" s="256"/>
      <c r="K87" s="249"/>
      <c r="L87" s="250"/>
      <c r="M87" s="256">
        <f>M88</f>
        <v>40.046999999999997</v>
      </c>
      <c r="N87" s="257"/>
      <c r="O87" s="243"/>
      <c r="P87" s="256">
        <f>P88</f>
        <v>3200.21</v>
      </c>
    </row>
    <row r="88" spans="1:19" s="109" customFormat="1" ht="36" x14ac:dyDescent="0.2">
      <c r="A88" s="97"/>
      <c r="B88" s="116"/>
      <c r="C88" s="117" t="s">
        <v>265</v>
      </c>
      <c r="D88" s="117" t="s">
        <v>69</v>
      </c>
      <c r="E88" s="118" t="s">
        <v>294</v>
      </c>
      <c r="F88" s="119" t="s">
        <v>295</v>
      </c>
      <c r="G88" s="120" t="s">
        <v>120</v>
      </c>
      <c r="H88" s="121">
        <v>27.619</v>
      </c>
      <c r="I88" s="122">
        <v>114.42</v>
      </c>
      <c r="J88" s="122">
        <v>3160.17</v>
      </c>
      <c r="K88" s="206">
        <f>ROUND(90.8/89.67*H88-H88,2)</f>
        <v>0.35</v>
      </c>
      <c r="L88" s="210">
        <f t="shared" si="12"/>
        <v>114.42</v>
      </c>
      <c r="M88" s="251">
        <f t="shared" si="13"/>
        <v>40.046999999999997</v>
      </c>
      <c r="N88" s="215">
        <f>H88+K88</f>
        <v>27.969000000000001</v>
      </c>
      <c r="O88" s="208">
        <f>I88</f>
        <v>114.42</v>
      </c>
      <c r="P88" s="209">
        <f>ROUND(N88*O88,2)</f>
        <v>3200.21</v>
      </c>
    </row>
    <row r="90" spans="1:19" ht="12.75" x14ac:dyDescent="0.2">
      <c r="D90" s="89"/>
      <c r="E90" s="141" t="str">
        <f>CONCATENATE("CELKEM ",C12)</f>
        <v>CELKEM 02 - SO 01.B - Stoka A.0.1</v>
      </c>
      <c r="F90" s="90"/>
      <c r="G90" s="90"/>
      <c r="H90" s="91"/>
      <c r="I90" s="90"/>
      <c r="J90" s="92">
        <f>SUM(J15:J88)-J45</f>
        <v>728120.67999999982</v>
      </c>
      <c r="K90" s="93"/>
      <c r="L90" s="92"/>
      <c r="M90" s="147">
        <f>M87+M83+M78+M57+M50+M45+M43+M14</f>
        <v>68435.837</v>
      </c>
      <c r="N90" s="147"/>
      <c r="O90" s="147"/>
      <c r="P90" s="147">
        <f>P87+P83+P78+P57+P50+P45+P43+P14</f>
        <v>796556.50000000012</v>
      </c>
    </row>
    <row r="91" spans="1:19" x14ac:dyDescent="0.2">
      <c r="I91" s="95"/>
    </row>
    <row r="92" spans="1:19" ht="14.25" x14ac:dyDescent="0.2">
      <c r="E92" s="58"/>
      <c r="F92" s="58"/>
      <c r="H92" s="96"/>
      <c r="J92" s="161"/>
      <c r="K92" s="62"/>
      <c r="L92" s="62"/>
      <c r="O92" s="58"/>
    </row>
  </sheetData>
  <protectedRanges>
    <protectedRange password="CCAA" sqref="O8 K8" name="Oblast1_1_1_1"/>
    <protectedRange password="CCAA" sqref="D9:H10" name="Oblast1_2_1"/>
  </protectedRanges>
  <autoFilter ref="C10:P88" xr:uid="{7D14D8C6-6D80-4D36-A5F4-1018FDA7F682}"/>
  <mergeCells count="3">
    <mergeCell ref="K9:M9"/>
    <mergeCell ref="N9:P9"/>
    <mergeCell ref="R11:R14"/>
  </mergeCells>
  <conditionalFormatting sqref="D3:E7 H3:L7 D1:L2 Q9:GE10 O8:GE8 Q90:GO90 P92:HR92 M1:GD7 K92:N92 K15:P88">
    <cfRule type="cellIs" dxfId="311" priority="95" operator="lessThan">
      <formula>0</formula>
    </cfRule>
  </conditionalFormatting>
  <conditionalFormatting sqref="G4">
    <cfRule type="cellIs" dxfId="310" priority="94" operator="lessThan">
      <formula>0</formula>
    </cfRule>
  </conditionalFormatting>
  <conditionalFormatting sqref="G3">
    <cfRule type="cellIs" dxfId="309" priority="93" operator="lessThan">
      <formula>0</formula>
    </cfRule>
  </conditionalFormatting>
  <conditionalFormatting sqref="D9:J10 D8:E8 H8:L8">
    <cfRule type="cellIs" dxfId="308" priority="92" operator="lessThan">
      <formula>0</formula>
    </cfRule>
  </conditionalFormatting>
  <conditionalFormatting sqref="K90">
    <cfRule type="cellIs" dxfId="307" priority="40" operator="lessThan">
      <formula>0</formula>
    </cfRule>
  </conditionalFormatting>
  <conditionalFormatting sqref="D90 F90:J90">
    <cfRule type="cellIs" dxfId="306" priority="39" operator="lessThan">
      <formula>0</formula>
    </cfRule>
  </conditionalFormatting>
  <conditionalFormatting sqref="D92 G92:I92">
    <cfRule type="cellIs" dxfId="305" priority="29" operator="lessThan">
      <formula>0</formula>
    </cfRule>
  </conditionalFormatting>
  <conditionalFormatting sqref="G92:I92 P92 K92:M92">
    <cfRule type="cellIs" dxfId="304" priority="28" operator="lessThan">
      <formula>0</formula>
    </cfRule>
  </conditionalFormatting>
  <conditionalFormatting sqref="G92:I92 K92:M92">
    <cfRule type="cellIs" dxfId="303" priority="27" operator="lessThan">
      <formula>0</formula>
    </cfRule>
  </conditionalFormatting>
  <conditionalFormatting sqref="G92:I92 K92:M92">
    <cfRule type="cellIs" dxfId="302" priority="26" operator="lessThan">
      <formula>0</formula>
    </cfRule>
  </conditionalFormatting>
  <conditionalFormatting sqref="L90:P90">
    <cfRule type="cellIs" dxfId="301" priority="13" operator="lessThan">
      <formula>0</formula>
    </cfRule>
  </conditionalFormatting>
  <conditionalFormatting sqref="E90">
    <cfRule type="cellIs" dxfId="300" priority="12" operator="lessThan">
      <formula>0</formula>
    </cfRule>
  </conditionalFormatting>
  <conditionalFormatting sqref="N9">
    <cfRule type="cellIs" dxfId="299" priority="5" operator="lessThan">
      <formula>0</formula>
    </cfRule>
  </conditionalFormatting>
  <conditionalFormatting sqref="K10:L10 K9">
    <cfRule type="cellIs" dxfId="298" priority="4" operator="lessThan">
      <formula>0</formula>
    </cfRule>
  </conditionalFormatting>
  <conditionalFormatting sqref="M10:N10">
    <cfRule type="cellIs" dxfId="297" priority="3" operator="lessThan">
      <formula>0</formula>
    </cfRule>
  </conditionalFormatting>
  <conditionalFormatting sqref="O10:P10">
    <cfRule type="cellIs" dxfId="296" priority="2" operator="lessThan">
      <formula>0</formula>
    </cfRule>
  </conditionalFormatting>
  <conditionalFormatting sqref="J87">
    <cfRule type="cellIs" dxfId="295" priority="1" operator="lessThan">
      <formula>0</formula>
    </cfRule>
  </conditionalFormatting>
  <pageMargins left="0.39370078740157483" right="0.39370078740157483" top="0.39370078740157483" bottom="0.39370078740157483" header="0" footer="0"/>
  <pageSetup paperSize="9" scale="51" fitToHeight="0" orientation="portrait" r:id="rId1"/>
  <headerFooter>
    <oddFooter>&amp;CStrana &amp;P z &amp;N</oddFooter>
  </headerFooter>
  <drawing r:id="rId2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sheetPr>
    <pageSetUpPr fitToPage="1"/>
  </sheetPr>
  <dimension ref="A1:R25"/>
  <sheetViews>
    <sheetView showGridLines="0" view="pageBreakPreview" zoomScale="60" zoomScaleNormal="100" workbookViewId="0">
      <selection activeCell="J25" sqref="J25"/>
    </sheetView>
  </sheetViews>
  <sheetFormatPr defaultColWidth="9.33203125" defaultRowHeight="11.25" x14ac:dyDescent="0.2"/>
  <cols>
    <col min="1" max="1" width="8.33203125" style="60" customWidth="1"/>
    <col min="2" max="2" width="1.6640625" style="60" customWidth="1"/>
    <col min="3" max="3" width="4.1640625" style="60" customWidth="1"/>
    <col min="4" max="4" width="4.33203125" style="60" customWidth="1"/>
    <col min="5" max="5" width="17.1640625" style="60" customWidth="1"/>
    <col min="6" max="6" width="50.83203125" style="60" customWidth="1"/>
    <col min="7" max="7" width="8.6640625" style="60" customWidth="1"/>
    <col min="8" max="8" width="11.5" style="60" customWidth="1"/>
    <col min="9" max="10" width="20.1640625" style="60" customWidth="1"/>
    <col min="11" max="11" width="13.5" style="60" customWidth="1"/>
    <col min="12" max="12" width="17.1640625" style="60" customWidth="1"/>
    <col min="13" max="13" width="15.6640625" style="60" customWidth="1"/>
    <col min="14" max="14" width="11" style="60" bestFit="1" customWidth="1"/>
    <col min="15" max="15" width="16.1640625" style="60" bestFit="1" customWidth="1"/>
    <col min="16" max="16" width="15.83203125" style="60" customWidth="1"/>
    <col min="17" max="17" width="21.33203125" style="60" bestFit="1" customWidth="1"/>
    <col min="18" max="18" width="9.33203125" style="60" hidden="1" customWidth="1"/>
    <col min="19" max="16384" width="9.33203125" style="60"/>
  </cols>
  <sheetData>
    <row r="1" spans="1:17" ht="15" x14ac:dyDescent="0.2">
      <c r="F1" s="3"/>
      <c r="G1" s="4"/>
      <c r="H1" s="1"/>
      <c r="J1" s="61"/>
    </row>
    <row r="2" spans="1:17" s="1" customFormat="1" ht="15" x14ac:dyDescent="0.2">
      <c r="E2" s="2"/>
      <c r="F2" s="3" t="s">
        <v>979</v>
      </c>
      <c r="G2" s="4" t="str">
        <f>'[1]VRN 01'!G3</f>
        <v>Odkanalizování povodí Jizery - část B</v>
      </c>
      <c r="I2" s="5"/>
      <c r="J2" s="63"/>
      <c r="K2" s="10"/>
      <c r="L2" s="11"/>
      <c r="M2" s="11"/>
      <c r="N2" s="64"/>
    </row>
    <row r="3" spans="1:17" s="1" customFormat="1" ht="15" x14ac:dyDescent="0.2">
      <c r="E3" s="2"/>
      <c r="F3" s="3" t="s">
        <v>980</v>
      </c>
      <c r="G3" s="4" t="str">
        <f>+'Rekapitulace stavby'!D2</f>
        <v>ÚHERCE, výstavba kanalizace - UZNATELNÉ NÁKLADY - doměrky</v>
      </c>
      <c r="H3" s="2"/>
      <c r="I3" s="5"/>
      <c r="J3" s="63"/>
      <c r="K3" s="10"/>
      <c r="L3" s="11"/>
      <c r="M3" s="11"/>
      <c r="N3" s="64"/>
    </row>
    <row r="4" spans="1:17" s="2" customFormat="1" ht="15" x14ac:dyDescent="0.2">
      <c r="F4" s="12" t="s">
        <v>981</v>
      </c>
      <c r="G4" s="13" t="str">
        <f>'[1]VRN 01'!G5</f>
        <v>VRI/SOD/2020/Ži</v>
      </c>
      <c r="I4" s="5"/>
      <c r="J4" s="65"/>
      <c r="K4" s="18"/>
      <c r="L4" s="19"/>
      <c r="M4" s="19"/>
      <c r="N4" s="66"/>
    </row>
    <row r="5" spans="1:17" s="2" customFormat="1" ht="15" x14ac:dyDescent="0.2">
      <c r="F5" s="12" t="s">
        <v>983</v>
      </c>
      <c r="G5" s="13" t="s">
        <v>1001</v>
      </c>
      <c r="I5" s="5"/>
      <c r="J5" s="65"/>
      <c r="K5" s="18"/>
      <c r="L5" s="19"/>
      <c r="M5" s="19"/>
      <c r="N5" s="66"/>
    </row>
    <row r="6" spans="1:17" s="2" customFormat="1" ht="15" x14ac:dyDescent="0.2">
      <c r="F6" s="3" t="s">
        <v>984</v>
      </c>
      <c r="G6" s="13" t="str">
        <f>'[1]VRN 01'!G7</f>
        <v>Vododvody a kanalizace Mladá Boleslav, a.s.</v>
      </c>
      <c r="I6" s="5"/>
      <c r="J6" s="65"/>
      <c r="K6" s="18"/>
      <c r="L6" s="19"/>
      <c r="M6" s="19"/>
      <c r="N6" s="66"/>
    </row>
    <row r="7" spans="1:17" s="2" customFormat="1" ht="15" x14ac:dyDescent="0.2">
      <c r="F7" s="3" t="s">
        <v>986</v>
      </c>
      <c r="G7" s="20" t="str">
        <f>'[1]VRN 01'!G8</f>
        <v>VCES a.s.</v>
      </c>
      <c r="H7" s="67"/>
      <c r="I7" s="5"/>
      <c r="J7" s="65"/>
      <c r="K7" s="18"/>
      <c r="L7" s="19"/>
      <c r="M7" s="19"/>
      <c r="N7" s="66"/>
    </row>
    <row r="8" spans="1:17" s="68" customFormat="1" ht="12.75" x14ac:dyDescent="0.2">
      <c r="D8" s="69"/>
      <c r="F8" s="3"/>
      <c r="G8" s="20"/>
      <c r="H8" s="67"/>
      <c r="K8" s="72" t="s">
        <v>996</v>
      </c>
      <c r="L8" s="73" t="str">
        <f>+C12</f>
        <v>03 - PS 03.1 - Strojně technologická část</v>
      </c>
      <c r="M8" s="73"/>
      <c r="O8" s="74"/>
    </row>
    <row r="9" spans="1:17" s="75" customFormat="1" ht="12.75" customHeight="1" x14ac:dyDescent="0.2">
      <c r="C9" s="76"/>
      <c r="D9" s="77"/>
      <c r="E9" s="77"/>
      <c r="F9" s="77"/>
      <c r="G9" s="77"/>
      <c r="H9" s="77"/>
      <c r="I9" s="78"/>
      <c r="J9" s="79"/>
      <c r="K9" s="332" t="s">
        <v>1266</v>
      </c>
      <c r="L9" s="332"/>
      <c r="M9" s="332"/>
      <c r="N9" s="339" t="s">
        <v>1267</v>
      </c>
      <c r="O9" s="339"/>
      <c r="P9" s="340"/>
    </row>
    <row r="10" spans="1:17" s="75" customFormat="1" ht="12.75" x14ac:dyDescent="0.2">
      <c r="C10" s="80"/>
      <c r="D10" s="81" t="s">
        <v>997</v>
      </c>
      <c r="E10" s="81" t="s">
        <v>976</v>
      </c>
      <c r="F10" s="81" t="s">
        <v>977</v>
      </c>
      <c r="G10" s="81" t="s">
        <v>64</v>
      </c>
      <c r="H10" s="82" t="s">
        <v>65</v>
      </c>
      <c r="I10" s="83" t="s">
        <v>998</v>
      </c>
      <c r="J10" s="84" t="s">
        <v>978</v>
      </c>
      <c r="K10" s="218" t="s">
        <v>999</v>
      </c>
      <c r="L10" s="219" t="s">
        <v>1260</v>
      </c>
      <c r="M10" s="220" t="s">
        <v>978</v>
      </c>
      <c r="N10" s="263" t="s">
        <v>1264</v>
      </c>
      <c r="O10" s="264" t="s">
        <v>1260</v>
      </c>
      <c r="P10" s="265" t="s">
        <v>978</v>
      </c>
      <c r="Q10" s="157" t="s">
        <v>1127</v>
      </c>
    </row>
    <row r="12" spans="1:17" s="109" customFormat="1" ht="15.75" x14ac:dyDescent="0.25">
      <c r="A12" s="97"/>
      <c r="B12" s="97"/>
      <c r="C12" s="98" t="s">
        <v>914</v>
      </c>
      <c r="D12" s="97"/>
      <c r="E12" s="97"/>
      <c r="F12" s="97"/>
      <c r="G12" s="97"/>
      <c r="H12" s="97"/>
      <c r="I12" s="97"/>
      <c r="J12" s="99">
        <v>1983811.24</v>
      </c>
    </row>
    <row r="13" spans="1:17" s="110" customFormat="1" ht="15" x14ac:dyDescent="0.2">
      <c r="D13" s="111" t="s">
        <v>3</v>
      </c>
      <c r="E13" s="112" t="s">
        <v>66</v>
      </c>
      <c r="F13" s="112" t="s">
        <v>476</v>
      </c>
      <c r="J13" s="113">
        <v>1792446.81</v>
      </c>
      <c r="Q13" s="172" t="s">
        <v>1003</v>
      </c>
    </row>
    <row r="14" spans="1:17" s="110" customFormat="1" ht="12.75" x14ac:dyDescent="0.2">
      <c r="C14" s="252"/>
      <c r="D14" s="253" t="s">
        <v>3</v>
      </c>
      <c r="E14" s="254" t="s">
        <v>76</v>
      </c>
      <c r="F14" s="254" t="s">
        <v>130</v>
      </c>
      <c r="G14" s="252"/>
      <c r="H14" s="252"/>
      <c r="I14" s="252"/>
      <c r="J14" s="255">
        <v>1792446.81</v>
      </c>
      <c r="K14" s="284" t="str">
        <f>IF(ISBLANK(H14),"",SUM(#REF!+#REF!+#REF!+#REF!+#REF!+#REF!+#REF!+#REF!+#REF!+#REF!+#REF!,#REF!,#REF!,#REF!,#REF!,#REF!,#REF!,#REF!,#REF!,#REF!,#REF!,#REF!))</f>
        <v/>
      </c>
      <c r="L14" s="285" t="str">
        <f>IF(ISBLANK(H14),"",SUM(#REF!+#REF!+#REF!+#REF!+#REF!+#REF!+#REF!+#REF!+#REF!+#REF!+#REF!,#REF!,#REF!,#REF!,#REF!,#REF!,#REF!,#REF!,#REF!,#REF!,#REF!,#REF!,#REF!))</f>
        <v/>
      </c>
      <c r="M14" s="287">
        <f>M15</f>
        <v>0</v>
      </c>
      <c r="N14" s="286" t="str">
        <f t="shared" ref="N14:N21" si="0">IF(ISBLANK(H14),"",H14-K14)</f>
        <v/>
      </c>
      <c r="O14" s="285" t="str">
        <f>IF(ISBLANK(H14),"",J14-L14)</f>
        <v/>
      </c>
      <c r="P14" s="287">
        <f>P15</f>
        <v>1792446.81</v>
      </c>
    </row>
    <row r="15" spans="1:17" s="109" customFormat="1" ht="36" x14ac:dyDescent="0.2">
      <c r="A15" s="97"/>
      <c r="B15" s="116"/>
      <c r="C15" s="117" t="s">
        <v>7</v>
      </c>
      <c r="D15" s="117" t="s">
        <v>69</v>
      </c>
      <c r="E15" s="118" t="s">
        <v>646</v>
      </c>
      <c r="F15" s="119" t="s">
        <v>647</v>
      </c>
      <c r="G15" s="120" t="s">
        <v>138</v>
      </c>
      <c r="H15" s="121">
        <v>1</v>
      </c>
      <c r="I15" s="122">
        <v>1792446.81</v>
      </c>
      <c r="J15" s="122">
        <v>1792446.81</v>
      </c>
      <c r="K15" s="85">
        <v>0</v>
      </c>
      <c r="L15" s="86">
        <f>I15</f>
        <v>1792446.81</v>
      </c>
      <c r="M15" s="277">
        <f>K15*L15</f>
        <v>0</v>
      </c>
      <c r="N15" s="87">
        <f t="shared" si="0"/>
        <v>1</v>
      </c>
      <c r="O15" s="88">
        <f>I15</f>
        <v>1792446.81</v>
      </c>
      <c r="P15" s="278">
        <f>N15*O15</f>
        <v>1792446.81</v>
      </c>
    </row>
    <row r="16" spans="1:17" s="110" customFormat="1" ht="15" x14ac:dyDescent="0.2">
      <c r="C16" s="245"/>
      <c r="D16" s="246" t="s">
        <v>3</v>
      </c>
      <c r="E16" s="293" t="s">
        <v>587</v>
      </c>
      <c r="F16" s="293" t="s">
        <v>588</v>
      </c>
      <c r="G16" s="245"/>
      <c r="H16" s="245"/>
      <c r="I16" s="245"/>
      <c r="J16" s="294">
        <v>153091.54</v>
      </c>
      <c r="K16" s="243" t="str">
        <f>IF(ISBLANK(H16),"",SUM(#REF!+#REF!+#REF!+#REF!+#REF!+#REF!+#REF!+#REF!+#REF!+#REF!+#REF!,#REF!,#REF!,#REF!,#REF!,#REF!,#REF!,#REF!,#REF!,#REF!,#REF!,#REF!))</f>
        <v/>
      </c>
      <c r="L16" s="244" t="str">
        <f>IF(ISBLANK(H16),"",SUM(#REF!+#REF!+#REF!+#REF!+#REF!+#REF!+#REF!+#REF!+#REF!+#REF!+#REF!,#REF!,#REF!,#REF!,#REF!,#REF!,#REF!,#REF!,#REF!,#REF!,#REF!,#REF!,#REF!))</f>
        <v/>
      </c>
      <c r="M16" s="279">
        <f>M17</f>
        <v>0</v>
      </c>
      <c r="N16" s="280" t="str">
        <f t="shared" si="0"/>
        <v/>
      </c>
      <c r="O16" s="244" t="str">
        <f>IF(ISBLANK(H16),"",J16-L16)</f>
        <v/>
      </c>
      <c r="P16" s="279">
        <f>P17</f>
        <v>153091.54</v>
      </c>
    </row>
    <row r="17" spans="1:16" s="110" customFormat="1" ht="12.75" x14ac:dyDescent="0.2">
      <c r="C17" s="245"/>
      <c r="D17" s="246" t="s">
        <v>3</v>
      </c>
      <c r="E17" s="247" t="s">
        <v>648</v>
      </c>
      <c r="F17" s="247" t="s">
        <v>649</v>
      </c>
      <c r="G17" s="245"/>
      <c r="H17" s="245"/>
      <c r="I17" s="245"/>
      <c r="J17" s="248">
        <v>153091.54</v>
      </c>
      <c r="K17" s="243" t="str">
        <f>IF(ISBLANK(H17),"",SUM(#REF!+#REF!+#REF!+#REF!+#REF!+#REF!+#REF!+#REF!+#REF!+#REF!+#REF!,#REF!,#REF!,#REF!,#REF!,#REF!,#REF!,#REF!,#REF!,#REF!,#REF!,#REF!))</f>
        <v/>
      </c>
      <c r="L17" s="244" t="str">
        <f>IF(ISBLANK(H17),"",SUM(#REF!+#REF!+#REF!+#REF!+#REF!+#REF!+#REF!+#REF!+#REF!+#REF!+#REF!,#REF!,#REF!,#REF!,#REF!,#REF!,#REF!,#REF!,#REF!,#REF!,#REF!,#REF!,#REF!))</f>
        <v/>
      </c>
      <c r="M17" s="279">
        <f>M18</f>
        <v>0</v>
      </c>
      <c r="N17" s="280" t="str">
        <f t="shared" si="0"/>
        <v/>
      </c>
      <c r="O17" s="244" t="str">
        <f>IF(ISBLANK(H17),"",J17-L17)</f>
        <v/>
      </c>
      <c r="P17" s="279">
        <f>P18</f>
        <v>153091.54</v>
      </c>
    </row>
    <row r="18" spans="1:16" s="109" customFormat="1" ht="12" x14ac:dyDescent="0.2">
      <c r="A18" s="97"/>
      <c r="B18" s="116"/>
      <c r="C18" s="117" t="s">
        <v>8</v>
      </c>
      <c r="D18" s="117" t="s">
        <v>69</v>
      </c>
      <c r="E18" s="118" t="s">
        <v>650</v>
      </c>
      <c r="F18" s="119" t="s">
        <v>915</v>
      </c>
      <c r="G18" s="120" t="s">
        <v>652</v>
      </c>
      <c r="H18" s="121">
        <v>1</v>
      </c>
      <c r="I18" s="122">
        <v>153091.54</v>
      </c>
      <c r="J18" s="122">
        <v>153091.54</v>
      </c>
      <c r="K18" s="85">
        <v>0</v>
      </c>
      <c r="L18" s="86">
        <f>I18</f>
        <v>153091.54</v>
      </c>
      <c r="M18" s="277">
        <f t="shared" ref="M18:M21" si="1">K18*L18</f>
        <v>0</v>
      </c>
      <c r="N18" s="87">
        <f t="shared" si="0"/>
        <v>1</v>
      </c>
      <c r="O18" s="88">
        <f>I18</f>
        <v>153091.54</v>
      </c>
      <c r="P18" s="278">
        <f t="shared" ref="P18:P21" si="2">N18*O18</f>
        <v>153091.54</v>
      </c>
    </row>
    <row r="19" spans="1:16" s="110" customFormat="1" ht="15" x14ac:dyDescent="0.2">
      <c r="C19" s="245"/>
      <c r="D19" s="246" t="s">
        <v>3</v>
      </c>
      <c r="E19" s="293" t="s">
        <v>127</v>
      </c>
      <c r="F19" s="293" t="s">
        <v>653</v>
      </c>
      <c r="G19" s="245"/>
      <c r="H19" s="245"/>
      <c r="I19" s="245"/>
      <c r="J19" s="294">
        <v>38272.89</v>
      </c>
      <c r="K19" s="243" t="str">
        <f>IF(ISBLANK(H19),"",SUM(#REF!+#REF!+#REF!+#REF!+#REF!+#REF!+#REF!+#REF!+#REF!+#REF!+#REF!,#REF!,#REF!,#REF!,#REF!,#REF!,#REF!,#REF!,#REF!,#REF!,#REF!,#REF!))</f>
        <v/>
      </c>
      <c r="L19" s="244" t="str">
        <f>IF(ISBLANK(H19),"",SUM(#REF!+#REF!+#REF!+#REF!+#REF!+#REF!+#REF!+#REF!+#REF!+#REF!+#REF!,#REF!,#REF!,#REF!,#REF!,#REF!,#REF!,#REF!,#REF!,#REF!,#REF!,#REF!,#REF!))</f>
        <v/>
      </c>
      <c r="M19" s="279">
        <f>M20</f>
        <v>0</v>
      </c>
      <c r="N19" s="280" t="str">
        <f t="shared" si="0"/>
        <v/>
      </c>
      <c r="O19" s="244" t="str">
        <f>IF(ISBLANK(H19),"",J19-L19)</f>
        <v/>
      </c>
      <c r="P19" s="279">
        <f>P20</f>
        <v>38272.89</v>
      </c>
    </row>
    <row r="20" spans="1:16" s="110" customFormat="1" ht="12.75" x14ac:dyDescent="0.2">
      <c r="C20" s="245"/>
      <c r="D20" s="246" t="s">
        <v>3</v>
      </c>
      <c r="E20" s="247" t="s">
        <v>654</v>
      </c>
      <c r="F20" s="247" t="s">
        <v>655</v>
      </c>
      <c r="G20" s="245"/>
      <c r="H20" s="245"/>
      <c r="I20" s="245"/>
      <c r="J20" s="248">
        <v>38272.89</v>
      </c>
      <c r="K20" s="243" t="str">
        <f>IF(ISBLANK(H20),"",SUM(#REF!+#REF!+#REF!+#REF!+#REF!+#REF!+#REF!+#REF!+#REF!+#REF!+#REF!,#REF!,#REF!,#REF!,#REF!,#REF!,#REF!,#REF!,#REF!,#REF!,#REF!,#REF!))</f>
        <v/>
      </c>
      <c r="L20" s="244" t="str">
        <f>IF(ISBLANK(H20),"",SUM(#REF!+#REF!+#REF!+#REF!+#REF!+#REF!+#REF!+#REF!+#REF!+#REF!+#REF!,#REF!,#REF!,#REF!,#REF!,#REF!,#REF!,#REF!,#REF!,#REF!,#REF!,#REF!,#REF!))</f>
        <v/>
      </c>
      <c r="M20" s="279">
        <f>M21</f>
        <v>0</v>
      </c>
      <c r="N20" s="280" t="str">
        <f t="shared" si="0"/>
        <v/>
      </c>
      <c r="O20" s="244" t="str">
        <f>IF(ISBLANK(H20),"",J20-L20)</f>
        <v/>
      </c>
      <c r="P20" s="279">
        <f>P21</f>
        <v>38272.89</v>
      </c>
    </row>
    <row r="21" spans="1:16" s="109" customFormat="1" ht="12" x14ac:dyDescent="0.2">
      <c r="A21" s="97"/>
      <c r="B21" s="116"/>
      <c r="C21" s="117" t="s">
        <v>76</v>
      </c>
      <c r="D21" s="117" t="s">
        <v>69</v>
      </c>
      <c r="E21" s="118" t="s">
        <v>656</v>
      </c>
      <c r="F21" s="119" t="s">
        <v>916</v>
      </c>
      <c r="G21" s="120" t="s">
        <v>138</v>
      </c>
      <c r="H21" s="121">
        <v>1</v>
      </c>
      <c r="I21" s="122">
        <v>38272.89</v>
      </c>
      <c r="J21" s="122">
        <v>38272.89</v>
      </c>
      <c r="K21" s="85">
        <v>0</v>
      </c>
      <c r="L21" s="86">
        <f>I21</f>
        <v>38272.89</v>
      </c>
      <c r="M21" s="277">
        <f t="shared" si="1"/>
        <v>0</v>
      </c>
      <c r="N21" s="87">
        <f t="shared" si="0"/>
        <v>1</v>
      </c>
      <c r="O21" s="88">
        <f>I21</f>
        <v>38272.89</v>
      </c>
      <c r="P21" s="278">
        <f t="shared" si="2"/>
        <v>38272.89</v>
      </c>
    </row>
    <row r="22" spans="1:16" s="109" customFormat="1" x14ac:dyDescent="0.2">
      <c r="A22" s="97"/>
      <c r="B22" s="97"/>
      <c r="C22" s="97"/>
      <c r="D22" s="97"/>
      <c r="E22" s="97"/>
      <c r="F22" s="97"/>
      <c r="G22" s="97"/>
      <c r="H22" s="97"/>
      <c r="I22" s="97"/>
      <c r="J22" s="97"/>
    </row>
    <row r="23" spans="1:16" ht="12.75" x14ac:dyDescent="0.2">
      <c r="D23" s="89"/>
      <c r="E23" s="141" t="str">
        <f>CONCATENATE("CELKEM ",C$12)</f>
        <v>CELKEM 03 - PS 03.1 - Strojně technologická část</v>
      </c>
      <c r="F23" s="90"/>
      <c r="G23" s="90"/>
      <c r="H23" s="91"/>
      <c r="I23" s="90"/>
      <c r="J23" s="92">
        <v>1983811.24</v>
      </c>
      <c r="K23" s="94"/>
      <c r="L23" s="92"/>
      <c r="M23" s="92">
        <v>0</v>
      </c>
      <c r="N23" s="94"/>
      <c r="O23" s="92"/>
      <c r="P23" s="295">
        <f>P19+P14+P16</f>
        <v>1983811.24</v>
      </c>
    </row>
    <row r="24" spans="1:16" x14ac:dyDescent="0.2">
      <c r="I24" s="95"/>
    </row>
    <row r="25" spans="1:16" ht="14.25" x14ac:dyDescent="0.2">
      <c r="E25" s="58" t="s">
        <v>994</v>
      </c>
      <c r="F25" s="58"/>
      <c r="H25" s="96"/>
      <c r="J25" s="161"/>
      <c r="K25" s="58" t="s">
        <v>995</v>
      </c>
    </row>
  </sheetData>
  <protectedRanges>
    <protectedRange password="CCAA" sqref="K8" name="Oblast1_1_1_1_1_1_1"/>
    <protectedRange password="CCAA" sqref="D9:H10" name="Oblast1_2_1_1_1_1_1"/>
  </protectedRanges>
  <mergeCells count="2">
    <mergeCell ref="K9:M9"/>
    <mergeCell ref="N9:P9"/>
  </mergeCells>
  <conditionalFormatting sqref="D3:E7 H3:J7 K8:GF8 Q9:GF10 D1:J2 K1:GE7 K14:L21">
    <cfRule type="cellIs" dxfId="68" priority="85" operator="lessThan">
      <formula>0</formula>
    </cfRule>
  </conditionalFormatting>
  <conditionalFormatting sqref="G4">
    <cfRule type="cellIs" dxfId="67" priority="84" operator="lessThan">
      <formula>0</formula>
    </cfRule>
  </conditionalFormatting>
  <conditionalFormatting sqref="G3">
    <cfRule type="cellIs" dxfId="66" priority="83" operator="lessThan">
      <formula>0</formula>
    </cfRule>
  </conditionalFormatting>
  <conditionalFormatting sqref="D8:E8 H8:J8">
    <cfRule type="cellIs" dxfId="65" priority="82" operator="lessThan">
      <formula>0</formula>
    </cfRule>
  </conditionalFormatting>
  <conditionalFormatting sqref="N14:O21">
    <cfRule type="cellIs" dxfId="64" priority="33" operator="lessThan">
      <formula>0</formula>
    </cfRule>
  </conditionalFormatting>
  <conditionalFormatting sqref="N14:O21">
    <cfRule type="cellIs" dxfId="63" priority="32" operator="lessThan">
      <formula>0</formula>
    </cfRule>
  </conditionalFormatting>
  <conditionalFormatting sqref="K23 N23 P23:GP23">
    <cfRule type="cellIs" dxfId="62" priority="31" operator="lessThan">
      <formula>0</formula>
    </cfRule>
  </conditionalFormatting>
  <conditionalFormatting sqref="D23:J23">
    <cfRule type="cellIs" dxfId="61" priority="29" operator="lessThan">
      <formula>0</formula>
    </cfRule>
  </conditionalFormatting>
  <conditionalFormatting sqref="L25:HS25 D25 G25:I25">
    <cfRule type="cellIs" dxfId="60" priority="19" operator="lessThan">
      <formula>0</formula>
    </cfRule>
  </conditionalFormatting>
  <conditionalFormatting sqref="G25:I25 L25:M25">
    <cfRule type="cellIs" dxfId="59" priority="18" operator="lessThan">
      <formula>0</formula>
    </cfRule>
  </conditionalFormatting>
  <conditionalFormatting sqref="G25:I25">
    <cfRule type="cellIs" dxfId="58" priority="17" operator="lessThan">
      <formula>0</formula>
    </cfRule>
  </conditionalFormatting>
  <conditionalFormatting sqref="G25:I25">
    <cfRule type="cellIs" dxfId="57" priority="16" operator="lessThan">
      <formula>0</formula>
    </cfRule>
  </conditionalFormatting>
  <conditionalFormatting sqref="M23">
    <cfRule type="cellIs" dxfId="56" priority="6" operator="lessThan">
      <formula>0</formula>
    </cfRule>
  </conditionalFormatting>
  <conditionalFormatting sqref="L23 O23">
    <cfRule type="cellIs" dxfId="55" priority="4" operator="lessThan">
      <formula>0</formula>
    </cfRule>
  </conditionalFormatting>
  <conditionalFormatting sqref="D9:J10">
    <cfRule type="cellIs" dxfId="54" priority="3" operator="lessThan">
      <formula>0</formula>
    </cfRule>
  </conditionalFormatting>
  <conditionalFormatting sqref="K9:L10 N9:O9">
    <cfRule type="cellIs" dxfId="53" priority="2" operator="lessThan">
      <formula>0</formula>
    </cfRule>
  </conditionalFormatting>
  <conditionalFormatting sqref="M10:P10">
    <cfRule type="cellIs" dxfId="52" priority="1" operator="lessThan">
      <formula>0</formula>
    </cfRule>
  </conditionalFormatting>
  <pageMargins left="0.39370078740157483" right="0.39370078740157483" top="0.39370078740157483" bottom="0.39370078740157483" header="0" footer="0"/>
  <pageSetup paperSize="9" scale="53" fitToHeight="0" orientation="portrait" r:id="rId1"/>
  <headerFooter>
    <oddFooter>&amp;CStrana &amp;P z &amp;N</oddFooter>
  </headerFooter>
  <drawing r:id="rId2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sheetPr>
    <pageSetUpPr fitToPage="1"/>
  </sheetPr>
  <dimension ref="A1:P79"/>
  <sheetViews>
    <sheetView showGridLines="0" view="pageBreakPreview" topLeftCell="A47" zoomScale="80" zoomScaleNormal="100" zoomScaleSheetLayoutView="80" workbookViewId="0">
      <selection activeCell="E88" sqref="E88"/>
    </sheetView>
  </sheetViews>
  <sheetFormatPr defaultColWidth="9.33203125" defaultRowHeight="11.25" x14ac:dyDescent="0.2"/>
  <cols>
    <col min="1" max="1" width="8.33203125" style="60" customWidth="1"/>
    <col min="2" max="2" width="1.6640625" style="60" customWidth="1"/>
    <col min="3" max="3" width="4.1640625" style="60" customWidth="1"/>
    <col min="4" max="4" width="4.33203125" style="60" customWidth="1"/>
    <col min="5" max="5" width="17.1640625" style="60" customWidth="1"/>
    <col min="6" max="6" width="50.83203125" style="60" customWidth="1"/>
    <col min="7" max="7" width="7" style="60" customWidth="1"/>
    <col min="8" max="8" width="11.5" style="60" customWidth="1"/>
    <col min="9" max="9" width="20.1640625" style="60" customWidth="1"/>
    <col min="10" max="10" width="20" style="60" customWidth="1"/>
    <col min="11" max="16384" width="9.33203125" style="60"/>
  </cols>
  <sheetData>
    <row r="1" spans="1:16" ht="18.95" customHeight="1" x14ac:dyDescent="0.2">
      <c r="F1" s="3"/>
      <c r="G1" s="4"/>
      <c r="H1" s="1"/>
      <c r="J1" s="61"/>
    </row>
    <row r="2" spans="1:16" s="1" customFormat="1" ht="18" customHeight="1" x14ac:dyDescent="0.2">
      <c r="E2" s="2"/>
      <c r="F2" s="3" t="s">
        <v>979</v>
      </c>
      <c r="G2" s="4" t="str">
        <f>'[1]VRN 01'!G3</f>
        <v>Odkanalizování povodí Jizery - část B</v>
      </c>
      <c r="I2" s="5"/>
      <c r="J2" s="63"/>
      <c r="K2" s="10"/>
      <c r="L2" s="11"/>
      <c r="M2" s="11"/>
      <c r="N2" s="64"/>
    </row>
    <row r="3" spans="1:16" s="1" customFormat="1" ht="18" customHeight="1" x14ac:dyDescent="0.2">
      <c r="E3" s="2"/>
      <c r="F3" s="3" t="s">
        <v>980</v>
      </c>
      <c r="G3" s="4" t="str">
        <f>+'Rekapitulace stavby'!D2</f>
        <v>ÚHERCE, výstavba kanalizace - UZNATELNÉ NÁKLADY - doměrky</v>
      </c>
      <c r="H3" s="2"/>
      <c r="I3" s="5"/>
      <c r="J3" s="63"/>
      <c r="K3" s="10"/>
      <c r="L3" s="11"/>
      <c r="M3" s="11"/>
      <c r="N3" s="64"/>
    </row>
    <row r="4" spans="1:16" s="2" customFormat="1" ht="18" customHeight="1" x14ac:dyDescent="0.2">
      <c r="F4" s="12" t="s">
        <v>981</v>
      </c>
      <c r="G4" s="13" t="str">
        <f>'[1]VRN 01'!G5</f>
        <v>VRI/SOD/2020/Ži</v>
      </c>
      <c r="I4" s="5"/>
      <c r="J4" s="65"/>
      <c r="K4" s="18"/>
      <c r="L4" s="19"/>
      <c r="M4" s="19"/>
      <c r="N4" s="66"/>
    </row>
    <row r="5" spans="1:16" s="2" customFormat="1" ht="18" customHeight="1" x14ac:dyDescent="0.2">
      <c r="F5" s="12" t="s">
        <v>983</v>
      </c>
      <c r="G5" s="13" t="s">
        <v>1001</v>
      </c>
      <c r="I5" s="5"/>
      <c r="J5" s="65"/>
      <c r="K5" s="18"/>
      <c r="L5" s="19"/>
      <c r="M5" s="19"/>
      <c r="N5" s="66"/>
    </row>
    <row r="6" spans="1:16" s="2" customFormat="1" ht="18" customHeight="1" x14ac:dyDescent="0.2">
      <c r="F6" s="3" t="s">
        <v>984</v>
      </c>
      <c r="G6" s="13" t="str">
        <f>'[1]VRN 01'!G7</f>
        <v>Vododvody a kanalizace Mladá Boleslav, a.s.</v>
      </c>
      <c r="I6" s="5"/>
      <c r="J6" s="65"/>
      <c r="K6" s="18"/>
      <c r="L6" s="19"/>
      <c r="M6" s="19"/>
      <c r="N6" s="66"/>
    </row>
    <row r="7" spans="1:16" s="2" customFormat="1" ht="18" customHeight="1" x14ac:dyDescent="0.2">
      <c r="F7" s="3" t="s">
        <v>986</v>
      </c>
      <c r="G7" s="20" t="str">
        <f>'[1]VRN 01'!G8</f>
        <v>VCES a.s.</v>
      </c>
      <c r="H7" s="67"/>
      <c r="I7" s="5"/>
      <c r="J7" s="65"/>
      <c r="K7" s="18"/>
      <c r="L7" s="19"/>
      <c r="M7" s="19"/>
      <c r="N7" s="66"/>
    </row>
    <row r="8" spans="1:16" s="68" customFormat="1" ht="18" customHeight="1" x14ac:dyDescent="0.2">
      <c r="D8" s="69"/>
      <c r="F8" s="3"/>
      <c r="G8" s="20"/>
      <c r="H8" s="67"/>
      <c r="K8" s="72" t="s">
        <v>996</v>
      </c>
      <c r="L8" s="73" t="str">
        <f>+C12</f>
        <v>04 - PS 03.2 - Elektrotechnologická část</v>
      </c>
      <c r="M8" s="73"/>
      <c r="O8" s="74"/>
    </row>
    <row r="9" spans="1:16" s="75" customFormat="1" ht="20.100000000000001" customHeight="1" x14ac:dyDescent="0.2">
      <c r="C9" s="76"/>
      <c r="D9" s="77"/>
      <c r="E9" s="77"/>
      <c r="F9" s="77"/>
      <c r="G9" s="77"/>
      <c r="H9" s="77"/>
      <c r="I9" s="78"/>
      <c r="J9" s="79"/>
      <c r="K9" s="332" t="s">
        <v>1266</v>
      </c>
      <c r="L9" s="332"/>
      <c r="M9" s="332"/>
      <c r="N9" s="339" t="s">
        <v>1267</v>
      </c>
      <c r="O9" s="339"/>
      <c r="P9" s="340"/>
    </row>
    <row r="10" spans="1:16" s="75" customFormat="1" ht="24" customHeight="1" x14ac:dyDescent="0.2">
      <c r="C10" s="80"/>
      <c r="D10" s="81" t="s">
        <v>997</v>
      </c>
      <c r="E10" s="81" t="s">
        <v>976</v>
      </c>
      <c r="F10" s="81" t="s">
        <v>977</v>
      </c>
      <c r="G10" s="81" t="s">
        <v>64</v>
      </c>
      <c r="H10" s="82" t="s">
        <v>65</v>
      </c>
      <c r="I10" s="83" t="s">
        <v>998</v>
      </c>
      <c r="J10" s="84" t="s">
        <v>978</v>
      </c>
      <c r="K10" s="218" t="s">
        <v>999</v>
      </c>
      <c r="L10" s="219" t="s">
        <v>1260</v>
      </c>
      <c r="M10" s="220" t="s">
        <v>978</v>
      </c>
      <c r="N10" s="263" t="s">
        <v>1264</v>
      </c>
      <c r="O10" s="264" t="s">
        <v>1260</v>
      </c>
      <c r="P10" s="265" t="s">
        <v>978</v>
      </c>
    </row>
    <row r="12" spans="1:16" s="109" customFormat="1" ht="22.9" customHeight="1" x14ac:dyDescent="0.25">
      <c r="A12" s="97"/>
      <c r="B12" s="97"/>
      <c r="C12" s="98" t="s">
        <v>917</v>
      </c>
      <c r="D12" s="97"/>
      <c r="E12" s="97"/>
      <c r="F12" s="97"/>
      <c r="G12" s="97"/>
      <c r="H12" s="97"/>
      <c r="I12" s="97"/>
      <c r="J12" s="99">
        <v>0</v>
      </c>
    </row>
    <row r="13" spans="1:16" s="110" customFormat="1" ht="25.9" customHeight="1" x14ac:dyDescent="0.2">
      <c r="D13" s="111" t="s">
        <v>3</v>
      </c>
      <c r="E13" s="112" t="s">
        <v>66</v>
      </c>
      <c r="F13" s="112" t="s">
        <v>476</v>
      </c>
      <c r="J13" s="113">
        <v>0</v>
      </c>
    </row>
    <row r="14" spans="1:16" s="110" customFormat="1" ht="22.9" customHeight="1" x14ac:dyDescent="0.2">
      <c r="D14" s="111" t="s">
        <v>3</v>
      </c>
      <c r="E14" s="114" t="s">
        <v>4</v>
      </c>
      <c r="F14" s="114" t="s">
        <v>659</v>
      </c>
      <c r="J14" s="115">
        <v>0</v>
      </c>
    </row>
    <row r="15" spans="1:16" s="110" customFormat="1" ht="22.9" customHeight="1" x14ac:dyDescent="0.2">
      <c r="D15" s="111" t="s">
        <v>3</v>
      </c>
      <c r="E15" s="114" t="s">
        <v>7</v>
      </c>
      <c r="F15" s="114" t="s">
        <v>660</v>
      </c>
      <c r="J15" s="115">
        <v>0</v>
      </c>
      <c r="K15" s="103" t="str">
        <f>IF(ISBLANK(H15),"",SUM(#REF!+#REF!+#REF!+#REF!+#REF!+#REF!+#REF!+#REF!+#REF!+#REF!+#REF!,#REF!,#REF!,#REF!,#REF!,#REF!,#REF!,#REF!,#REF!,#REF!,#REF!,#REF!))</f>
        <v/>
      </c>
      <c r="L15" s="104" t="str">
        <f>IF(ISBLANK(H15),"",SUM(#REF!+#REF!+#REF!+#REF!+#REF!+#REF!+#REF!+#REF!+#REF!+#REF!+#REF!,#REF!,#REF!,#REF!,#REF!,#REF!,#REF!,#REF!,#REF!,#REF!,#REF!,#REF!,#REF!))</f>
        <v/>
      </c>
      <c r="M15" s="296">
        <f t="shared" ref="M15:M75" si="0">IFERROR(IF($J15=0,0,L15/$J15),"")</f>
        <v>0</v>
      </c>
      <c r="N15" s="106" t="str">
        <f t="shared" ref="N15:N46" si="1">IF(ISBLANK(H15),"",H15-K15)</f>
        <v/>
      </c>
      <c r="O15" s="107" t="str">
        <f t="shared" ref="O15:O46" si="2">IF(ISBLANK(H15),"",J15-L15)</f>
        <v/>
      </c>
      <c r="P15" s="297">
        <f t="shared" ref="P15:P75" si="3">IFERROR(IF($J15=0,0,O15/$J15),"")</f>
        <v>0</v>
      </c>
    </row>
    <row r="16" spans="1:16" s="109" customFormat="1" ht="16.5" customHeight="1" x14ac:dyDescent="0.2">
      <c r="A16" s="97"/>
      <c r="B16" s="116"/>
      <c r="C16" s="117" t="s">
        <v>7</v>
      </c>
      <c r="D16" s="117" t="s">
        <v>69</v>
      </c>
      <c r="E16" s="118" t="s">
        <v>661</v>
      </c>
      <c r="F16" s="119" t="s">
        <v>662</v>
      </c>
      <c r="G16" s="120" t="s">
        <v>61</v>
      </c>
      <c r="H16" s="121">
        <v>25</v>
      </c>
      <c r="I16" s="122">
        <v>0</v>
      </c>
      <c r="J16" s="122">
        <v>0</v>
      </c>
      <c r="K16" s="85">
        <v>0</v>
      </c>
      <c r="L16" s="86">
        <v>0</v>
      </c>
      <c r="M16" s="277">
        <f t="shared" si="0"/>
        <v>0</v>
      </c>
      <c r="N16" s="87">
        <f t="shared" si="1"/>
        <v>25</v>
      </c>
      <c r="O16" s="88">
        <f t="shared" si="2"/>
        <v>0</v>
      </c>
      <c r="P16" s="278">
        <f t="shared" si="3"/>
        <v>0</v>
      </c>
    </row>
    <row r="17" spans="1:16" s="109" customFormat="1" ht="16.5" customHeight="1" x14ac:dyDescent="0.2">
      <c r="A17" s="97"/>
      <c r="B17" s="116"/>
      <c r="C17" s="117" t="s">
        <v>8</v>
      </c>
      <c r="D17" s="117" t="s">
        <v>69</v>
      </c>
      <c r="E17" s="118" t="s">
        <v>663</v>
      </c>
      <c r="F17" s="119" t="s">
        <v>664</v>
      </c>
      <c r="G17" s="120" t="s">
        <v>665</v>
      </c>
      <c r="H17" s="121">
        <v>3</v>
      </c>
      <c r="I17" s="122">
        <v>0</v>
      </c>
      <c r="J17" s="122">
        <v>0</v>
      </c>
      <c r="K17" s="85">
        <v>0</v>
      </c>
      <c r="L17" s="86">
        <v>0</v>
      </c>
      <c r="M17" s="277">
        <f t="shared" si="0"/>
        <v>0</v>
      </c>
      <c r="N17" s="87">
        <f t="shared" si="1"/>
        <v>3</v>
      </c>
      <c r="O17" s="88">
        <f t="shared" si="2"/>
        <v>0</v>
      </c>
      <c r="P17" s="278">
        <f t="shared" si="3"/>
        <v>0</v>
      </c>
    </row>
    <row r="18" spans="1:16" s="109" customFormat="1" ht="16.5" customHeight="1" x14ac:dyDescent="0.2">
      <c r="A18" s="97"/>
      <c r="B18" s="116"/>
      <c r="C18" s="117" t="s">
        <v>76</v>
      </c>
      <c r="D18" s="117" t="s">
        <v>69</v>
      </c>
      <c r="E18" s="118" t="s">
        <v>666</v>
      </c>
      <c r="F18" s="119" t="s">
        <v>667</v>
      </c>
      <c r="G18" s="120" t="s">
        <v>665</v>
      </c>
      <c r="H18" s="121">
        <v>55</v>
      </c>
      <c r="I18" s="122">
        <v>0</v>
      </c>
      <c r="J18" s="122">
        <v>0</v>
      </c>
      <c r="K18" s="85">
        <v>0</v>
      </c>
      <c r="L18" s="86">
        <v>0</v>
      </c>
      <c r="M18" s="277">
        <f t="shared" si="0"/>
        <v>0</v>
      </c>
      <c r="N18" s="87">
        <f t="shared" si="1"/>
        <v>55</v>
      </c>
      <c r="O18" s="88">
        <f t="shared" si="2"/>
        <v>0</v>
      </c>
      <c r="P18" s="278">
        <f t="shared" si="3"/>
        <v>0</v>
      </c>
    </row>
    <row r="19" spans="1:16" s="109" customFormat="1" ht="16.5" customHeight="1" x14ac:dyDescent="0.2">
      <c r="A19" s="97"/>
      <c r="B19" s="116"/>
      <c r="C19" s="117" t="s">
        <v>73</v>
      </c>
      <c r="D19" s="117" t="s">
        <v>69</v>
      </c>
      <c r="E19" s="118" t="s">
        <v>668</v>
      </c>
      <c r="F19" s="119" t="s">
        <v>669</v>
      </c>
      <c r="G19" s="120" t="s">
        <v>665</v>
      </c>
      <c r="H19" s="121">
        <v>8</v>
      </c>
      <c r="I19" s="122">
        <v>0</v>
      </c>
      <c r="J19" s="122">
        <v>0</v>
      </c>
      <c r="K19" s="85">
        <v>0</v>
      </c>
      <c r="L19" s="86">
        <v>0</v>
      </c>
      <c r="M19" s="277">
        <f t="shared" si="0"/>
        <v>0</v>
      </c>
      <c r="N19" s="87">
        <f t="shared" si="1"/>
        <v>8</v>
      </c>
      <c r="O19" s="88">
        <f t="shared" si="2"/>
        <v>0</v>
      </c>
      <c r="P19" s="278">
        <f t="shared" si="3"/>
        <v>0</v>
      </c>
    </row>
    <row r="20" spans="1:16" s="109" customFormat="1" ht="16.5" customHeight="1" x14ac:dyDescent="0.2">
      <c r="A20" s="97"/>
      <c r="B20" s="116"/>
      <c r="C20" s="117" t="s">
        <v>81</v>
      </c>
      <c r="D20" s="117" t="s">
        <v>69</v>
      </c>
      <c r="E20" s="118" t="s">
        <v>670</v>
      </c>
      <c r="F20" s="119" t="s">
        <v>671</v>
      </c>
      <c r="G20" s="120" t="s">
        <v>665</v>
      </c>
      <c r="H20" s="121">
        <v>1</v>
      </c>
      <c r="I20" s="122">
        <v>0</v>
      </c>
      <c r="J20" s="122">
        <v>0</v>
      </c>
      <c r="K20" s="85">
        <v>0</v>
      </c>
      <c r="L20" s="86">
        <v>0</v>
      </c>
      <c r="M20" s="277">
        <f t="shared" si="0"/>
        <v>0</v>
      </c>
      <c r="N20" s="87">
        <f t="shared" si="1"/>
        <v>1</v>
      </c>
      <c r="O20" s="88">
        <f t="shared" si="2"/>
        <v>0</v>
      </c>
      <c r="P20" s="278">
        <f t="shared" si="3"/>
        <v>0</v>
      </c>
    </row>
    <row r="21" spans="1:16" s="109" customFormat="1" ht="21.75" customHeight="1" x14ac:dyDescent="0.2">
      <c r="A21" s="97"/>
      <c r="B21" s="116"/>
      <c r="C21" s="117" t="s">
        <v>84</v>
      </c>
      <c r="D21" s="117" t="s">
        <v>69</v>
      </c>
      <c r="E21" s="118" t="s">
        <v>672</v>
      </c>
      <c r="F21" s="119" t="s">
        <v>673</v>
      </c>
      <c r="G21" s="120" t="s">
        <v>665</v>
      </c>
      <c r="H21" s="121">
        <v>1</v>
      </c>
      <c r="I21" s="122">
        <v>0</v>
      </c>
      <c r="J21" s="122">
        <v>0</v>
      </c>
      <c r="K21" s="85">
        <v>0</v>
      </c>
      <c r="L21" s="86">
        <v>0</v>
      </c>
      <c r="M21" s="277">
        <f t="shared" si="0"/>
        <v>0</v>
      </c>
      <c r="N21" s="87">
        <f t="shared" si="1"/>
        <v>1</v>
      </c>
      <c r="O21" s="88">
        <f t="shared" si="2"/>
        <v>0</v>
      </c>
      <c r="P21" s="278">
        <f t="shared" si="3"/>
        <v>0</v>
      </c>
    </row>
    <row r="22" spans="1:16" s="109" customFormat="1" ht="16.5" customHeight="1" x14ac:dyDescent="0.2">
      <c r="A22" s="97"/>
      <c r="B22" s="116"/>
      <c r="C22" s="117" t="s">
        <v>87</v>
      </c>
      <c r="D22" s="117" t="s">
        <v>69</v>
      </c>
      <c r="E22" s="118" t="s">
        <v>674</v>
      </c>
      <c r="F22" s="119" t="s">
        <v>918</v>
      </c>
      <c r="G22" s="120" t="s">
        <v>665</v>
      </c>
      <c r="H22" s="121">
        <v>1</v>
      </c>
      <c r="I22" s="122">
        <v>0</v>
      </c>
      <c r="J22" s="122">
        <v>0</v>
      </c>
      <c r="K22" s="85">
        <v>0</v>
      </c>
      <c r="L22" s="86">
        <v>0</v>
      </c>
      <c r="M22" s="277">
        <f t="shared" si="0"/>
        <v>0</v>
      </c>
      <c r="N22" s="87">
        <f t="shared" si="1"/>
        <v>1</v>
      </c>
      <c r="O22" s="88">
        <f t="shared" si="2"/>
        <v>0</v>
      </c>
      <c r="P22" s="278">
        <f t="shared" si="3"/>
        <v>0</v>
      </c>
    </row>
    <row r="23" spans="1:16" s="109" customFormat="1" ht="21.75" customHeight="1" x14ac:dyDescent="0.2">
      <c r="A23" s="97"/>
      <c r="B23" s="116"/>
      <c r="C23" s="117" t="s">
        <v>90</v>
      </c>
      <c r="D23" s="117" t="s">
        <v>69</v>
      </c>
      <c r="E23" s="118" t="s">
        <v>676</v>
      </c>
      <c r="F23" s="119" t="s">
        <v>677</v>
      </c>
      <c r="G23" s="120" t="s">
        <v>665</v>
      </c>
      <c r="H23" s="121">
        <v>1</v>
      </c>
      <c r="I23" s="122">
        <v>0</v>
      </c>
      <c r="J23" s="122">
        <v>0</v>
      </c>
      <c r="K23" s="85">
        <v>0</v>
      </c>
      <c r="L23" s="86">
        <v>0</v>
      </c>
      <c r="M23" s="277">
        <f t="shared" si="0"/>
        <v>0</v>
      </c>
      <c r="N23" s="87">
        <f t="shared" si="1"/>
        <v>1</v>
      </c>
      <c r="O23" s="88">
        <f t="shared" si="2"/>
        <v>0</v>
      </c>
      <c r="P23" s="278">
        <f t="shared" si="3"/>
        <v>0</v>
      </c>
    </row>
    <row r="24" spans="1:16" s="109" customFormat="1" ht="16.5" customHeight="1" x14ac:dyDescent="0.2">
      <c r="A24" s="97"/>
      <c r="B24" s="116"/>
      <c r="C24" s="117" t="s">
        <v>93</v>
      </c>
      <c r="D24" s="117" t="s">
        <v>69</v>
      </c>
      <c r="E24" s="118" t="s">
        <v>678</v>
      </c>
      <c r="F24" s="119" t="s">
        <v>919</v>
      </c>
      <c r="G24" s="120" t="s">
        <v>665</v>
      </c>
      <c r="H24" s="121">
        <v>1</v>
      </c>
      <c r="I24" s="122">
        <v>0</v>
      </c>
      <c r="J24" s="122">
        <v>0</v>
      </c>
      <c r="K24" s="85">
        <v>0</v>
      </c>
      <c r="L24" s="86">
        <v>0</v>
      </c>
      <c r="M24" s="277">
        <f t="shared" si="0"/>
        <v>0</v>
      </c>
      <c r="N24" s="87">
        <f t="shared" si="1"/>
        <v>1</v>
      </c>
      <c r="O24" s="88">
        <f t="shared" si="2"/>
        <v>0</v>
      </c>
      <c r="P24" s="278">
        <f t="shared" si="3"/>
        <v>0</v>
      </c>
    </row>
    <row r="25" spans="1:16" s="109" customFormat="1" ht="44.25" customHeight="1" x14ac:dyDescent="0.2">
      <c r="A25" s="97"/>
      <c r="B25" s="116"/>
      <c r="C25" s="117" t="s">
        <v>26</v>
      </c>
      <c r="D25" s="117" t="s">
        <v>69</v>
      </c>
      <c r="E25" s="118" t="s">
        <v>680</v>
      </c>
      <c r="F25" s="119" t="s">
        <v>681</v>
      </c>
      <c r="G25" s="120" t="s">
        <v>61</v>
      </c>
      <c r="H25" s="121">
        <v>8</v>
      </c>
      <c r="I25" s="122">
        <v>0</v>
      </c>
      <c r="J25" s="122">
        <v>0</v>
      </c>
      <c r="K25" s="85">
        <v>0</v>
      </c>
      <c r="L25" s="86">
        <v>0</v>
      </c>
      <c r="M25" s="277">
        <f t="shared" si="0"/>
        <v>0</v>
      </c>
      <c r="N25" s="87">
        <f t="shared" si="1"/>
        <v>8</v>
      </c>
      <c r="O25" s="88">
        <f t="shared" si="2"/>
        <v>0</v>
      </c>
      <c r="P25" s="278">
        <f t="shared" si="3"/>
        <v>0</v>
      </c>
    </row>
    <row r="26" spans="1:16" s="109" customFormat="1" ht="16.5" customHeight="1" x14ac:dyDescent="0.2">
      <c r="A26" s="97"/>
      <c r="B26" s="116"/>
      <c r="C26" s="117" t="s">
        <v>28</v>
      </c>
      <c r="D26" s="117" t="s">
        <v>69</v>
      </c>
      <c r="E26" s="118" t="s">
        <v>682</v>
      </c>
      <c r="F26" s="119" t="s">
        <v>920</v>
      </c>
      <c r="G26" s="120" t="s">
        <v>665</v>
      </c>
      <c r="H26" s="121">
        <v>1</v>
      </c>
      <c r="I26" s="122">
        <v>0</v>
      </c>
      <c r="J26" s="122">
        <v>0</v>
      </c>
      <c r="K26" s="85">
        <v>0</v>
      </c>
      <c r="L26" s="86">
        <v>0</v>
      </c>
      <c r="M26" s="277">
        <f t="shared" si="0"/>
        <v>0</v>
      </c>
      <c r="N26" s="87">
        <f t="shared" si="1"/>
        <v>1</v>
      </c>
      <c r="O26" s="88">
        <f t="shared" si="2"/>
        <v>0</v>
      </c>
      <c r="P26" s="278">
        <f t="shared" si="3"/>
        <v>0</v>
      </c>
    </row>
    <row r="27" spans="1:16" s="109" customFormat="1" ht="44.25" customHeight="1" x14ac:dyDescent="0.2">
      <c r="A27" s="97"/>
      <c r="B27" s="116"/>
      <c r="C27" s="117" t="s">
        <v>30</v>
      </c>
      <c r="D27" s="117" t="s">
        <v>69</v>
      </c>
      <c r="E27" s="118" t="s">
        <v>684</v>
      </c>
      <c r="F27" s="119" t="s">
        <v>685</v>
      </c>
      <c r="G27" s="120" t="s">
        <v>61</v>
      </c>
      <c r="H27" s="121">
        <v>25</v>
      </c>
      <c r="I27" s="122">
        <v>0</v>
      </c>
      <c r="J27" s="122">
        <v>0</v>
      </c>
      <c r="K27" s="85">
        <v>0</v>
      </c>
      <c r="L27" s="86">
        <v>0</v>
      </c>
      <c r="M27" s="277">
        <f t="shared" si="0"/>
        <v>0</v>
      </c>
      <c r="N27" s="87">
        <f t="shared" si="1"/>
        <v>25</v>
      </c>
      <c r="O27" s="88">
        <f t="shared" si="2"/>
        <v>0</v>
      </c>
      <c r="P27" s="278">
        <f t="shared" si="3"/>
        <v>0</v>
      </c>
    </row>
    <row r="28" spans="1:16" s="109" customFormat="1" ht="44.25" customHeight="1" x14ac:dyDescent="0.2">
      <c r="A28" s="97"/>
      <c r="B28" s="116"/>
      <c r="C28" s="117" t="s">
        <v>32</v>
      </c>
      <c r="D28" s="117" t="s">
        <v>69</v>
      </c>
      <c r="E28" s="118" t="s">
        <v>686</v>
      </c>
      <c r="F28" s="119" t="s">
        <v>687</v>
      </c>
      <c r="G28" s="120" t="s">
        <v>61</v>
      </c>
      <c r="H28" s="121">
        <v>2</v>
      </c>
      <c r="I28" s="122">
        <v>0</v>
      </c>
      <c r="J28" s="122">
        <v>0</v>
      </c>
      <c r="K28" s="85">
        <v>0</v>
      </c>
      <c r="L28" s="86">
        <v>0</v>
      </c>
      <c r="M28" s="277">
        <f t="shared" si="0"/>
        <v>0</v>
      </c>
      <c r="N28" s="87">
        <f t="shared" si="1"/>
        <v>2</v>
      </c>
      <c r="O28" s="88">
        <f t="shared" si="2"/>
        <v>0</v>
      </c>
      <c r="P28" s="278">
        <f t="shared" si="3"/>
        <v>0</v>
      </c>
    </row>
    <row r="29" spans="1:16" s="109" customFormat="1" ht="44.25" customHeight="1" x14ac:dyDescent="0.2">
      <c r="A29" s="97"/>
      <c r="B29" s="116"/>
      <c r="C29" s="117" t="s">
        <v>34</v>
      </c>
      <c r="D29" s="117" t="s">
        <v>69</v>
      </c>
      <c r="E29" s="118" t="s">
        <v>688</v>
      </c>
      <c r="F29" s="119" t="s">
        <v>689</v>
      </c>
      <c r="G29" s="120" t="s">
        <v>61</v>
      </c>
      <c r="H29" s="121">
        <v>6</v>
      </c>
      <c r="I29" s="122">
        <v>0</v>
      </c>
      <c r="J29" s="122">
        <v>0</v>
      </c>
      <c r="K29" s="85">
        <v>0</v>
      </c>
      <c r="L29" s="86">
        <v>0</v>
      </c>
      <c r="M29" s="277">
        <f t="shared" si="0"/>
        <v>0</v>
      </c>
      <c r="N29" s="87">
        <f t="shared" si="1"/>
        <v>6</v>
      </c>
      <c r="O29" s="88">
        <f t="shared" si="2"/>
        <v>0</v>
      </c>
      <c r="P29" s="278">
        <f t="shared" si="3"/>
        <v>0</v>
      </c>
    </row>
    <row r="30" spans="1:16" s="109" customFormat="1" ht="44.25" customHeight="1" x14ac:dyDescent="0.2">
      <c r="A30" s="97"/>
      <c r="B30" s="116"/>
      <c r="C30" s="117" t="s">
        <v>1</v>
      </c>
      <c r="D30" s="117" t="s">
        <v>69</v>
      </c>
      <c r="E30" s="118" t="s">
        <v>690</v>
      </c>
      <c r="F30" s="119" t="s">
        <v>689</v>
      </c>
      <c r="G30" s="120" t="s">
        <v>61</v>
      </c>
      <c r="H30" s="121">
        <v>2</v>
      </c>
      <c r="I30" s="122">
        <v>0</v>
      </c>
      <c r="J30" s="122">
        <v>0</v>
      </c>
      <c r="K30" s="85">
        <v>0</v>
      </c>
      <c r="L30" s="86">
        <v>0</v>
      </c>
      <c r="M30" s="277">
        <f t="shared" si="0"/>
        <v>0</v>
      </c>
      <c r="N30" s="87">
        <f t="shared" si="1"/>
        <v>2</v>
      </c>
      <c r="O30" s="88">
        <f t="shared" si="2"/>
        <v>0</v>
      </c>
      <c r="P30" s="278">
        <f t="shared" si="3"/>
        <v>0</v>
      </c>
    </row>
    <row r="31" spans="1:16" s="109" customFormat="1" ht="16.5" customHeight="1" x14ac:dyDescent="0.2">
      <c r="A31" s="97"/>
      <c r="B31" s="116"/>
      <c r="C31" s="117" t="s">
        <v>37</v>
      </c>
      <c r="D31" s="117" t="s">
        <v>69</v>
      </c>
      <c r="E31" s="118" t="s">
        <v>691</v>
      </c>
      <c r="F31" s="119" t="s">
        <v>692</v>
      </c>
      <c r="G31" s="120" t="s">
        <v>61</v>
      </c>
      <c r="H31" s="121">
        <v>44</v>
      </c>
      <c r="I31" s="122">
        <v>0</v>
      </c>
      <c r="J31" s="122">
        <v>0</v>
      </c>
      <c r="K31" s="85">
        <v>0</v>
      </c>
      <c r="L31" s="86">
        <v>0</v>
      </c>
      <c r="M31" s="277">
        <f t="shared" si="0"/>
        <v>0</v>
      </c>
      <c r="N31" s="87">
        <f t="shared" si="1"/>
        <v>44</v>
      </c>
      <c r="O31" s="88">
        <f t="shared" si="2"/>
        <v>0</v>
      </c>
      <c r="P31" s="278">
        <f t="shared" si="3"/>
        <v>0</v>
      </c>
    </row>
    <row r="32" spans="1:16" s="109" customFormat="1" ht="16.5" customHeight="1" x14ac:dyDescent="0.2">
      <c r="A32" s="97"/>
      <c r="B32" s="116"/>
      <c r="C32" s="117" t="s">
        <v>39</v>
      </c>
      <c r="D32" s="117" t="s">
        <v>69</v>
      </c>
      <c r="E32" s="118" t="s">
        <v>693</v>
      </c>
      <c r="F32" s="119" t="s">
        <v>694</v>
      </c>
      <c r="G32" s="120" t="s">
        <v>61</v>
      </c>
      <c r="H32" s="121">
        <v>9</v>
      </c>
      <c r="I32" s="122">
        <v>0</v>
      </c>
      <c r="J32" s="122">
        <v>0</v>
      </c>
      <c r="K32" s="85">
        <v>0</v>
      </c>
      <c r="L32" s="86">
        <v>0</v>
      </c>
      <c r="M32" s="277">
        <f t="shared" si="0"/>
        <v>0</v>
      </c>
      <c r="N32" s="87">
        <f t="shared" si="1"/>
        <v>9</v>
      </c>
      <c r="O32" s="88">
        <f t="shared" si="2"/>
        <v>0</v>
      </c>
      <c r="P32" s="278">
        <f t="shared" si="3"/>
        <v>0</v>
      </c>
    </row>
    <row r="33" spans="1:16" s="109" customFormat="1" ht="16.5" customHeight="1" x14ac:dyDescent="0.2">
      <c r="A33" s="97"/>
      <c r="B33" s="116"/>
      <c r="C33" s="117" t="s">
        <v>41</v>
      </c>
      <c r="D33" s="117" t="s">
        <v>69</v>
      </c>
      <c r="E33" s="118" t="s">
        <v>695</v>
      </c>
      <c r="F33" s="119" t="s">
        <v>696</v>
      </c>
      <c r="G33" s="120" t="s">
        <v>61</v>
      </c>
      <c r="H33" s="121">
        <v>2</v>
      </c>
      <c r="I33" s="122">
        <v>0</v>
      </c>
      <c r="J33" s="122">
        <v>0</v>
      </c>
      <c r="K33" s="85">
        <v>0</v>
      </c>
      <c r="L33" s="86">
        <v>0</v>
      </c>
      <c r="M33" s="277">
        <f t="shared" si="0"/>
        <v>0</v>
      </c>
      <c r="N33" s="87">
        <f t="shared" si="1"/>
        <v>2</v>
      </c>
      <c r="O33" s="88">
        <f t="shared" si="2"/>
        <v>0</v>
      </c>
      <c r="P33" s="278">
        <f t="shared" si="3"/>
        <v>0</v>
      </c>
    </row>
    <row r="34" spans="1:16" s="109" customFormat="1" ht="44.25" customHeight="1" x14ac:dyDescent="0.2">
      <c r="A34" s="97"/>
      <c r="B34" s="116"/>
      <c r="C34" s="117" t="s">
        <v>114</v>
      </c>
      <c r="D34" s="117" t="s">
        <v>69</v>
      </c>
      <c r="E34" s="118" t="s">
        <v>697</v>
      </c>
      <c r="F34" s="119" t="s">
        <v>698</v>
      </c>
      <c r="G34" s="120" t="s">
        <v>61</v>
      </c>
      <c r="H34" s="121">
        <v>36</v>
      </c>
      <c r="I34" s="122">
        <v>0</v>
      </c>
      <c r="J34" s="122">
        <v>0</v>
      </c>
      <c r="K34" s="85">
        <v>0</v>
      </c>
      <c r="L34" s="86">
        <v>0</v>
      </c>
      <c r="M34" s="277">
        <f t="shared" si="0"/>
        <v>0</v>
      </c>
      <c r="N34" s="87">
        <f t="shared" si="1"/>
        <v>36</v>
      </c>
      <c r="O34" s="88">
        <f t="shared" si="2"/>
        <v>0</v>
      </c>
      <c r="P34" s="278">
        <f t="shared" si="3"/>
        <v>0</v>
      </c>
    </row>
    <row r="35" spans="1:16" s="109" customFormat="1" ht="21.75" customHeight="1" x14ac:dyDescent="0.2">
      <c r="A35" s="97"/>
      <c r="B35" s="116"/>
      <c r="C35" s="117" t="s">
        <v>117</v>
      </c>
      <c r="D35" s="117" t="s">
        <v>69</v>
      </c>
      <c r="E35" s="118" t="s">
        <v>699</v>
      </c>
      <c r="F35" s="119" t="s">
        <v>700</v>
      </c>
      <c r="G35" s="120" t="s">
        <v>665</v>
      </c>
      <c r="H35" s="121">
        <v>3</v>
      </c>
      <c r="I35" s="122">
        <v>0</v>
      </c>
      <c r="J35" s="122">
        <v>0</v>
      </c>
      <c r="K35" s="85">
        <v>0</v>
      </c>
      <c r="L35" s="86">
        <v>0</v>
      </c>
      <c r="M35" s="277">
        <f t="shared" si="0"/>
        <v>0</v>
      </c>
      <c r="N35" s="87">
        <f t="shared" si="1"/>
        <v>3</v>
      </c>
      <c r="O35" s="88">
        <f t="shared" si="2"/>
        <v>0</v>
      </c>
      <c r="P35" s="278">
        <f t="shared" si="3"/>
        <v>0</v>
      </c>
    </row>
    <row r="36" spans="1:16" s="109" customFormat="1" ht="16.5" customHeight="1" x14ac:dyDescent="0.2">
      <c r="A36" s="97"/>
      <c r="B36" s="116"/>
      <c r="C36" s="117" t="s">
        <v>0</v>
      </c>
      <c r="D36" s="117" t="s">
        <v>69</v>
      </c>
      <c r="E36" s="118" t="s">
        <v>701</v>
      </c>
      <c r="F36" s="119" t="s">
        <v>702</v>
      </c>
      <c r="G36" s="120" t="s">
        <v>665</v>
      </c>
      <c r="H36" s="121">
        <v>1</v>
      </c>
      <c r="I36" s="122">
        <v>0</v>
      </c>
      <c r="J36" s="122">
        <v>0</v>
      </c>
      <c r="K36" s="85">
        <v>0</v>
      </c>
      <c r="L36" s="86">
        <v>0</v>
      </c>
      <c r="M36" s="277">
        <f t="shared" si="0"/>
        <v>0</v>
      </c>
      <c r="N36" s="87">
        <f t="shared" si="1"/>
        <v>1</v>
      </c>
      <c r="O36" s="88">
        <f t="shared" si="2"/>
        <v>0</v>
      </c>
      <c r="P36" s="278">
        <f t="shared" si="3"/>
        <v>0</v>
      </c>
    </row>
    <row r="37" spans="1:16" s="109" customFormat="1" ht="16.5" customHeight="1" x14ac:dyDescent="0.2">
      <c r="A37" s="97"/>
      <c r="B37" s="116"/>
      <c r="C37" s="117" t="s">
        <v>123</v>
      </c>
      <c r="D37" s="117" t="s">
        <v>69</v>
      </c>
      <c r="E37" s="118" t="s">
        <v>703</v>
      </c>
      <c r="F37" s="119" t="s">
        <v>704</v>
      </c>
      <c r="G37" s="120" t="s">
        <v>665</v>
      </c>
      <c r="H37" s="121">
        <v>3</v>
      </c>
      <c r="I37" s="122">
        <v>0</v>
      </c>
      <c r="J37" s="122">
        <v>0</v>
      </c>
      <c r="K37" s="85">
        <v>0</v>
      </c>
      <c r="L37" s="86">
        <v>0</v>
      </c>
      <c r="M37" s="277">
        <f t="shared" si="0"/>
        <v>0</v>
      </c>
      <c r="N37" s="87">
        <f t="shared" si="1"/>
        <v>3</v>
      </c>
      <c r="O37" s="88">
        <f t="shared" si="2"/>
        <v>0</v>
      </c>
      <c r="P37" s="278">
        <f t="shared" si="3"/>
        <v>0</v>
      </c>
    </row>
    <row r="38" spans="1:16" s="109" customFormat="1" ht="16.5" customHeight="1" x14ac:dyDescent="0.2">
      <c r="A38" s="97"/>
      <c r="B38" s="116"/>
      <c r="C38" s="117" t="s">
        <v>126</v>
      </c>
      <c r="D38" s="117" t="s">
        <v>69</v>
      </c>
      <c r="E38" s="118" t="s">
        <v>705</v>
      </c>
      <c r="F38" s="119" t="s">
        <v>706</v>
      </c>
      <c r="G38" s="120" t="s">
        <v>665</v>
      </c>
      <c r="H38" s="121">
        <v>1</v>
      </c>
      <c r="I38" s="122">
        <v>0</v>
      </c>
      <c r="J38" s="122">
        <v>0</v>
      </c>
      <c r="K38" s="85">
        <v>0</v>
      </c>
      <c r="L38" s="86">
        <v>0</v>
      </c>
      <c r="M38" s="277">
        <f t="shared" si="0"/>
        <v>0</v>
      </c>
      <c r="N38" s="87">
        <f t="shared" si="1"/>
        <v>1</v>
      </c>
      <c r="O38" s="88">
        <f t="shared" si="2"/>
        <v>0</v>
      </c>
      <c r="P38" s="278">
        <f t="shared" si="3"/>
        <v>0</v>
      </c>
    </row>
    <row r="39" spans="1:16" s="109" customFormat="1" ht="16.5" customHeight="1" x14ac:dyDescent="0.2">
      <c r="A39" s="97"/>
      <c r="B39" s="116"/>
      <c r="C39" s="117" t="s">
        <v>131</v>
      </c>
      <c r="D39" s="117" t="s">
        <v>69</v>
      </c>
      <c r="E39" s="118" t="s">
        <v>707</v>
      </c>
      <c r="F39" s="119" t="s">
        <v>708</v>
      </c>
      <c r="G39" s="120" t="s">
        <v>665</v>
      </c>
      <c r="H39" s="121">
        <v>1</v>
      </c>
      <c r="I39" s="122">
        <v>0</v>
      </c>
      <c r="J39" s="122">
        <v>0</v>
      </c>
      <c r="K39" s="85">
        <v>0</v>
      </c>
      <c r="L39" s="86">
        <v>0</v>
      </c>
      <c r="M39" s="277">
        <f t="shared" si="0"/>
        <v>0</v>
      </c>
      <c r="N39" s="87">
        <f t="shared" si="1"/>
        <v>1</v>
      </c>
      <c r="O39" s="88">
        <f t="shared" si="2"/>
        <v>0</v>
      </c>
      <c r="P39" s="278">
        <f t="shared" si="3"/>
        <v>0</v>
      </c>
    </row>
    <row r="40" spans="1:16" s="109" customFormat="1" ht="16.5" customHeight="1" x14ac:dyDescent="0.2">
      <c r="A40" s="97"/>
      <c r="B40" s="116"/>
      <c r="C40" s="117" t="s">
        <v>135</v>
      </c>
      <c r="D40" s="117" t="s">
        <v>69</v>
      </c>
      <c r="E40" s="118" t="s">
        <v>709</v>
      </c>
      <c r="F40" s="119" t="s">
        <v>710</v>
      </c>
      <c r="G40" s="120" t="s">
        <v>665</v>
      </c>
      <c r="H40" s="121">
        <v>1</v>
      </c>
      <c r="I40" s="122">
        <v>0</v>
      </c>
      <c r="J40" s="122">
        <v>0</v>
      </c>
      <c r="K40" s="85">
        <v>0</v>
      </c>
      <c r="L40" s="86">
        <v>0</v>
      </c>
      <c r="M40" s="277">
        <f t="shared" si="0"/>
        <v>0</v>
      </c>
      <c r="N40" s="87">
        <f t="shared" si="1"/>
        <v>1</v>
      </c>
      <c r="O40" s="88">
        <f t="shared" si="2"/>
        <v>0</v>
      </c>
      <c r="P40" s="278">
        <f t="shared" si="3"/>
        <v>0</v>
      </c>
    </row>
    <row r="41" spans="1:16" s="109" customFormat="1" ht="16.5" customHeight="1" x14ac:dyDescent="0.2">
      <c r="A41" s="97"/>
      <c r="B41" s="116"/>
      <c r="C41" s="117" t="s">
        <v>139</v>
      </c>
      <c r="D41" s="117" t="s">
        <v>69</v>
      </c>
      <c r="E41" s="118" t="s">
        <v>711</v>
      </c>
      <c r="F41" s="119" t="s">
        <v>712</v>
      </c>
      <c r="G41" s="120" t="s">
        <v>665</v>
      </c>
      <c r="H41" s="121">
        <v>1</v>
      </c>
      <c r="I41" s="122">
        <v>0</v>
      </c>
      <c r="J41" s="122">
        <v>0</v>
      </c>
      <c r="K41" s="85">
        <v>0</v>
      </c>
      <c r="L41" s="86">
        <v>0</v>
      </c>
      <c r="M41" s="277">
        <f t="shared" si="0"/>
        <v>0</v>
      </c>
      <c r="N41" s="87">
        <f t="shared" si="1"/>
        <v>1</v>
      </c>
      <c r="O41" s="88">
        <f t="shared" si="2"/>
        <v>0</v>
      </c>
      <c r="P41" s="278">
        <f t="shared" si="3"/>
        <v>0</v>
      </c>
    </row>
    <row r="42" spans="1:16" s="110" customFormat="1" ht="22.9" customHeight="1" x14ac:dyDescent="0.2">
      <c r="C42" s="129"/>
      <c r="D42" s="130" t="s">
        <v>3</v>
      </c>
      <c r="E42" s="131" t="s">
        <v>8</v>
      </c>
      <c r="F42" s="131" t="s">
        <v>713</v>
      </c>
      <c r="G42" s="129"/>
      <c r="H42" s="129"/>
      <c r="I42" s="129"/>
      <c r="J42" s="132">
        <v>0</v>
      </c>
      <c r="K42" s="85">
        <v>0</v>
      </c>
      <c r="L42" s="86">
        <v>0</v>
      </c>
      <c r="M42" s="277">
        <f t="shared" si="0"/>
        <v>0</v>
      </c>
      <c r="N42" s="87" t="str">
        <f t="shared" si="1"/>
        <v/>
      </c>
      <c r="O42" s="88" t="str">
        <f t="shared" si="2"/>
        <v/>
      </c>
      <c r="P42" s="278">
        <f t="shared" si="3"/>
        <v>0</v>
      </c>
    </row>
    <row r="43" spans="1:16" s="109" customFormat="1" ht="16.5" customHeight="1" x14ac:dyDescent="0.2">
      <c r="A43" s="97"/>
      <c r="B43" s="116"/>
      <c r="C43" s="123" t="s">
        <v>142</v>
      </c>
      <c r="D43" s="123" t="s">
        <v>127</v>
      </c>
      <c r="E43" s="124" t="s">
        <v>714</v>
      </c>
      <c r="F43" s="125" t="s">
        <v>715</v>
      </c>
      <c r="G43" s="126" t="s">
        <v>61</v>
      </c>
      <c r="H43" s="127">
        <v>25</v>
      </c>
      <c r="I43" s="128">
        <v>0</v>
      </c>
      <c r="J43" s="128">
        <v>0</v>
      </c>
      <c r="K43" s="85">
        <v>0</v>
      </c>
      <c r="L43" s="86">
        <v>0</v>
      </c>
      <c r="M43" s="277">
        <f t="shared" si="0"/>
        <v>0</v>
      </c>
      <c r="N43" s="87">
        <f t="shared" si="1"/>
        <v>25</v>
      </c>
      <c r="O43" s="88">
        <f t="shared" si="2"/>
        <v>0</v>
      </c>
      <c r="P43" s="278">
        <f t="shared" si="3"/>
        <v>0</v>
      </c>
    </row>
    <row r="44" spans="1:16" s="109" customFormat="1" ht="16.5" customHeight="1" x14ac:dyDescent="0.2">
      <c r="A44" s="97"/>
      <c r="B44" s="116"/>
      <c r="C44" s="123" t="s">
        <v>145</v>
      </c>
      <c r="D44" s="123" t="s">
        <v>127</v>
      </c>
      <c r="E44" s="124" t="s">
        <v>716</v>
      </c>
      <c r="F44" s="125" t="s">
        <v>717</v>
      </c>
      <c r="G44" s="126" t="s">
        <v>665</v>
      </c>
      <c r="H44" s="127">
        <v>3</v>
      </c>
      <c r="I44" s="128">
        <v>0</v>
      </c>
      <c r="J44" s="128">
        <v>0</v>
      </c>
      <c r="K44" s="85">
        <v>0</v>
      </c>
      <c r="L44" s="86">
        <v>0</v>
      </c>
      <c r="M44" s="277">
        <f t="shared" si="0"/>
        <v>0</v>
      </c>
      <c r="N44" s="87">
        <f t="shared" si="1"/>
        <v>3</v>
      </c>
      <c r="O44" s="88">
        <f t="shared" si="2"/>
        <v>0</v>
      </c>
      <c r="P44" s="278">
        <f t="shared" si="3"/>
        <v>0</v>
      </c>
    </row>
    <row r="45" spans="1:16" s="109" customFormat="1" ht="16.5" customHeight="1" x14ac:dyDescent="0.2">
      <c r="A45" s="97"/>
      <c r="B45" s="116"/>
      <c r="C45" s="123" t="s">
        <v>148</v>
      </c>
      <c r="D45" s="123" t="s">
        <v>127</v>
      </c>
      <c r="E45" s="124" t="s">
        <v>718</v>
      </c>
      <c r="F45" s="125" t="s">
        <v>719</v>
      </c>
      <c r="G45" s="126" t="s">
        <v>665</v>
      </c>
      <c r="H45" s="127">
        <v>1</v>
      </c>
      <c r="I45" s="128">
        <v>0</v>
      </c>
      <c r="J45" s="128">
        <v>0</v>
      </c>
      <c r="K45" s="85">
        <v>0</v>
      </c>
      <c r="L45" s="86">
        <v>0</v>
      </c>
      <c r="M45" s="277">
        <f t="shared" si="0"/>
        <v>0</v>
      </c>
      <c r="N45" s="87">
        <f t="shared" si="1"/>
        <v>1</v>
      </c>
      <c r="O45" s="88">
        <f t="shared" si="2"/>
        <v>0</v>
      </c>
      <c r="P45" s="278">
        <f t="shared" si="3"/>
        <v>0</v>
      </c>
    </row>
    <row r="46" spans="1:16" s="109" customFormat="1" ht="21.75" customHeight="1" x14ac:dyDescent="0.2">
      <c r="A46" s="97"/>
      <c r="B46" s="116"/>
      <c r="C46" s="123" t="s">
        <v>151</v>
      </c>
      <c r="D46" s="123" t="s">
        <v>127</v>
      </c>
      <c r="E46" s="124" t="s">
        <v>720</v>
      </c>
      <c r="F46" s="125" t="s">
        <v>721</v>
      </c>
      <c r="G46" s="126" t="s">
        <v>665</v>
      </c>
      <c r="H46" s="127">
        <v>1</v>
      </c>
      <c r="I46" s="128">
        <v>0</v>
      </c>
      <c r="J46" s="128">
        <v>0</v>
      </c>
      <c r="K46" s="85">
        <v>0</v>
      </c>
      <c r="L46" s="86">
        <v>0</v>
      </c>
      <c r="M46" s="277">
        <f t="shared" si="0"/>
        <v>0</v>
      </c>
      <c r="N46" s="87">
        <f t="shared" si="1"/>
        <v>1</v>
      </c>
      <c r="O46" s="88">
        <f t="shared" si="2"/>
        <v>0</v>
      </c>
      <c r="P46" s="278">
        <f t="shared" si="3"/>
        <v>0</v>
      </c>
    </row>
    <row r="47" spans="1:16" s="109" customFormat="1" ht="16.5" customHeight="1" x14ac:dyDescent="0.2">
      <c r="A47" s="97"/>
      <c r="B47" s="116"/>
      <c r="C47" s="123" t="s">
        <v>155</v>
      </c>
      <c r="D47" s="123" t="s">
        <v>127</v>
      </c>
      <c r="E47" s="124" t="s">
        <v>722</v>
      </c>
      <c r="F47" s="125" t="s">
        <v>921</v>
      </c>
      <c r="G47" s="126" t="s">
        <v>665</v>
      </c>
      <c r="H47" s="127">
        <v>1</v>
      </c>
      <c r="I47" s="128">
        <v>0</v>
      </c>
      <c r="J47" s="128">
        <v>0</v>
      </c>
      <c r="K47" s="85">
        <v>0</v>
      </c>
      <c r="L47" s="86">
        <v>0</v>
      </c>
      <c r="M47" s="277">
        <f t="shared" si="0"/>
        <v>0</v>
      </c>
      <c r="N47" s="87">
        <f t="shared" ref="N47:N75" si="4">IF(ISBLANK(H47),"",H47-K47)</f>
        <v>1</v>
      </c>
      <c r="O47" s="88">
        <f t="shared" ref="O47:O75" si="5">IF(ISBLANK(H47),"",J47-L47)</f>
        <v>0</v>
      </c>
      <c r="P47" s="278">
        <f t="shared" si="3"/>
        <v>0</v>
      </c>
    </row>
    <row r="48" spans="1:16" s="109" customFormat="1" ht="16.5" customHeight="1" x14ac:dyDescent="0.2">
      <c r="A48" s="97"/>
      <c r="B48" s="116"/>
      <c r="C48" s="123" t="s">
        <v>158</v>
      </c>
      <c r="D48" s="123" t="s">
        <v>127</v>
      </c>
      <c r="E48" s="124" t="s">
        <v>724</v>
      </c>
      <c r="F48" s="125" t="s">
        <v>725</v>
      </c>
      <c r="G48" s="126" t="s">
        <v>61</v>
      </c>
      <c r="H48" s="127">
        <v>8</v>
      </c>
      <c r="I48" s="128">
        <v>0</v>
      </c>
      <c r="J48" s="128">
        <v>0</v>
      </c>
      <c r="K48" s="85">
        <v>0</v>
      </c>
      <c r="L48" s="86">
        <v>0</v>
      </c>
      <c r="M48" s="277">
        <f t="shared" si="0"/>
        <v>0</v>
      </c>
      <c r="N48" s="87">
        <f t="shared" si="4"/>
        <v>8</v>
      </c>
      <c r="O48" s="88">
        <f t="shared" si="5"/>
        <v>0</v>
      </c>
      <c r="P48" s="278">
        <f t="shared" si="3"/>
        <v>0</v>
      </c>
    </row>
    <row r="49" spans="1:16" s="109" customFormat="1" ht="16.5" customHeight="1" x14ac:dyDescent="0.2">
      <c r="A49" s="97"/>
      <c r="B49" s="116"/>
      <c r="C49" s="123" t="s">
        <v>161</v>
      </c>
      <c r="D49" s="123" t="s">
        <v>127</v>
      </c>
      <c r="E49" s="124" t="s">
        <v>726</v>
      </c>
      <c r="F49" s="125" t="s">
        <v>922</v>
      </c>
      <c r="G49" s="126" t="s">
        <v>665</v>
      </c>
      <c r="H49" s="127">
        <v>1</v>
      </c>
      <c r="I49" s="128">
        <v>0</v>
      </c>
      <c r="J49" s="128">
        <v>0</v>
      </c>
      <c r="K49" s="85">
        <v>0</v>
      </c>
      <c r="L49" s="86">
        <v>0</v>
      </c>
      <c r="M49" s="277">
        <f t="shared" si="0"/>
        <v>0</v>
      </c>
      <c r="N49" s="87">
        <f t="shared" si="4"/>
        <v>1</v>
      </c>
      <c r="O49" s="88">
        <f t="shared" si="5"/>
        <v>0</v>
      </c>
      <c r="P49" s="278">
        <f t="shared" si="3"/>
        <v>0</v>
      </c>
    </row>
    <row r="50" spans="1:16" s="109" customFormat="1" ht="16.5" customHeight="1" x14ac:dyDescent="0.2">
      <c r="A50" s="97"/>
      <c r="B50" s="116"/>
      <c r="C50" s="123" t="s">
        <v>164</v>
      </c>
      <c r="D50" s="123" t="s">
        <v>127</v>
      </c>
      <c r="E50" s="124" t="s">
        <v>728</v>
      </c>
      <c r="F50" s="125" t="s">
        <v>729</v>
      </c>
      <c r="G50" s="126" t="s">
        <v>61</v>
      </c>
      <c r="H50" s="127">
        <v>9</v>
      </c>
      <c r="I50" s="128">
        <v>0</v>
      </c>
      <c r="J50" s="128">
        <v>0</v>
      </c>
      <c r="K50" s="85">
        <v>0</v>
      </c>
      <c r="L50" s="86">
        <v>0</v>
      </c>
      <c r="M50" s="277">
        <f t="shared" si="0"/>
        <v>0</v>
      </c>
      <c r="N50" s="87">
        <f t="shared" si="4"/>
        <v>9</v>
      </c>
      <c r="O50" s="88">
        <f t="shared" si="5"/>
        <v>0</v>
      </c>
      <c r="P50" s="278">
        <f t="shared" si="3"/>
        <v>0</v>
      </c>
    </row>
    <row r="51" spans="1:16" s="109" customFormat="1" ht="16.5" customHeight="1" x14ac:dyDescent="0.2">
      <c r="A51" s="97"/>
      <c r="B51" s="116"/>
      <c r="C51" s="123" t="s">
        <v>167</v>
      </c>
      <c r="D51" s="123" t="s">
        <v>127</v>
      </c>
      <c r="E51" s="124" t="s">
        <v>730</v>
      </c>
      <c r="F51" s="125" t="s">
        <v>731</v>
      </c>
      <c r="G51" s="126" t="s">
        <v>61</v>
      </c>
      <c r="H51" s="127">
        <v>2</v>
      </c>
      <c r="I51" s="128">
        <v>0</v>
      </c>
      <c r="J51" s="128">
        <v>0</v>
      </c>
      <c r="K51" s="85">
        <v>0</v>
      </c>
      <c r="L51" s="86">
        <v>0</v>
      </c>
      <c r="M51" s="277">
        <f t="shared" si="0"/>
        <v>0</v>
      </c>
      <c r="N51" s="87">
        <f t="shared" si="4"/>
        <v>2</v>
      </c>
      <c r="O51" s="88">
        <f t="shared" si="5"/>
        <v>0</v>
      </c>
      <c r="P51" s="278">
        <f t="shared" si="3"/>
        <v>0</v>
      </c>
    </row>
    <row r="52" spans="1:16" s="109" customFormat="1" ht="16.5" customHeight="1" x14ac:dyDescent="0.2">
      <c r="A52" s="97"/>
      <c r="B52" s="116"/>
      <c r="C52" s="123" t="s">
        <v>170</v>
      </c>
      <c r="D52" s="123" t="s">
        <v>127</v>
      </c>
      <c r="E52" s="124" t="s">
        <v>732</v>
      </c>
      <c r="F52" s="125" t="s">
        <v>733</v>
      </c>
      <c r="G52" s="126" t="s">
        <v>61</v>
      </c>
      <c r="H52" s="127">
        <v>21</v>
      </c>
      <c r="I52" s="128">
        <v>0</v>
      </c>
      <c r="J52" s="128">
        <v>0</v>
      </c>
      <c r="K52" s="85">
        <v>0</v>
      </c>
      <c r="L52" s="86">
        <v>0</v>
      </c>
      <c r="M52" s="277">
        <f t="shared" si="0"/>
        <v>0</v>
      </c>
      <c r="N52" s="87">
        <f t="shared" si="4"/>
        <v>21</v>
      </c>
      <c r="O52" s="88">
        <f t="shared" si="5"/>
        <v>0</v>
      </c>
      <c r="P52" s="278">
        <f t="shared" si="3"/>
        <v>0</v>
      </c>
    </row>
    <row r="53" spans="1:16" s="109" customFormat="1" ht="16.5" customHeight="1" x14ac:dyDescent="0.2">
      <c r="A53" s="97"/>
      <c r="B53" s="116"/>
      <c r="C53" s="123" t="s">
        <v>173</v>
      </c>
      <c r="D53" s="123" t="s">
        <v>127</v>
      </c>
      <c r="E53" s="124" t="s">
        <v>734</v>
      </c>
      <c r="F53" s="125" t="s">
        <v>735</v>
      </c>
      <c r="G53" s="126" t="s">
        <v>61</v>
      </c>
      <c r="H53" s="127">
        <v>4</v>
      </c>
      <c r="I53" s="128">
        <v>0</v>
      </c>
      <c r="J53" s="128">
        <v>0</v>
      </c>
      <c r="K53" s="85">
        <v>0</v>
      </c>
      <c r="L53" s="86">
        <v>0</v>
      </c>
      <c r="M53" s="277">
        <f t="shared" si="0"/>
        <v>0</v>
      </c>
      <c r="N53" s="87">
        <f t="shared" si="4"/>
        <v>4</v>
      </c>
      <c r="O53" s="88">
        <f t="shared" si="5"/>
        <v>0</v>
      </c>
      <c r="P53" s="278">
        <f t="shared" si="3"/>
        <v>0</v>
      </c>
    </row>
    <row r="54" spans="1:16" s="109" customFormat="1" ht="16.5" customHeight="1" x14ac:dyDescent="0.2">
      <c r="A54" s="97"/>
      <c r="B54" s="116"/>
      <c r="C54" s="123" t="s">
        <v>176</v>
      </c>
      <c r="D54" s="123" t="s">
        <v>127</v>
      </c>
      <c r="E54" s="124" t="s">
        <v>736</v>
      </c>
      <c r="F54" s="125" t="s">
        <v>737</v>
      </c>
      <c r="G54" s="126" t="s">
        <v>61</v>
      </c>
      <c r="H54" s="127">
        <v>2</v>
      </c>
      <c r="I54" s="128">
        <v>0</v>
      </c>
      <c r="J54" s="128">
        <v>0</v>
      </c>
      <c r="K54" s="85">
        <v>0</v>
      </c>
      <c r="L54" s="86">
        <v>0</v>
      </c>
      <c r="M54" s="277">
        <f t="shared" si="0"/>
        <v>0</v>
      </c>
      <c r="N54" s="87">
        <f t="shared" si="4"/>
        <v>2</v>
      </c>
      <c r="O54" s="88">
        <f t="shared" si="5"/>
        <v>0</v>
      </c>
      <c r="P54" s="278">
        <f t="shared" si="3"/>
        <v>0</v>
      </c>
    </row>
    <row r="55" spans="1:16" s="109" customFormat="1" ht="16.5" customHeight="1" x14ac:dyDescent="0.2">
      <c r="A55" s="97"/>
      <c r="B55" s="116"/>
      <c r="C55" s="123" t="s">
        <v>179</v>
      </c>
      <c r="D55" s="123" t="s">
        <v>127</v>
      </c>
      <c r="E55" s="124" t="s">
        <v>738</v>
      </c>
      <c r="F55" s="125" t="s">
        <v>739</v>
      </c>
      <c r="G55" s="126" t="s">
        <v>61</v>
      </c>
      <c r="H55" s="127">
        <v>6</v>
      </c>
      <c r="I55" s="128">
        <v>0</v>
      </c>
      <c r="J55" s="128">
        <v>0</v>
      </c>
      <c r="K55" s="85">
        <v>0</v>
      </c>
      <c r="L55" s="86">
        <v>0</v>
      </c>
      <c r="M55" s="277">
        <f t="shared" si="0"/>
        <v>0</v>
      </c>
      <c r="N55" s="87">
        <f t="shared" si="4"/>
        <v>6</v>
      </c>
      <c r="O55" s="88">
        <f t="shared" si="5"/>
        <v>0</v>
      </c>
      <c r="P55" s="278">
        <f t="shared" si="3"/>
        <v>0</v>
      </c>
    </row>
    <row r="56" spans="1:16" s="109" customFormat="1" ht="16.5" customHeight="1" x14ac:dyDescent="0.2">
      <c r="A56" s="97"/>
      <c r="B56" s="116"/>
      <c r="C56" s="123" t="s">
        <v>183</v>
      </c>
      <c r="D56" s="123" t="s">
        <v>127</v>
      </c>
      <c r="E56" s="124" t="s">
        <v>740</v>
      </c>
      <c r="F56" s="125" t="s">
        <v>741</v>
      </c>
      <c r="G56" s="126" t="s">
        <v>61</v>
      </c>
      <c r="H56" s="127">
        <v>2</v>
      </c>
      <c r="I56" s="128">
        <v>0</v>
      </c>
      <c r="J56" s="128">
        <v>0</v>
      </c>
      <c r="K56" s="85">
        <v>0</v>
      </c>
      <c r="L56" s="86">
        <v>0</v>
      </c>
      <c r="M56" s="277">
        <f t="shared" si="0"/>
        <v>0</v>
      </c>
      <c r="N56" s="87">
        <f t="shared" si="4"/>
        <v>2</v>
      </c>
      <c r="O56" s="88">
        <f t="shared" si="5"/>
        <v>0</v>
      </c>
      <c r="P56" s="278">
        <f t="shared" si="3"/>
        <v>0</v>
      </c>
    </row>
    <row r="57" spans="1:16" s="109" customFormat="1" ht="21.75" customHeight="1" x14ac:dyDescent="0.2">
      <c r="A57" s="97"/>
      <c r="B57" s="116"/>
      <c r="C57" s="123" t="s">
        <v>186</v>
      </c>
      <c r="D57" s="123" t="s">
        <v>127</v>
      </c>
      <c r="E57" s="124" t="s">
        <v>742</v>
      </c>
      <c r="F57" s="125" t="s">
        <v>743</v>
      </c>
      <c r="G57" s="126" t="s">
        <v>665</v>
      </c>
      <c r="H57" s="127">
        <v>1</v>
      </c>
      <c r="I57" s="128">
        <v>0</v>
      </c>
      <c r="J57" s="128">
        <v>0</v>
      </c>
      <c r="K57" s="85">
        <v>0</v>
      </c>
      <c r="L57" s="86">
        <v>0</v>
      </c>
      <c r="M57" s="277">
        <f t="shared" si="0"/>
        <v>0</v>
      </c>
      <c r="N57" s="87">
        <f t="shared" si="4"/>
        <v>1</v>
      </c>
      <c r="O57" s="88">
        <f t="shared" si="5"/>
        <v>0</v>
      </c>
      <c r="P57" s="278">
        <f t="shared" si="3"/>
        <v>0</v>
      </c>
    </row>
    <row r="58" spans="1:16" s="109" customFormat="1" ht="16.5" customHeight="1" x14ac:dyDescent="0.2">
      <c r="A58" s="97"/>
      <c r="B58" s="116"/>
      <c r="C58" s="123" t="s">
        <v>189</v>
      </c>
      <c r="D58" s="123" t="s">
        <v>127</v>
      </c>
      <c r="E58" s="124" t="s">
        <v>744</v>
      </c>
      <c r="F58" s="125" t="s">
        <v>923</v>
      </c>
      <c r="G58" s="126" t="s">
        <v>665</v>
      </c>
      <c r="H58" s="127">
        <v>1</v>
      </c>
      <c r="I58" s="128">
        <v>0</v>
      </c>
      <c r="J58" s="128">
        <v>0</v>
      </c>
      <c r="K58" s="85">
        <v>0</v>
      </c>
      <c r="L58" s="86">
        <v>0</v>
      </c>
      <c r="M58" s="277">
        <f t="shared" si="0"/>
        <v>0</v>
      </c>
      <c r="N58" s="87">
        <f t="shared" si="4"/>
        <v>1</v>
      </c>
      <c r="O58" s="88">
        <f t="shared" si="5"/>
        <v>0</v>
      </c>
      <c r="P58" s="278">
        <f t="shared" si="3"/>
        <v>0</v>
      </c>
    </row>
    <row r="59" spans="1:16" s="109" customFormat="1" ht="21.75" customHeight="1" x14ac:dyDescent="0.2">
      <c r="A59" s="97"/>
      <c r="B59" s="116"/>
      <c r="C59" s="123" t="s">
        <v>192</v>
      </c>
      <c r="D59" s="123" t="s">
        <v>127</v>
      </c>
      <c r="E59" s="124" t="s">
        <v>746</v>
      </c>
      <c r="F59" s="125" t="s">
        <v>747</v>
      </c>
      <c r="G59" s="126" t="s">
        <v>665</v>
      </c>
      <c r="H59" s="127">
        <v>2</v>
      </c>
      <c r="I59" s="128">
        <v>0</v>
      </c>
      <c r="J59" s="128">
        <v>0</v>
      </c>
      <c r="K59" s="85">
        <v>0</v>
      </c>
      <c r="L59" s="86">
        <v>0</v>
      </c>
      <c r="M59" s="277">
        <f t="shared" si="0"/>
        <v>0</v>
      </c>
      <c r="N59" s="87">
        <f t="shared" si="4"/>
        <v>2</v>
      </c>
      <c r="O59" s="88">
        <f t="shared" si="5"/>
        <v>0</v>
      </c>
      <c r="P59" s="278">
        <f t="shared" si="3"/>
        <v>0</v>
      </c>
    </row>
    <row r="60" spans="1:16" s="109" customFormat="1" ht="21.75" customHeight="1" x14ac:dyDescent="0.2">
      <c r="A60" s="97"/>
      <c r="B60" s="116"/>
      <c r="C60" s="123" t="s">
        <v>195</v>
      </c>
      <c r="D60" s="123" t="s">
        <v>127</v>
      </c>
      <c r="E60" s="124" t="s">
        <v>748</v>
      </c>
      <c r="F60" s="125" t="s">
        <v>749</v>
      </c>
      <c r="G60" s="126" t="s">
        <v>665</v>
      </c>
      <c r="H60" s="127">
        <v>1</v>
      </c>
      <c r="I60" s="128">
        <v>0</v>
      </c>
      <c r="J60" s="128">
        <v>0</v>
      </c>
      <c r="K60" s="85">
        <v>0</v>
      </c>
      <c r="L60" s="86">
        <v>0</v>
      </c>
      <c r="M60" s="277">
        <f t="shared" si="0"/>
        <v>0</v>
      </c>
      <c r="N60" s="87">
        <f t="shared" si="4"/>
        <v>1</v>
      </c>
      <c r="O60" s="88">
        <f t="shared" si="5"/>
        <v>0</v>
      </c>
      <c r="P60" s="278">
        <f t="shared" si="3"/>
        <v>0</v>
      </c>
    </row>
    <row r="61" spans="1:16" s="109" customFormat="1" ht="21.75" customHeight="1" x14ac:dyDescent="0.2">
      <c r="A61" s="97"/>
      <c r="B61" s="116"/>
      <c r="C61" s="123" t="s">
        <v>198</v>
      </c>
      <c r="D61" s="123" t="s">
        <v>127</v>
      </c>
      <c r="E61" s="124" t="s">
        <v>750</v>
      </c>
      <c r="F61" s="125" t="s">
        <v>751</v>
      </c>
      <c r="G61" s="126" t="s">
        <v>665</v>
      </c>
      <c r="H61" s="127">
        <v>1</v>
      </c>
      <c r="I61" s="128">
        <v>0</v>
      </c>
      <c r="J61" s="128">
        <v>0</v>
      </c>
      <c r="K61" s="85">
        <v>0</v>
      </c>
      <c r="L61" s="86">
        <v>0</v>
      </c>
      <c r="M61" s="277">
        <f t="shared" si="0"/>
        <v>0</v>
      </c>
      <c r="N61" s="87">
        <f t="shared" si="4"/>
        <v>1</v>
      </c>
      <c r="O61" s="88">
        <f t="shared" si="5"/>
        <v>0</v>
      </c>
      <c r="P61" s="278">
        <f t="shared" si="3"/>
        <v>0</v>
      </c>
    </row>
    <row r="62" spans="1:16" s="109" customFormat="1" ht="16.5" customHeight="1" x14ac:dyDescent="0.2">
      <c r="A62" s="97"/>
      <c r="B62" s="116"/>
      <c r="C62" s="123" t="s">
        <v>201</v>
      </c>
      <c r="D62" s="123" t="s">
        <v>127</v>
      </c>
      <c r="E62" s="124" t="s">
        <v>752</v>
      </c>
      <c r="F62" s="125" t="s">
        <v>753</v>
      </c>
      <c r="G62" s="126" t="s">
        <v>61</v>
      </c>
      <c r="H62" s="127">
        <v>10</v>
      </c>
      <c r="I62" s="128">
        <v>0</v>
      </c>
      <c r="J62" s="128">
        <v>0</v>
      </c>
      <c r="K62" s="85">
        <v>0</v>
      </c>
      <c r="L62" s="86">
        <v>0</v>
      </c>
      <c r="M62" s="277">
        <f t="shared" si="0"/>
        <v>0</v>
      </c>
      <c r="N62" s="87">
        <f t="shared" si="4"/>
        <v>10</v>
      </c>
      <c r="O62" s="88">
        <f t="shared" si="5"/>
        <v>0</v>
      </c>
      <c r="P62" s="278">
        <f t="shared" si="3"/>
        <v>0</v>
      </c>
    </row>
    <row r="63" spans="1:16" s="109" customFormat="1" ht="16.5" customHeight="1" x14ac:dyDescent="0.2">
      <c r="A63" s="97"/>
      <c r="B63" s="116"/>
      <c r="C63" s="123" t="s">
        <v>204</v>
      </c>
      <c r="D63" s="123" t="s">
        <v>127</v>
      </c>
      <c r="E63" s="124" t="s">
        <v>754</v>
      </c>
      <c r="F63" s="125" t="s">
        <v>755</v>
      </c>
      <c r="G63" s="126" t="s">
        <v>665</v>
      </c>
      <c r="H63" s="127">
        <v>1</v>
      </c>
      <c r="I63" s="128">
        <v>0</v>
      </c>
      <c r="J63" s="128">
        <v>0</v>
      </c>
      <c r="K63" s="85">
        <v>0</v>
      </c>
      <c r="L63" s="86">
        <v>0</v>
      </c>
      <c r="M63" s="277">
        <f t="shared" si="0"/>
        <v>0</v>
      </c>
      <c r="N63" s="87">
        <f t="shared" si="4"/>
        <v>1</v>
      </c>
      <c r="O63" s="88">
        <f t="shared" si="5"/>
        <v>0</v>
      </c>
      <c r="P63" s="278">
        <f t="shared" si="3"/>
        <v>0</v>
      </c>
    </row>
    <row r="64" spans="1:16" s="109" customFormat="1" ht="21.75" customHeight="1" x14ac:dyDescent="0.2">
      <c r="A64" s="97"/>
      <c r="B64" s="116"/>
      <c r="C64" s="123" t="s">
        <v>207</v>
      </c>
      <c r="D64" s="123" t="s">
        <v>127</v>
      </c>
      <c r="E64" s="124" t="s">
        <v>756</v>
      </c>
      <c r="F64" s="125" t="s">
        <v>757</v>
      </c>
      <c r="G64" s="126" t="s">
        <v>665</v>
      </c>
      <c r="H64" s="127">
        <v>1</v>
      </c>
      <c r="I64" s="128">
        <v>0</v>
      </c>
      <c r="J64" s="128">
        <v>0</v>
      </c>
      <c r="K64" s="85">
        <v>0</v>
      </c>
      <c r="L64" s="86">
        <v>0</v>
      </c>
      <c r="M64" s="277">
        <f t="shared" si="0"/>
        <v>0</v>
      </c>
      <c r="N64" s="87">
        <f t="shared" si="4"/>
        <v>1</v>
      </c>
      <c r="O64" s="88">
        <f t="shared" si="5"/>
        <v>0</v>
      </c>
      <c r="P64" s="278">
        <f t="shared" si="3"/>
        <v>0</v>
      </c>
    </row>
    <row r="65" spans="1:16" s="109" customFormat="1" ht="16.5" customHeight="1" x14ac:dyDescent="0.2">
      <c r="A65" s="97"/>
      <c r="B65" s="116"/>
      <c r="C65" s="123" t="s">
        <v>210</v>
      </c>
      <c r="D65" s="123" t="s">
        <v>127</v>
      </c>
      <c r="E65" s="124" t="s">
        <v>924</v>
      </c>
      <c r="F65" s="125" t="s">
        <v>759</v>
      </c>
      <c r="G65" s="126" t="s">
        <v>599</v>
      </c>
      <c r="H65" s="127">
        <v>0</v>
      </c>
      <c r="I65" s="128">
        <v>0</v>
      </c>
      <c r="J65" s="128">
        <v>0</v>
      </c>
      <c r="K65" s="85">
        <v>0</v>
      </c>
      <c r="L65" s="86">
        <v>0</v>
      </c>
      <c r="M65" s="277">
        <f t="shared" si="0"/>
        <v>0</v>
      </c>
      <c r="N65" s="87">
        <f t="shared" si="4"/>
        <v>0</v>
      </c>
      <c r="O65" s="88">
        <f t="shared" si="5"/>
        <v>0</v>
      </c>
      <c r="P65" s="278">
        <f t="shared" si="3"/>
        <v>0</v>
      </c>
    </row>
    <row r="66" spans="1:16" s="109" customFormat="1" ht="16.5" customHeight="1" x14ac:dyDescent="0.2">
      <c r="A66" s="97"/>
      <c r="B66" s="116"/>
      <c r="C66" s="123" t="s">
        <v>214</v>
      </c>
      <c r="D66" s="123" t="s">
        <v>127</v>
      </c>
      <c r="E66" s="124" t="s">
        <v>925</v>
      </c>
      <c r="F66" s="125" t="s">
        <v>761</v>
      </c>
      <c r="G66" s="126" t="s">
        <v>599</v>
      </c>
      <c r="H66" s="127">
        <v>0</v>
      </c>
      <c r="I66" s="128">
        <v>0</v>
      </c>
      <c r="J66" s="128">
        <v>0</v>
      </c>
      <c r="K66" s="85">
        <v>0</v>
      </c>
      <c r="L66" s="86">
        <v>0</v>
      </c>
      <c r="M66" s="277">
        <f t="shared" si="0"/>
        <v>0</v>
      </c>
      <c r="N66" s="87">
        <f t="shared" si="4"/>
        <v>0</v>
      </c>
      <c r="O66" s="88">
        <f t="shared" si="5"/>
        <v>0</v>
      </c>
      <c r="P66" s="278">
        <f t="shared" si="3"/>
        <v>0</v>
      </c>
    </row>
    <row r="67" spans="1:16" s="110" customFormat="1" ht="18" customHeight="1" x14ac:dyDescent="0.2">
      <c r="C67" s="129"/>
      <c r="D67" s="130" t="s">
        <v>3</v>
      </c>
      <c r="E67" s="131" t="s">
        <v>76</v>
      </c>
      <c r="F67" s="131" t="s">
        <v>762</v>
      </c>
      <c r="G67" s="129"/>
      <c r="H67" s="129"/>
      <c r="I67" s="129"/>
      <c r="J67" s="132">
        <v>0</v>
      </c>
      <c r="K67" s="85" t="str">
        <f>IF(ISBLANK(H67),"",SUM(#REF!+#REF!+#REF!+#REF!+#REF!+#REF!+#REF!+#REF!+#REF!+#REF!+#REF!,#REF!,#REF!,#REF!,#REF!,#REF!,#REF!,#REF!,#REF!,#REF!,#REF!,#REF!))</f>
        <v/>
      </c>
      <c r="L67" s="86" t="str">
        <f>IF(ISBLANK(H67),"",SUM(#REF!+#REF!+#REF!+#REF!+#REF!+#REF!+#REF!+#REF!+#REF!+#REF!+#REF!,#REF!,#REF!,#REF!,#REF!,#REF!,#REF!,#REF!,#REF!,#REF!,#REF!,#REF!,#REF!))</f>
        <v/>
      </c>
      <c r="M67" s="277">
        <f t="shared" si="0"/>
        <v>0</v>
      </c>
      <c r="N67" s="87" t="str">
        <f t="shared" si="4"/>
        <v/>
      </c>
      <c r="O67" s="88" t="str">
        <f t="shared" si="5"/>
        <v/>
      </c>
      <c r="P67" s="278">
        <f t="shared" si="3"/>
        <v>0</v>
      </c>
    </row>
    <row r="68" spans="1:16" s="109" customFormat="1" ht="16.5" customHeight="1" x14ac:dyDescent="0.2">
      <c r="A68" s="97"/>
      <c r="B68" s="116"/>
      <c r="C68" s="117" t="s">
        <v>217</v>
      </c>
      <c r="D68" s="117" t="s">
        <v>69</v>
      </c>
      <c r="E68" s="118" t="s">
        <v>763</v>
      </c>
      <c r="F68" s="119" t="s">
        <v>764</v>
      </c>
      <c r="G68" s="120" t="s">
        <v>665</v>
      </c>
      <c r="H68" s="121">
        <v>1</v>
      </c>
      <c r="I68" s="122">
        <v>0</v>
      </c>
      <c r="J68" s="122">
        <v>0</v>
      </c>
      <c r="K68" s="85">
        <v>0</v>
      </c>
      <c r="L68" s="86">
        <v>0</v>
      </c>
      <c r="M68" s="277">
        <f t="shared" si="0"/>
        <v>0</v>
      </c>
      <c r="N68" s="87">
        <f t="shared" si="4"/>
        <v>1</v>
      </c>
      <c r="O68" s="88">
        <f t="shared" si="5"/>
        <v>0</v>
      </c>
      <c r="P68" s="278">
        <f t="shared" si="3"/>
        <v>0</v>
      </c>
    </row>
    <row r="69" spans="1:16" s="109" customFormat="1" ht="21.75" customHeight="1" x14ac:dyDescent="0.2">
      <c r="A69" s="97"/>
      <c r="B69" s="116"/>
      <c r="C69" s="117" t="s">
        <v>220</v>
      </c>
      <c r="D69" s="117" t="s">
        <v>69</v>
      </c>
      <c r="E69" s="118" t="s">
        <v>765</v>
      </c>
      <c r="F69" s="119" t="s">
        <v>766</v>
      </c>
      <c r="G69" s="120" t="s">
        <v>665</v>
      </c>
      <c r="H69" s="121">
        <v>1</v>
      </c>
      <c r="I69" s="122">
        <v>0</v>
      </c>
      <c r="J69" s="122">
        <v>0</v>
      </c>
      <c r="K69" s="85">
        <v>0</v>
      </c>
      <c r="L69" s="86">
        <v>0</v>
      </c>
      <c r="M69" s="277">
        <f t="shared" si="0"/>
        <v>0</v>
      </c>
      <c r="N69" s="87">
        <f t="shared" si="4"/>
        <v>1</v>
      </c>
      <c r="O69" s="88">
        <f t="shared" si="5"/>
        <v>0</v>
      </c>
      <c r="P69" s="278">
        <f t="shared" si="3"/>
        <v>0</v>
      </c>
    </row>
    <row r="70" spans="1:16" s="109" customFormat="1" ht="21.75" customHeight="1" x14ac:dyDescent="0.2">
      <c r="A70" s="97"/>
      <c r="B70" s="116"/>
      <c r="C70" s="117" t="s">
        <v>223</v>
      </c>
      <c r="D70" s="117" t="s">
        <v>69</v>
      </c>
      <c r="E70" s="118" t="s">
        <v>767</v>
      </c>
      <c r="F70" s="119" t="s">
        <v>768</v>
      </c>
      <c r="G70" s="120" t="s">
        <v>665</v>
      </c>
      <c r="H70" s="121">
        <v>1</v>
      </c>
      <c r="I70" s="122">
        <v>0</v>
      </c>
      <c r="J70" s="122">
        <v>0</v>
      </c>
      <c r="K70" s="85">
        <v>0</v>
      </c>
      <c r="L70" s="86">
        <v>0</v>
      </c>
      <c r="M70" s="277">
        <f t="shared" si="0"/>
        <v>0</v>
      </c>
      <c r="N70" s="87">
        <f t="shared" si="4"/>
        <v>1</v>
      </c>
      <c r="O70" s="88">
        <f t="shared" si="5"/>
        <v>0</v>
      </c>
      <c r="P70" s="278">
        <f t="shared" si="3"/>
        <v>0</v>
      </c>
    </row>
    <row r="71" spans="1:16" s="109" customFormat="1" ht="16.5" customHeight="1" x14ac:dyDescent="0.2">
      <c r="A71" s="97"/>
      <c r="B71" s="116"/>
      <c r="C71" s="117" t="s">
        <v>226</v>
      </c>
      <c r="D71" s="117" t="s">
        <v>69</v>
      </c>
      <c r="E71" s="118" t="s">
        <v>769</v>
      </c>
      <c r="F71" s="119" t="s">
        <v>770</v>
      </c>
      <c r="G71" s="120" t="s">
        <v>665</v>
      </c>
      <c r="H71" s="121">
        <v>1</v>
      </c>
      <c r="I71" s="122">
        <v>0</v>
      </c>
      <c r="J71" s="122">
        <v>0</v>
      </c>
      <c r="K71" s="85">
        <v>0</v>
      </c>
      <c r="L71" s="86">
        <v>0</v>
      </c>
      <c r="M71" s="277">
        <f t="shared" si="0"/>
        <v>0</v>
      </c>
      <c r="N71" s="87">
        <f t="shared" si="4"/>
        <v>1</v>
      </c>
      <c r="O71" s="88">
        <f t="shared" si="5"/>
        <v>0</v>
      </c>
      <c r="P71" s="278">
        <f t="shared" si="3"/>
        <v>0</v>
      </c>
    </row>
    <row r="72" spans="1:16" s="109" customFormat="1" ht="21.75" customHeight="1" x14ac:dyDescent="0.2">
      <c r="A72" s="97"/>
      <c r="B72" s="116"/>
      <c r="C72" s="117" t="s">
        <v>229</v>
      </c>
      <c r="D72" s="117" t="s">
        <v>69</v>
      </c>
      <c r="E72" s="118" t="s">
        <v>771</v>
      </c>
      <c r="F72" s="119" t="s">
        <v>772</v>
      </c>
      <c r="G72" s="120" t="s">
        <v>665</v>
      </c>
      <c r="H72" s="121">
        <v>1</v>
      </c>
      <c r="I72" s="122">
        <v>0</v>
      </c>
      <c r="J72" s="122">
        <v>0</v>
      </c>
      <c r="K72" s="85">
        <v>0</v>
      </c>
      <c r="L72" s="86">
        <v>0</v>
      </c>
      <c r="M72" s="277">
        <f t="shared" si="0"/>
        <v>0</v>
      </c>
      <c r="N72" s="87">
        <f t="shared" si="4"/>
        <v>1</v>
      </c>
      <c r="O72" s="88">
        <f t="shared" si="5"/>
        <v>0</v>
      </c>
      <c r="P72" s="278">
        <f t="shared" si="3"/>
        <v>0</v>
      </c>
    </row>
    <row r="73" spans="1:16" s="109" customFormat="1" ht="16.5" customHeight="1" x14ac:dyDescent="0.2">
      <c r="A73" s="97"/>
      <c r="B73" s="116"/>
      <c r="C73" s="117" t="s">
        <v>232</v>
      </c>
      <c r="D73" s="117" t="s">
        <v>69</v>
      </c>
      <c r="E73" s="118" t="s">
        <v>773</v>
      </c>
      <c r="F73" s="119" t="s">
        <v>774</v>
      </c>
      <c r="G73" s="120" t="s">
        <v>665</v>
      </c>
      <c r="H73" s="121">
        <v>1</v>
      </c>
      <c r="I73" s="122">
        <v>0</v>
      </c>
      <c r="J73" s="122">
        <v>0</v>
      </c>
      <c r="K73" s="85">
        <v>0</v>
      </c>
      <c r="L73" s="86">
        <v>0</v>
      </c>
      <c r="M73" s="277">
        <f t="shared" si="0"/>
        <v>0</v>
      </c>
      <c r="N73" s="87">
        <f t="shared" si="4"/>
        <v>1</v>
      </c>
      <c r="O73" s="88">
        <f t="shared" si="5"/>
        <v>0</v>
      </c>
      <c r="P73" s="278">
        <f t="shared" si="3"/>
        <v>0</v>
      </c>
    </row>
    <row r="74" spans="1:16" s="109" customFormat="1" ht="16.5" customHeight="1" x14ac:dyDescent="0.2">
      <c r="A74" s="97"/>
      <c r="B74" s="116"/>
      <c r="C74" s="117" t="s">
        <v>235</v>
      </c>
      <c r="D74" s="117" t="s">
        <v>69</v>
      </c>
      <c r="E74" s="118" t="s">
        <v>775</v>
      </c>
      <c r="F74" s="119" t="s">
        <v>776</v>
      </c>
      <c r="G74" s="120" t="s">
        <v>665</v>
      </c>
      <c r="H74" s="121">
        <v>1</v>
      </c>
      <c r="I74" s="122">
        <v>0</v>
      </c>
      <c r="J74" s="122">
        <v>0</v>
      </c>
      <c r="K74" s="85">
        <v>0</v>
      </c>
      <c r="L74" s="86">
        <v>0</v>
      </c>
      <c r="M74" s="277">
        <f t="shared" si="0"/>
        <v>0</v>
      </c>
      <c r="N74" s="87">
        <f t="shared" si="4"/>
        <v>1</v>
      </c>
      <c r="O74" s="88">
        <f t="shared" si="5"/>
        <v>0</v>
      </c>
      <c r="P74" s="278">
        <f t="shared" si="3"/>
        <v>0</v>
      </c>
    </row>
    <row r="75" spans="1:16" s="109" customFormat="1" ht="16.5" customHeight="1" x14ac:dyDescent="0.2">
      <c r="A75" s="97"/>
      <c r="B75" s="116"/>
      <c r="C75" s="117" t="s">
        <v>238</v>
      </c>
      <c r="D75" s="117" t="s">
        <v>69</v>
      </c>
      <c r="E75" s="118" t="s">
        <v>777</v>
      </c>
      <c r="F75" s="119" t="s">
        <v>778</v>
      </c>
      <c r="G75" s="120" t="s">
        <v>665</v>
      </c>
      <c r="H75" s="121">
        <v>1</v>
      </c>
      <c r="I75" s="122">
        <v>0</v>
      </c>
      <c r="J75" s="122">
        <v>0</v>
      </c>
      <c r="K75" s="85">
        <v>0</v>
      </c>
      <c r="L75" s="86">
        <v>0</v>
      </c>
      <c r="M75" s="277">
        <f t="shared" si="0"/>
        <v>0</v>
      </c>
      <c r="N75" s="87">
        <f t="shared" si="4"/>
        <v>1</v>
      </c>
      <c r="O75" s="88">
        <f t="shared" si="5"/>
        <v>0</v>
      </c>
      <c r="P75" s="278">
        <f t="shared" si="3"/>
        <v>0</v>
      </c>
    </row>
    <row r="76" spans="1:16" s="109" customFormat="1" ht="6.95" customHeight="1" x14ac:dyDescent="0.2">
      <c r="A76" s="97"/>
      <c r="B76" s="97"/>
      <c r="C76" s="97"/>
      <c r="D76" s="97"/>
      <c r="E76" s="97"/>
      <c r="F76" s="97"/>
      <c r="G76" s="97"/>
      <c r="H76" s="97"/>
      <c r="I76" s="97"/>
      <c r="J76" s="97"/>
    </row>
    <row r="77" spans="1:16" ht="12" customHeight="1" x14ac:dyDescent="0.2">
      <c r="D77" s="89"/>
      <c r="E77" s="141" t="str">
        <f>CONCATENATE("CELKEM ",C$12)</f>
        <v>CELKEM 04 - PS 03.2 - Elektrotechnologická část</v>
      </c>
      <c r="F77" s="90"/>
      <c r="G77" s="90"/>
      <c r="H77" s="91"/>
      <c r="I77" s="90"/>
      <c r="J77" s="92">
        <v>0</v>
      </c>
      <c r="K77" s="94"/>
      <c r="L77" s="92"/>
      <c r="M77" s="147">
        <f>M75</f>
        <v>0</v>
      </c>
      <c r="N77" s="94"/>
      <c r="O77" s="92"/>
      <c r="P77" s="295">
        <f>P75</f>
        <v>0</v>
      </c>
    </row>
    <row r="78" spans="1:16" ht="3.75" customHeight="1" x14ac:dyDescent="0.2">
      <c r="I78" s="95"/>
    </row>
    <row r="79" spans="1:16" ht="14.25" x14ac:dyDescent="0.2">
      <c r="E79" s="58" t="s">
        <v>994</v>
      </c>
      <c r="F79" s="58"/>
      <c r="H79" s="96"/>
      <c r="J79" s="161"/>
      <c r="K79" s="58" t="s">
        <v>995</v>
      </c>
    </row>
  </sheetData>
  <protectedRanges>
    <protectedRange password="CCAA" sqref="K8" name="Oblast1_1_1_1_1_1_1"/>
    <protectedRange password="CCAA" sqref="D9:H10" name="Oblast1_2_1_1_1_1_1"/>
  </protectedRanges>
  <mergeCells count="2">
    <mergeCell ref="K9:M9"/>
    <mergeCell ref="N9:P9"/>
  </mergeCells>
  <conditionalFormatting sqref="D3:E7 H3:J7 K8:GF8 Q9:GF10 D1:J2 K1:GE7 K15:L75">
    <cfRule type="cellIs" dxfId="51" priority="85" operator="lessThan">
      <formula>0</formula>
    </cfRule>
  </conditionalFormatting>
  <conditionalFormatting sqref="G4">
    <cfRule type="cellIs" dxfId="50" priority="84" operator="lessThan">
      <formula>0</formula>
    </cfRule>
  </conditionalFormatting>
  <conditionalFormatting sqref="G3">
    <cfRule type="cellIs" dxfId="49" priority="83" operator="lessThan">
      <formula>0</formula>
    </cfRule>
  </conditionalFormatting>
  <conditionalFormatting sqref="D8:E8 H8:J8">
    <cfRule type="cellIs" dxfId="48" priority="82" operator="lessThan">
      <formula>0</formula>
    </cfRule>
  </conditionalFormatting>
  <conditionalFormatting sqref="N15:O75">
    <cfRule type="cellIs" dxfId="47" priority="33" operator="lessThan">
      <formula>0</formula>
    </cfRule>
  </conditionalFormatting>
  <conditionalFormatting sqref="N15:O75">
    <cfRule type="cellIs" dxfId="46" priority="32" operator="lessThan">
      <formula>0</formula>
    </cfRule>
  </conditionalFormatting>
  <conditionalFormatting sqref="K77 N77 P77:GP77">
    <cfRule type="cellIs" dxfId="45" priority="31" operator="lessThan">
      <formula>0</formula>
    </cfRule>
  </conditionalFormatting>
  <conditionalFormatting sqref="D77:J77">
    <cfRule type="cellIs" dxfId="44" priority="29" operator="lessThan">
      <formula>0</formula>
    </cfRule>
  </conditionalFormatting>
  <conditionalFormatting sqref="L79:HS79 D79 G79:I79">
    <cfRule type="cellIs" dxfId="43" priority="19" operator="lessThan">
      <formula>0</formula>
    </cfRule>
  </conditionalFormatting>
  <conditionalFormatting sqref="G79:I79 L79:M79">
    <cfRule type="cellIs" dxfId="42" priority="18" operator="lessThan">
      <formula>0</formula>
    </cfRule>
  </conditionalFormatting>
  <conditionalFormatting sqref="G79:I79">
    <cfRule type="cellIs" dxfId="41" priority="17" operator="lessThan">
      <formula>0</formula>
    </cfRule>
  </conditionalFormatting>
  <conditionalFormatting sqref="G79:I79">
    <cfRule type="cellIs" dxfId="40" priority="16" operator="lessThan">
      <formula>0</formula>
    </cfRule>
  </conditionalFormatting>
  <conditionalFormatting sqref="M77">
    <cfRule type="cellIs" dxfId="39" priority="6" operator="lessThan">
      <formula>0</formula>
    </cfRule>
  </conditionalFormatting>
  <conditionalFormatting sqref="L77 O77">
    <cfRule type="cellIs" dxfId="38" priority="4" operator="lessThan">
      <formula>0</formula>
    </cfRule>
  </conditionalFormatting>
  <conditionalFormatting sqref="D9:J10">
    <cfRule type="cellIs" dxfId="37" priority="3" operator="lessThan">
      <formula>0</formula>
    </cfRule>
  </conditionalFormatting>
  <conditionalFormatting sqref="K9:L10 N9:O9">
    <cfRule type="cellIs" dxfId="36" priority="2" operator="lessThan">
      <formula>0</formula>
    </cfRule>
  </conditionalFormatting>
  <conditionalFormatting sqref="M10:P10">
    <cfRule type="cellIs" dxfId="35" priority="1" operator="lessThan">
      <formula>0</formula>
    </cfRule>
  </conditionalFormatting>
  <pageMargins left="0.39370078740157483" right="0.39370078740157483" top="0.39370078740157483" bottom="0.39370078740157483" header="0" footer="0"/>
  <pageSetup paperSize="9" scale="62" fitToHeight="0" orientation="portrait" r:id="rId1"/>
  <headerFooter>
    <oddFooter>&amp;CStrana &amp;P z &amp;N</oddFooter>
  </headerFooter>
  <drawing r:id="rId2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F00-000000000000}">
  <sheetPr>
    <pageSetUpPr fitToPage="1"/>
  </sheetPr>
  <dimension ref="A1:P36"/>
  <sheetViews>
    <sheetView showGridLines="0" view="pageBreakPreview" topLeftCell="A4" zoomScale="60" zoomScaleNormal="100" workbookViewId="0">
      <selection activeCell="J36" sqref="J36"/>
    </sheetView>
  </sheetViews>
  <sheetFormatPr defaultColWidth="9.33203125" defaultRowHeight="11.25" x14ac:dyDescent="0.2"/>
  <cols>
    <col min="1" max="1" width="8.33203125" style="60" customWidth="1"/>
    <col min="2" max="2" width="1.6640625" style="60" customWidth="1"/>
    <col min="3" max="3" width="4.1640625" style="60" customWidth="1"/>
    <col min="4" max="4" width="4.33203125" style="60" customWidth="1"/>
    <col min="5" max="5" width="17.1640625" style="60" customWidth="1"/>
    <col min="6" max="6" width="50.83203125" style="60" customWidth="1"/>
    <col min="7" max="7" width="7" style="60" customWidth="1"/>
    <col min="8" max="8" width="11.5" style="60" customWidth="1"/>
    <col min="9" max="9" width="20.1640625" style="60" customWidth="1"/>
    <col min="10" max="10" width="16.5" style="60" bestFit="1" customWidth="1"/>
    <col min="11" max="15" width="9.33203125" style="60"/>
    <col min="16" max="16" width="11.83203125" style="60" customWidth="1"/>
    <col min="17" max="16384" width="9.33203125" style="60"/>
  </cols>
  <sheetData>
    <row r="1" spans="1:16" ht="15" x14ac:dyDescent="0.2">
      <c r="F1" s="3"/>
      <c r="G1" s="4"/>
      <c r="H1" s="1"/>
      <c r="J1" s="61"/>
    </row>
    <row r="2" spans="1:16" s="1" customFormat="1" ht="15" x14ac:dyDescent="0.2">
      <c r="E2" s="2"/>
      <c r="F2" s="3" t="s">
        <v>979</v>
      </c>
      <c r="G2" s="4" t="str">
        <f>'[1]VRN 01'!G3</f>
        <v>Odkanalizování povodí Jizery - část B</v>
      </c>
      <c r="I2" s="5"/>
      <c r="J2" s="63"/>
      <c r="K2" s="10"/>
      <c r="L2" s="11"/>
      <c r="M2" s="11"/>
      <c r="N2" s="64"/>
    </row>
    <row r="3" spans="1:16" s="1" customFormat="1" ht="15" x14ac:dyDescent="0.2">
      <c r="E3" s="2"/>
      <c r="F3" s="3" t="s">
        <v>980</v>
      </c>
      <c r="G3" s="4" t="str">
        <f>+'Rekapitulace stavby'!D2</f>
        <v>ÚHERCE, výstavba kanalizace - UZNATELNÉ NÁKLADY - doměrky</v>
      </c>
      <c r="H3" s="2"/>
      <c r="I3" s="5"/>
      <c r="J3" s="63"/>
      <c r="K3" s="10"/>
      <c r="L3" s="11"/>
      <c r="M3" s="11"/>
      <c r="N3" s="64"/>
    </row>
    <row r="4" spans="1:16" s="2" customFormat="1" ht="15" x14ac:dyDescent="0.2">
      <c r="F4" s="12" t="s">
        <v>981</v>
      </c>
      <c r="G4" s="13" t="str">
        <f>'[1]VRN 01'!G5</f>
        <v>VRI/SOD/2020/Ži</v>
      </c>
      <c r="I4" s="5"/>
      <c r="J4" s="65"/>
      <c r="K4" s="18"/>
      <c r="L4" s="19"/>
      <c r="M4" s="19"/>
      <c r="N4" s="66"/>
    </row>
    <row r="5" spans="1:16" s="2" customFormat="1" ht="15" x14ac:dyDescent="0.2">
      <c r="F5" s="12" t="s">
        <v>983</v>
      </c>
      <c r="G5" s="13" t="s">
        <v>1001</v>
      </c>
      <c r="I5" s="5"/>
      <c r="J5" s="65"/>
      <c r="K5" s="18"/>
      <c r="L5" s="19"/>
      <c r="M5" s="19"/>
      <c r="N5" s="66"/>
    </row>
    <row r="6" spans="1:16" s="2" customFormat="1" ht="15" x14ac:dyDescent="0.2">
      <c r="F6" s="3" t="s">
        <v>984</v>
      </c>
      <c r="G6" s="13" t="str">
        <f>'[1]VRN 01'!G7</f>
        <v>Vododvody a kanalizace Mladá Boleslav, a.s.</v>
      </c>
      <c r="I6" s="5"/>
      <c r="J6" s="65"/>
      <c r="K6" s="18"/>
      <c r="L6" s="19"/>
      <c r="M6" s="19"/>
      <c r="N6" s="66"/>
    </row>
    <row r="7" spans="1:16" s="2" customFormat="1" ht="15" x14ac:dyDescent="0.2">
      <c r="F7" s="3" t="s">
        <v>986</v>
      </c>
      <c r="G7" s="20" t="str">
        <f>'[1]VRN 01'!G8</f>
        <v>VCES a.s.</v>
      </c>
      <c r="H7" s="67"/>
      <c r="I7" s="5"/>
      <c r="J7" s="65"/>
      <c r="K7" s="18"/>
      <c r="L7" s="19"/>
      <c r="M7" s="19"/>
      <c r="N7" s="66"/>
    </row>
    <row r="8" spans="1:16" s="68" customFormat="1" ht="12.75" x14ac:dyDescent="0.2">
      <c r="D8" s="69"/>
      <c r="F8" s="3"/>
      <c r="G8" s="20"/>
      <c r="H8" s="67"/>
      <c r="K8" s="72" t="s">
        <v>996</v>
      </c>
      <c r="L8" s="73" t="str">
        <f>+C12</f>
        <v>05 - PS 03.3 - Systém řízení technologického procesu</v>
      </c>
      <c r="M8" s="73"/>
      <c r="O8" s="74"/>
    </row>
    <row r="9" spans="1:16" s="75" customFormat="1" ht="12.75" customHeight="1" x14ac:dyDescent="0.2">
      <c r="C9" s="76"/>
      <c r="D9" s="77"/>
      <c r="E9" s="77"/>
      <c r="F9" s="77"/>
      <c r="G9" s="77"/>
      <c r="H9" s="77"/>
      <c r="I9" s="78"/>
      <c r="J9" s="79"/>
      <c r="K9" s="332" t="s">
        <v>1266</v>
      </c>
      <c r="L9" s="332"/>
      <c r="M9" s="332"/>
      <c r="N9" s="339" t="s">
        <v>1267</v>
      </c>
      <c r="O9" s="339"/>
      <c r="P9" s="340"/>
    </row>
    <row r="10" spans="1:16" s="75" customFormat="1" ht="21.75" customHeight="1" x14ac:dyDescent="0.2">
      <c r="C10" s="80"/>
      <c r="D10" s="81" t="s">
        <v>997</v>
      </c>
      <c r="E10" s="81" t="s">
        <v>976</v>
      </c>
      <c r="F10" s="81" t="s">
        <v>977</v>
      </c>
      <c r="G10" s="81" t="s">
        <v>64</v>
      </c>
      <c r="H10" s="82" t="s">
        <v>65</v>
      </c>
      <c r="I10" s="83" t="s">
        <v>998</v>
      </c>
      <c r="J10" s="84" t="s">
        <v>978</v>
      </c>
      <c r="K10" s="218" t="s">
        <v>999</v>
      </c>
      <c r="L10" s="219" t="s">
        <v>1260</v>
      </c>
      <c r="M10" s="220" t="s">
        <v>978</v>
      </c>
      <c r="N10" s="263" t="s">
        <v>1264</v>
      </c>
      <c r="O10" s="264" t="s">
        <v>1260</v>
      </c>
      <c r="P10" s="265" t="s">
        <v>978</v>
      </c>
    </row>
    <row r="12" spans="1:16" s="109" customFormat="1" ht="15.75" x14ac:dyDescent="0.25">
      <c r="A12" s="97"/>
      <c r="B12" s="97"/>
      <c r="C12" s="98" t="s">
        <v>926</v>
      </c>
      <c r="D12" s="97"/>
      <c r="E12" s="97"/>
      <c r="F12" s="97"/>
      <c r="G12" s="97"/>
      <c r="H12" s="97"/>
      <c r="I12" s="97"/>
      <c r="J12" s="99">
        <v>0</v>
      </c>
    </row>
    <row r="13" spans="1:16" s="110" customFormat="1" ht="15" x14ac:dyDescent="0.2">
      <c r="D13" s="111" t="s">
        <v>3</v>
      </c>
      <c r="E13" s="112" t="s">
        <v>66</v>
      </c>
      <c r="F13" s="112" t="s">
        <v>476</v>
      </c>
      <c r="J13" s="113">
        <v>0</v>
      </c>
    </row>
    <row r="14" spans="1:16" s="110" customFormat="1" ht="12.75" x14ac:dyDescent="0.2">
      <c r="D14" s="111" t="s">
        <v>3</v>
      </c>
      <c r="E14" s="114" t="s">
        <v>4</v>
      </c>
      <c r="F14" s="114" t="s">
        <v>659</v>
      </c>
      <c r="J14" s="115">
        <v>0</v>
      </c>
    </row>
    <row r="15" spans="1:16" s="110" customFormat="1" ht="12.75" x14ac:dyDescent="0.2">
      <c r="D15" s="111" t="s">
        <v>3</v>
      </c>
      <c r="E15" s="114" t="s">
        <v>7</v>
      </c>
      <c r="F15" s="114" t="s">
        <v>927</v>
      </c>
      <c r="J15" s="115">
        <v>0</v>
      </c>
      <c r="K15" s="103" t="str">
        <f>IF(ISBLANK(H15),"",SUM(#REF!+#REF!+#REF!+#REF!+#REF!+#REF!+#REF!+#REF!+#REF!+#REF!+#REF!,#REF!,#REF!,#REF!,#REF!,#REF!,#REF!,#REF!,#REF!,#REF!,#REF!,#REF!))</f>
        <v/>
      </c>
      <c r="L15" s="104" t="str">
        <f>IF(ISBLANK(H15),"",SUM(#REF!+#REF!+#REF!+#REF!+#REF!+#REF!+#REF!+#REF!+#REF!+#REF!+#REF!,#REF!,#REF!,#REF!,#REF!,#REF!,#REF!,#REF!,#REF!,#REF!,#REF!,#REF!,#REF!))</f>
        <v/>
      </c>
      <c r="M15" s="296">
        <f t="shared" ref="M15" si="0">IFERROR(IF($J15=0,0,L15/$J15),"")</f>
        <v>0</v>
      </c>
      <c r="N15" s="106" t="str">
        <f t="shared" ref="N15:N32" si="1">IF(ISBLANK(H15),"",H15-K15)</f>
        <v/>
      </c>
      <c r="O15" s="107" t="str">
        <f t="shared" ref="O15:O32" si="2">IF(ISBLANK(H15),"",J15-L15)</f>
        <v/>
      </c>
      <c r="P15" s="297">
        <f t="shared" ref="P15:P32" si="3">IFERROR(IF($J15=0,0,O15/$J15),"")</f>
        <v>0</v>
      </c>
    </row>
    <row r="16" spans="1:16" s="109" customFormat="1" ht="12" x14ac:dyDescent="0.2">
      <c r="A16" s="97"/>
      <c r="B16" s="116"/>
      <c r="C16" s="117" t="s">
        <v>7</v>
      </c>
      <c r="D16" s="117" t="s">
        <v>69</v>
      </c>
      <c r="E16" s="118" t="s">
        <v>705</v>
      </c>
      <c r="F16" s="119" t="s">
        <v>928</v>
      </c>
      <c r="G16" s="120" t="s">
        <v>665</v>
      </c>
      <c r="H16" s="121">
        <v>1</v>
      </c>
      <c r="I16" s="122">
        <v>0</v>
      </c>
      <c r="J16" s="122">
        <v>0</v>
      </c>
      <c r="K16" s="85">
        <v>0</v>
      </c>
      <c r="L16" s="86">
        <v>0</v>
      </c>
      <c r="M16" s="277">
        <v>0</v>
      </c>
      <c r="N16" s="87">
        <f t="shared" si="1"/>
        <v>1</v>
      </c>
      <c r="O16" s="88">
        <f t="shared" si="2"/>
        <v>0</v>
      </c>
      <c r="P16" s="278">
        <f t="shared" si="3"/>
        <v>0</v>
      </c>
    </row>
    <row r="17" spans="1:16" s="109" customFormat="1" ht="12" x14ac:dyDescent="0.2">
      <c r="A17" s="97"/>
      <c r="B17" s="116"/>
      <c r="C17" s="117" t="s">
        <v>8</v>
      </c>
      <c r="D17" s="117" t="s">
        <v>69</v>
      </c>
      <c r="E17" s="118" t="s">
        <v>707</v>
      </c>
      <c r="F17" s="119" t="s">
        <v>781</v>
      </c>
      <c r="G17" s="120" t="s">
        <v>665</v>
      </c>
      <c r="H17" s="121">
        <v>1</v>
      </c>
      <c r="I17" s="122">
        <v>0</v>
      </c>
      <c r="J17" s="122">
        <v>0</v>
      </c>
      <c r="K17" s="85">
        <v>0</v>
      </c>
      <c r="L17" s="86">
        <v>0</v>
      </c>
      <c r="M17" s="277">
        <v>0</v>
      </c>
      <c r="N17" s="87">
        <f t="shared" si="1"/>
        <v>1</v>
      </c>
      <c r="O17" s="88">
        <f t="shared" si="2"/>
        <v>0</v>
      </c>
      <c r="P17" s="278">
        <f t="shared" si="3"/>
        <v>0</v>
      </c>
    </row>
    <row r="18" spans="1:16" s="109" customFormat="1" ht="12" x14ac:dyDescent="0.2">
      <c r="A18" s="97"/>
      <c r="B18" s="116"/>
      <c r="C18" s="117" t="s">
        <v>76</v>
      </c>
      <c r="D18" s="117" t="s">
        <v>69</v>
      </c>
      <c r="E18" s="118" t="s">
        <v>709</v>
      </c>
      <c r="F18" s="119" t="s">
        <v>782</v>
      </c>
      <c r="G18" s="120" t="s">
        <v>665</v>
      </c>
      <c r="H18" s="121">
        <v>1</v>
      </c>
      <c r="I18" s="122">
        <v>0</v>
      </c>
      <c r="J18" s="122">
        <v>0</v>
      </c>
      <c r="K18" s="85">
        <v>0</v>
      </c>
      <c r="L18" s="86">
        <v>0</v>
      </c>
      <c r="M18" s="277">
        <v>0</v>
      </c>
      <c r="N18" s="87">
        <f t="shared" si="1"/>
        <v>1</v>
      </c>
      <c r="O18" s="88">
        <f t="shared" si="2"/>
        <v>0</v>
      </c>
      <c r="P18" s="278">
        <f t="shared" si="3"/>
        <v>0</v>
      </c>
    </row>
    <row r="19" spans="1:16" s="109" customFormat="1" ht="24" x14ac:dyDescent="0.2">
      <c r="A19" s="97"/>
      <c r="B19" s="116"/>
      <c r="C19" s="117" t="s">
        <v>73</v>
      </c>
      <c r="D19" s="117" t="s">
        <v>69</v>
      </c>
      <c r="E19" s="118" t="s">
        <v>783</v>
      </c>
      <c r="F19" s="119" t="s">
        <v>784</v>
      </c>
      <c r="G19" s="120" t="s">
        <v>665</v>
      </c>
      <c r="H19" s="121">
        <v>1</v>
      </c>
      <c r="I19" s="122">
        <v>0</v>
      </c>
      <c r="J19" s="122">
        <v>0</v>
      </c>
      <c r="K19" s="85">
        <v>0</v>
      </c>
      <c r="L19" s="86">
        <v>0</v>
      </c>
      <c r="M19" s="277">
        <v>0</v>
      </c>
      <c r="N19" s="87">
        <f t="shared" si="1"/>
        <v>1</v>
      </c>
      <c r="O19" s="88">
        <f t="shared" si="2"/>
        <v>0</v>
      </c>
      <c r="P19" s="278">
        <f t="shared" si="3"/>
        <v>0</v>
      </c>
    </row>
    <row r="20" spans="1:16" s="109" customFormat="1" ht="24" x14ac:dyDescent="0.2">
      <c r="A20" s="97"/>
      <c r="B20" s="116"/>
      <c r="C20" s="117" t="s">
        <v>81</v>
      </c>
      <c r="D20" s="117" t="s">
        <v>69</v>
      </c>
      <c r="E20" s="118" t="s">
        <v>785</v>
      </c>
      <c r="F20" s="119" t="s">
        <v>786</v>
      </c>
      <c r="G20" s="120" t="s">
        <v>665</v>
      </c>
      <c r="H20" s="121">
        <v>1</v>
      </c>
      <c r="I20" s="122">
        <v>0</v>
      </c>
      <c r="J20" s="122">
        <v>0</v>
      </c>
      <c r="K20" s="85">
        <v>0</v>
      </c>
      <c r="L20" s="86">
        <v>0</v>
      </c>
      <c r="M20" s="277">
        <v>0</v>
      </c>
      <c r="N20" s="87">
        <f t="shared" si="1"/>
        <v>1</v>
      </c>
      <c r="O20" s="88">
        <f t="shared" si="2"/>
        <v>0</v>
      </c>
      <c r="P20" s="278">
        <f t="shared" si="3"/>
        <v>0</v>
      </c>
    </row>
    <row r="21" spans="1:16" s="110" customFormat="1" ht="12.75" x14ac:dyDescent="0.2">
      <c r="C21" s="129"/>
      <c r="D21" s="130" t="s">
        <v>3</v>
      </c>
      <c r="E21" s="131" t="s">
        <v>76</v>
      </c>
      <c r="F21" s="131" t="s">
        <v>762</v>
      </c>
      <c r="G21" s="129"/>
      <c r="H21" s="129"/>
      <c r="I21" s="129"/>
      <c r="J21" s="132">
        <v>0</v>
      </c>
      <c r="K21" s="85"/>
      <c r="L21" s="86"/>
      <c r="M21" s="277">
        <v>0</v>
      </c>
      <c r="N21" s="87" t="str">
        <f t="shared" si="1"/>
        <v/>
      </c>
      <c r="O21" s="88" t="str">
        <f t="shared" si="2"/>
        <v/>
      </c>
      <c r="P21" s="278">
        <f t="shared" si="3"/>
        <v>0</v>
      </c>
    </row>
    <row r="22" spans="1:16" s="109" customFormat="1" ht="24" x14ac:dyDescent="0.2">
      <c r="A22" s="97"/>
      <c r="B22" s="116"/>
      <c r="C22" s="117" t="s">
        <v>26</v>
      </c>
      <c r="D22" s="117" t="s">
        <v>69</v>
      </c>
      <c r="E22" s="118" t="s">
        <v>763</v>
      </c>
      <c r="F22" s="119" t="s">
        <v>766</v>
      </c>
      <c r="G22" s="120" t="s">
        <v>665</v>
      </c>
      <c r="H22" s="121">
        <v>1</v>
      </c>
      <c r="I22" s="122">
        <v>0</v>
      </c>
      <c r="J22" s="122">
        <v>0</v>
      </c>
      <c r="K22" s="85">
        <v>0</v>
      </c>
      <c r="L22" s="86">
        <v>0</v>
      </c>
      <c r="M22" s="277">
        <v>0</v>
      </c>
      <c r="N22" s="87">
        <f t="shared" si="1"/>
        <v>1</v>
      </c>
      <c r="O22" s="88">
        <f t="shared" si="2"/>
        <v>0</v>
      </c>
      <c r="P22" s="278">
        <f t="shared" si="3"/>
        <v>0</v>
      </c>
    </row>
    <row r="23" spans="1:16" s="109" customFormat="1" ht="12" x14ac:dyDescent="0.2">
      <c r="A23" s="97"/>
      <c r="B23" s="116"/>
      <c r="C23" s="117" t="s">
        <v>28</v>
      </c>
      <c r="D23" s="117" t="s">
        <v>69</v>
      </c>
      <c r="E23" s="118" t="s">
        <v>765</v>
      </c>
      <c r="F23" s="119" t="s">
        <v>770</v>
      </c>
      <c r="G23" s="120" t="s">
        <v>665</v>
      </c>
      <c r="H23" s="121">
        <v>1</v>
      </c>
      <c r="I23" s="122">
        <v>0</v>
      </c>
      <c r="J23" s="122">
        <v>0</v>
      </c>
      <c r="K23" s="85">
        <v>0</v>
      </c>
      <c r="L23" s="86">
        <v>0</v>
      </c>
      <c r="M23" s="277">
        <v>0</v>
      </c>
      <c r="N23" s="87">
        <f t="shared" si="1"/>
        <v>1</v>
      </c>
      <c r="O23" s="88">
        <f t="shared" si="2"/>
        <v>0</v>
      </c>
      <c r="P23" s="278">
        <f t="shared" si="3"/>
        <v>0</v>
      </c>
    </row>
    <row r="24" spans="1:16" s="109" customFormat="1" ht="24" x14ac:dyDescent="0.2">
      <c r="A24" s="97"/>
      <c r="B24" s="116"/>
      <c r="C24" s="117" t="s">
        <v>30</v>
      </c>
      <c r="D24" s="117" t="s">
        <v>69</v>
      </c>
      <c r="E24" s="118" t="s">
        <v>767</v>
      </c>
      <c r="F24" s="119" t="s">
        <v>772</v>
      </c>
      <c r="G24" s="120" t="s">
        <v>665</v>
      </c>
      <c r="H24" s="121">
        <v>1</v>
      </c>
      <c r="I24" s="122">
        <v>0</v>
      </c>
      <c r="J24" s="122">
        <v>0</v>
      </c>
      <c r="K24" s="85">
        <v>0</v>
      </c>
      <c r="L24" s="86">
        <v>0</v>
      </c>
      <c r="M24" s="277">
        <v>0</v>
      </c>
      <c r="N24" s="87">
        <f t="shared" si="1"/>
        <v>1</v>
      </c>
      <c r="O24" s="88">
        <f t="shared" si="2"/>
        <v>0</v>
      </c>
      <c r="P24" s="278">
        <f t="shared" si="3"/>
        <v>0</v>
      </c>
    </row>
    <row r="25" spans="1:16" s="109" customFormat="1" ht="12" x14ac:dyDescent="0.2">
      <c r="A25" s="97"/>
      <c r="B25" s="116"/>
      <c r="C25" s="117" t="s">
        <v>32</v>
      </c>
      <c r="D25" s="117" t="s">
        <v>69</v>
      </c>
      <c r="E25" s="118" t="s">
        <v>769</v>
      </c>
      <c r="F25" s="119" t="s">
        <v>774</v>
      </c>
      <c r="G25" s="120" t="s">
        <v>665</v>
      </c>
      <c r="H25" s="121">
        <v>1</v>
      </c>
      <c r="I25" s="122">
        <v>0</v>
      </c>
      <c r="J25" s="122">
        <v>0</v>
      </c>
      <c r="K25" s="85">
        <v>0</v>
      </c>
      <c r="L25" s="86">
        <v>0</v>
      </c>
      <c r="M25" s="277">
        <v>0</v>
      </c>
      <c r="N25" s="87">
        <f t="shared" si="1"/>
        <v>1</v>
      </c>
      <c r="O25" s="88">
        <f t="shared" si="2"/>
        <v>0</v>
      </c>
      <c r="P25" s="278">
        <f t="shared" si="3"/>
        <v>0</v>
      </c>
    </row>
    <row r="26" spans="1:16" s="109" customFormat="1" ht="12" x14ac:dyDescent="0.2">
      <c r="A26" s="97"/>
      <c r="B26" s="116"/>
      <c r="C26" s="117" t="s">
        <v>34</v>
      </c>
      <c r="D26" s="117" t="s">
        <v>69</v>
      </c>
      <c r="E26" s="118" t="s">
        <v>771</v>
      </c>
      <c r="F26" s="119" t="s">
        <v>776</v>
      </c>
      <c r="G26" s="120" t="s">
        <v>665</v>
      </c>
      <c r="H26" s="121">
        <v>1</v>
      </c>
      <c r="I26" s="122">
        <v>0</v>
      </c>
      <c r="J26" s="122">
        <v>0</v>
      </c>
      <c r="K26" s="85">
        <v>0</v>
      </c>
      <c r="L26" s="86">
        <v>0</v>
      </c>
      <c r="M26" s="277">
        <v>0</v>
      </c>
      <c r="N26" s="87">
        <f t="shared" si="1"/>
        <v>1</v>
      </c>
      <c r="O26" s="88">
        <f t="shared" si="2"/>
        <v>0</v>
      </c>
      <c r="P26" s="278">
        <f t="shared" si="3"/>
        <v>0</v>
      </c>
    </row>
    <row r="27" spans="1:16" s="109" customFormat="1" ht="12" x14ac:dyDescent="0.2">
      <c r="A27" s="97"/>
      <c r="B27" s="116"/>
      <c r="C27" s="117" t="s">
        <v>1</v>
      </c>
      <c r="D27" s="117" t="s">
        <v>69</v>
      </c>
      <c r="E27" s="118" t="s">
        <v>773</v>
      </c>
      <c r="F27" s="119" t="s">
        <v>778</v>
      </c>
      <c r="G27" s="120" t="s">
        <v>665</v>
      </c>
      <c r="H27" s="121">
        <v>1</v>
      </c>
      <c r="I27" s="122">
        <v>0</v>
      </c>
      <c r="J27" s="122">
        <v>0</v>
      </c>
      <c r="K27" s="85">
        <v>0</v>
      </c>
      <c r="L27" s="86">
        <v>0</v>
      </c>
      <c r="M27" s="277">
        <v>0</v>
      </c>
      <c r="N27" s="87">
        <f t="shared" si="1"/>
        <v>1</v>
      </c>
      <c r="O27" s="88">
        <f t="shared" si="2"/>
        <v>0</v>
      </c>
      <c r="P27" s="278">
        <f t="shared" si="3"/>
        <v>0</v>
      </c>
    </row>
    <row r="28" spans="1:16" s="110" customFormat="1" ht="12.75" x14ac:dyDescent="0.2">
      <c r="C28" s="129"/>
      <c r="D28" s="130" t="s">
        <v>3</v>
      </c>
      <c r="E28" s="131" t="s">
        <v>8</v>
      </c>
      <c r="F28" s="131" t="s">
        <v>713</v>
      </c>
      <c r="G28" s="129"/>
      <c r="H28" s="129"/>
      <c r="I28" s="129"/>
      <c r="J28" s="132">
        <v>0</v>
      </c>
      <c r="K28" s="85">
        <v>0</v>
      </c>
      <c r="L28" s="86">
        <v>0</v>
      </c>
      <c r="M28" s="277">
        <v>0</v>
      </c>
      <c r="N28" s="87" t="str">
        <f t="shared" si="1"/>
        <v/>
      </c>
      <c r="O28" s="88" t="str">
        <f t="shared" si="2"/>
        <v/>
      </c>
      <c r="P28" s="278">
        <f t="shared" si="3"/>
        <v>0</v>
      </c>
    </row>
    <row r="29" spans="1:16" s="109" customFormat="1" ht="36" x14ac:dyDescent="0.2">
      <c r="A29" s="97"/>
      <c r="B29" s="116"/>
      <c r="C29" s="123" t="s">
        <v>84</v>
      </c>
      <c r="D29" s="123" t="s">
        <v>127</v>
      </c>
      <c r="E29" s="124" t="s">
        <v>750</v>
      </c>
      <c r="F29" s="125" t="s">
        <v>929</v>
      </c>
      <c r="G29" s="126" t="s">
        <v>665</v>
      </c>
      <c r="H29" s="127">
        <v>1</v>
      </c>
      <c r="I29" s="128">
        <v>0</v>
      </c>
      <c r="J29" s="128">
        <v>0</v>
      </c>
      <c r="K29" s="85">
        <v>0</v>
      </c>
      <c r="L29" s="86">
        <v>0</v>
      </c>
      <c r="M29" s="277">
        <v>0</v>
      </c>
      <c r="N29" s="87">
        <f t="shared" si="1"/>
        <v>1</v>
      </c>
      <c r="O29" s="88">
        <f t="shared" si="2"/>
        <v>0</v>
      </c>
      <c r="P29" s="278">
        <f t="shared" si="3"/>
        <v>0</v>
      </c>
    </row>
    <row r="30" spans="1:16" s="109" customFormat="1" ht="36" x14ac:dyDescent="0.2">
      <c r="A30" s="97"/>
      <c r="B30" s="116"/>
      <c r="C30" s="123" t="s">
        <v>87</v>
      </c>
      <c r="D30" s="123" t="s">
        <v>127</v>
      </c>
      <c r="E30" s="124" t="s">
        <v>756</v>
      </c>
      <c r="F30" s="125" t="s">
        <v>930</v>
      </c>
      <c r="G30" s="126" t="s">
        <v>665</v>
      </c>
      <c r="H30" s="127">
        <v>1</v>
      </c>
      <c r="I30" s="128">
        <v>0</v>
      </c>
      <c r="J30" s="128">
        <v>0</v>
      </c>
      <c r="K30" s="85">
        <v>0</v>
      </c>
      <c r="L30" s="86">
        <v>0</v>
      </c>
      <c r="M30" s="277">
        <v>0</v>
      </c>
      <c r="N30" s="87">
        <f t="shared" si="1"/>
        <v>1</v>
      </c>
      <c r="O30" s="88">
        <f t="shared" si="2"/>
        <v>0</v>
      </c>
      <c r="P30" s="278">
        <f t="shared" si="3"/>
        <v>0</v>
      </c>
    </row>
    <row r="31" spans="1:16" s="109" customFormat="1" ht="24" x14ac:dyDescent="0.2">
      <c r="A31" s="97"/>
      <c r="B31" s="116"/>
      <c r="C31" s="123" t="s">
        <v>90</v>
      </c>
      <c r="D31" s="123" t="s">
        <v>127</v>
      </c>
      <c r="E31" s="124" t="s">
        <v>789</v>
      </c>
      <c r="F31" s="125" t="s">
        <v>931</v>
      </c>
      <c r="G31" s="126" t="s">
        <v>665</v>
      </c>
      <c r="H31" s="127">
        <v>1</v>
      </c>
      <c r="I31" s="128">
        <v>0</v>
      </c>
      <c r="J31" s="128">
        <v>0</v>
      </c>
      <c r="K31" s="85">
        <v>0</v>
      </c>
      <c r="L31" s="86">
        <v>0</v>
      </c>
      <c r="M31" s="277">
        <v>0</v>
      </c>
      <c r="N31" s="87">
        <f t="shared" si="1"/>
        <v>1</v>
      </c>
      <c r="O31" s="88">
        <f t="shared" si="2"/>
        <v>0</v>
      </c>
      <c r="P31" s="278">
        <f t="shared" si="3"/>
        <v>0</v>
      </c>
    </row>
    <row r="32" spans="1:16" s="109" customFormat="1" ht="12" x14ac:dyDescent="0.2">
      <c r="A32" s="97"/>
      <c r="B32" s="116"/>
      <c r="C32" s="123" t="s">
        <v>93</v>
      </c>
      <c r="D32" s="123" t="s">
        <v>127</v>
      </c>
      <c r="E32" s="124" t="s">
        <v>791</v>
      </c>
      <c r="F32" s="125" t="s">
        <v>792</v>
      </c>
      <c r="G32" s="126" t="s">
        <v>665</v>
      </c>
      <c r="H32" s="127">
        <v>1</v>
      </c>
      <c r="I32" s="128">
        <v>0</v>
      </c>
      <c r="J32" s="128">
        <v>0</v>
      </c>
      <c r="K32" s="85">
        <v>0</v>
      </c>
      <c r="L32" s="86">
        <v>0</v>
      </c>
      <c r="M32" s="277">
        <v>0</v>
      </c>
      <c r="N32" s="87">
        <f t="shared" si="1"/>
        <v>1</v>
      </c>
      <c r="O32" s="88">
        <f t="shared" si="2"/>
        <v>0</v>
      </c>
      <c r="P32" s="278">
        <f t="shared" si="3"/>
        <v>0</v>
      </c>
    </row>
    <row r="33" spans="1:16" s="109" customFormat="1" x14ac:dyDescent="0.2">
      <c r="A33" s="97"/>
      <c r="B33" s="97"/>
      <c r="C33" s="97"/>
      <c r="D33" s="97"/>
      <c r="E33" s="97"/>
      <c r="F33" s="97"/>
      <c r="G33" s="97"/>
      <c r="H33" s="97"/>
      <c r="I33" s="97"/>
      <c r="J33" s="97"/>
    </row>
    <row r="34" spans="1:16" ht="12.75" x14ac:dyDescent="0.2">
      <c r="D34" s="89"/>
      <c r="E34" s="141" t="str">
        <f>CONCATENATE("CELKEM ",C$12)</f>
        <v>CELKEM 05 - PS 03.3 - Systém řízení technologického procesu</v>
      </c>
      <c r="F34" s="90"/>
      <c r="G34" s="90"/>
      <c r="H34" s="91"/>
      <c r="I34" s="90"/>
      <c r="J34" s="92">
        <v>0</v>
      </c>
      <c r="K34" s="94"/>
      <c r="L34" s="92"/>
      <c r="M34" s="147">
        <f>M32</f>
        <v>0</v>
      </c>
      <c r="N34" s="94"/>
      <c r="O34" s="92"/>
      <c r="P34" s="295">
        <f>P32</f>
        <v>0</v>
      </c>
    </row>
    <row r="35" spans="1:16" x14ac:dyDescent="0.2">
      <c r="I35" s="95"/>
    </row>
    <row r="36" spans="1:16" ht="14.25" x14ac:dyDescent="0.2">
      <c r="E36" s="58" t="s">
        <v>994</v>
      </c>
      <c r="F36" s="58"/>
      <c r="H36" s="96"/>
      <c r="J36" s="161"/>
      <c r="K36" s="58" t="s">
        <v>995</v>
      </c>
    </row>
  </sheetData>
  <protectedRanges>
    <protectedRange password="CCAA" sqref="K8" name="Oblast1_1_1_1_1_1_1"/>
    <protectedRange password="CCAA" sqref="D9:H10" name="Oblast1_2_1_1_1_1_1"/>
  </protectedRanges>
  <mergeCells count="2">
    <mergeCell ref="K9:M9"/>
    <mergeCell ref="N9:P9"/>
  </mergeCells>
  <conditionalFormatting sqref="D3:E7 H3:J7 K8:GF8 Q9:GF10 D1:J2 K1:GE7 K15:L32">
    <cfRule type="cellIs" dxfId="34" priority="85" operator="lessThan">
      <formula>0</formula>
    </cfRule>
  </conditionalFormatting>
  <conditionalFormatting sqref="G4">
    <cfRule type="cellIs" dxfId="33" priority="84" operator="lessThan">
      <formula>0</formula>
    </cfRule>
  </conditionalFormatting>
  <conditionalFormatting sqref="G3">
    <cfRule type="cellIs" dxfId="32" priority="83" operator="lessThan">
      <formula>0</formula>
    </cfRule>
  </conditionalFormatting>
  <conditionalFormatting sqref="D8:E8 H8:J8">
    <cfRule type="cellIs" dxfId="31" priority="82" operator="lessThan">
      <formula>0</formula>
    </cfRule>
  </conditionalFormatting>
  <conditionalFormatting sqref="N15:O32">
    <cfRule type="cellIs" dxfId="30" priority="33" operator="lessThan">
      <formula>0</formula>
    </cfRule>
  </conditionalFormatting>
  <conditionalFormatting sqref="N15:O32">
    <cfRule type="cellIs" dxfId="29" priority="32" operator="lessThan">
      <formula>0</formula>
    </cfRule>
  </conditionalFormatting>
  <conditionalFormatting sqref="K34 N34 P34:GP34">
    <cfRule type="cellIs" dxfId="28" priority="31" operator="lessThan">
      <formula>0</formula>
    </cfRule>
  </conditionalFormatting>
  <conditionalFormatting sqref="D34:J34">
    <cfRule type="cellIs" dxfId="27" priority="29" operator="lessThan">
      <formula>0</formula>
    </cfRule>
  </conditionalFormatting>
  <conditionalFormatting sqref="L36:HS36 D36 G36:I36">
    <cfRule type="cellIs" dxfId="26" priority="19" operator="lessThan">
      <formula>0</formula>
    </cfRule>
  </conditionalFormatting>
  <conditionalFormatting sqref="G36:I36 L36:M36">
    <cfRule type="cellIs" dxfId="25" priority="18" operator="lessThan">
      <formula>0</formula>
    </cfRule>
  </conditionalFormatting>
  <conditionalFormatting sqref="G36:I36">
    <cfRule type="cellIs" dxfId="24" priority="17" operator="lessThan">
      <formula>0</formula>
    </cfRule>
  </conditionalFormatting>
  <conditionalFormatting sqref="G36:I36">
    <cfRule type="cellIs" dxfId="23" priority="16" operator="lessThan">
      <formula>0</formula>
    </cfRule>
  </conditionalFormatting>
  <conditionalFormatting sqref="M34">
    <cfRule type="cellIs" dxfId="22" priority="6" operator="lessThan">
      <formula>0</formula>
    </cfRule>
  </conditionalFormatting>
  <conditionalFormatting sqref="L34 O34">
    <cfRule type="cellIs" dxfId="21" priority="4" operator="lessThan">
      <formula>0</formula>
    </cfRule>
  </conditionalFormatting>
  <conditionalFormatting sqref="D9:J10">
    <cfRule type="cellIs" dxfId="20" priority="3" operator="lessThan">
      <formula>0</formula>
    </cfRule>
  </conditionalFormatting>
  <conditionalFormatting sqref="K9:L10 N9:O9">
    <cfRule type="cellIs" dxfId="19" priority="2" operator="lessThan">
      <formula>0</formula>
    </cfRule>
  </conditionalFormatting>
  <conditionalFormatting sqref="M10:P10">
    <cfRule type="cellIs" dxfId="18" priority="1" operator="lessThan">
      <formula>0</formula>
    </cfRule>
  </conditionalFormatting>
  <pageMargins left="0.39370078740157483" right="0.39370078740157483" top="0.39370078740157483" bottom="0.39370078740157483" header="0" footer="0"/>
  <pageSetup paperSize="9" scale="63" fitToHeight="0" orientation="portrait" r:id="rId1"/>
  <headerFooter>
    <oddFooter>&amp;CStrana &amp;P z &amp;N</oddFooter>
  </headerFooter>
  <drawing r:id="rId2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000-000000000000}">
  <sheetPr>
    <pageSetUpPr fitToPage="1"/>
  </sheetPr>
  <dimension ref="A1:P31"/>
  <sheetViews>
    <sheetView showGridLines="0" view="pageBreakPreview" topLeftCell="B7" zoomScale="60" zoomScaleNormal="100" workbookViewId="0">
      <selection activeCell="J31" sqref="J31"/>
    </sheetView>
  </sheetViews>
  <sheetFormatPr defaultColWidth="9.33203125" defaultRowHeight="11.25" x14ac:dyDescent="0.2"/>
  <cols>
    <col min="1" max="1" width="8.33203125" style="60" customWidth="1"/>
    <col min="2" max="2" width="1.6640625" style="60" customWidth="1"/>
    <col min="3" max="3" width="4.1640625" style="60" customWidth="1"/>
    <col min="4" max="4" width="4.33203125" style="60" customWidth="1"/>
    <col min="5" max="5" width="17.1640625" style="60" customWidth="1"/>
    <col min="6" max="6" width="50.83203125" style="60" customWidth="1"/>
    <col min="7" max="7" width="7" style="60" customWidth="1"/>
    <col min="8" max="8" width="11.5" style="60" customWidth="1"/>
    <col min="9" max="9" width="20.1640625" style="60" customWidth="1"/>
    <col min="10" max="10" width="21.83203125" style="60" bestFit="1" customWidth="1"/>
    <col min="11" max="18" width="14.5" style="60" customWidth="1"/>
    <col min="19" max="16384" width="9.33203125" style="60"/>
  </cols>
  <sheetData>
    <row r="1" spans="1:16" ht="15" x14ac:dyDescent="0.2">
      <c r="F1" s="3"/>
      <c r="G1" s="4"/>
      <c r="H1" s="1"/>
      <c r="J1" s="61"/>
    </row>
    <row r="2" spans="1:16" s="1" customFormat="1" ht="15" x14ac:dyDescent="0.2">
      <c r="E2" s="2"/>
      <c r="F2" s="3" t="s">
        <v>979</v>
      </c>
      <c r="G2" s="4" t="str">
        <f>'[1]VRN 01'!G3</f>
        <v>Odkanalizování povodí Jizery - část B</v>
      </c>
      <c r="I2" s="5"/>
      <c r="J2" s="63"/>
      <c r="K2" s="10"/>
      <c r="L2" s="11"/>
      <c r="M2" s="11"/>
      <c r="N2" s="64"/>
    </row>
    <row r="3" spans="1:16" s="1" customFormat="1" ht="15" x14ac:dyDescent="0.2">
      <c r="E3" s="2"/>
      <c r="F3" s="3" t="s">
        <v>980</v>
      </c>
      <c r="G3" s="4" t="str">
        <f>+'Rekapitulace stavby'!D2</f>
        <v>ÚHERCE, výstavba kanalizace - UZNATELNÉ NÁKLADY - doměrky</v>
      </c>
      <c r="H3" s="2"/>
      <c r="I3" s="5"/>
      <c r="J3" s="63"/>
      <c r="K3" s="10"/>
      <c r="L3" s="11"/>
      <c r="M3" s="11"/>
      <c r="N3" s="64"/>
    </row>
    <row r="4" spans="1:16" s="2" customFormat="1" ht="15" x14ac:dyDescent="0.2">
      <c r="F4" s="12" t="s">
        <v>981</v>
      </c>
      <c r="G4" s="13" t="str">
        <f>'[1]VRN 01'!G5</f>
        <v>VRI/SOD/2020/Ži</v>
      </c>
      <c r="I4" s="5"/>
      <c r="J4" s="65"/>
      <c r="K4" s="18"/>
      <c r="L4" s="19"/>
      <c r="M4" s="19"/>
      <c r="N4" s="66"/>
    </row>
    <row r="5" spans="1:16" s="2" customFormat="1" ht="15" x14ac:dyDescent="0.2">
      <c r="F5" s="12" t="s">
        <v>983</v>
      </c>
      <c r="G5" s="13" t="s">
        <v>1001</v>
      </c>
      <c r="I5" s="5"/>
      <c r="J5" s="65"/>
      <c r="K5" s="18"/>
      <c r="L5" s="19"/>
      <c r="M5" s="19"/>
      <c r="N5" s="66"/>
    </row>
    <row r="6" spans="1:16" s="2" customFormat="1" ht="15" x14ac:dyDescent="0.2">
      <c r="F6" s="3" t="s">
        <v>984</v>
      </c>
      <c r="G6" s="13" t="str">
        <f>'[1]VRN 01'!G7</f>
        <v>Vododvody a kanalizace Mladá Boleslav, a.s.</v>
      </c>
      <c r="I6" s="5"/>
      <c r="J6" s="65"/>
      <c r="K6" s="18"/>
      <c r="L6" s="19"/>
      <c r="M6" s="19"/>
      <c r="N6" s="66"/>
    </row>
    <row r="7" spans="1:16" s="2" customFormat="1" ht="15" x14ac:dyDescent="0.2">
      <c r="F7" s="3" t="s">
        <v>986</v>
      </c>
      <c r="G7" s="20" t="str">
        <f>'[1]VRN 01'!G8</f>
        <v>VCES a.s.</v>
      </c>
      <c r="H7" s="67"/>
      <c r="I7" s="5"/>
      <c r="J7" s="65"/>
      <c r="K7" s="18"/>
      <c r="L7" s="19"/>
      <c r="M7" s="19"/>
      <c r="N7" s="66"/>
    </row>
    <row r="8" spans="1:16" s="68" customFormat="1" ht="12.75" x14ac:dyDescent="0.2">
      <c r="D8" s="69"/>
      <c r="F8" s="3"/>
      <c r="G8" s="20"/>
      <c r="H8" s="67"/>
      <c r="K8" s="72" t="s">
        <v>996</v>
      </c>
      <c r="L8" s="73" t="str">
        <f>+C12</f>
        <v>07 - SO 03.1 - Přípojka NN pro ČSOV 2</v>
      </c>
      <c r="M8" s="73"/>
      <c r="O8" s="74"/>
    </row>
    <row r="9" spans="1:16" s="75" customFormat="1" ht="12.75" customHeight="1" x14ac:dyDescent="0.2">
      <c r="C9" s="76"/>
      <c r="D9" s="77"/>
      <c r="E9" s="77"/>
      <c r="F9" s="77"/>
      <c r="G9" s="77"/>
      <c r="H9" s="77"/>
      <c r="I9" s="78"/>
      <c r="J9" s="79"/>
      <c r="K9" s="332" t="s">
        <v>1266</v>
      </c>
      <c r="L9" s="332"/>
      <c r="M9" s="332"/>
      <c r="N9" s="339" t="s">
        <v>1267</v>
      </c>
      <c r="O9" s="339"/>
      <c r="P9" s="340"/>
    </row>
    <row r="10" spans="1:16" s="75" customFormat="1" ht="24" x14ac:dyDescent="0.2">
      <c r="C10" s="80"/>
      <c r="D10" s="81" t="s">
        <v>997</v>
      </c>
      <c r="E10" s="81" t="s">
        <v>976</v>
      </c>
      <c r="F10" s="81" t="s">
        <v>977</v>
      </c>
      <c r="G10" s="81" t="s">
        <v>64</v>
      </c>
      <c r="H10" s="82" t="s">
        <v>65</v>
      </c>
      <c r="I10" s="83" t="s">
        <v>998</v>
      </c>
      <c r="J10" s="84" t="s">
        <v>978</v>
      </c>
      <c r="K10" s="218" t="s">
        <v>999</v>
      </c>
      <c r="L10" s="219" t="s">
        <v>1260</v>
      </c>
      <c r="M10" s="220" t="s">
        <v>978</v>
      </c>
      <c r="N10" s="263" t="s">
        <v>1264</v>
      </c>
      <c r="O10" s="264" t="s">
        <v>1260</v>
      </c>
      <c r="P10" s="265" t="s">
        <v>978</v>
      </c>
    </row>
    <row r="12" spans="1:16" s="109" customFormat="1" ht="15.75" x14ac:dyDescent="0.25">
      <c r="A12" s="97"/>
      <c r="B12" s="97"/>
      <c r="C12" s="98" t="s">
        <v>932</v>
      </c>
      <c r="D12" s="97"/>
      <c r="E12" s="97"/>
      <c r="F12" s="97"/>
      <c r="G12" s="97"/>
      <c r="H12" s="97"/>
      <c r="I12" s="97"/>
      <c r="J12" s="99">
        <v>22067.74</v>
      </c>
    </row>
    <row r="13" spans="1:16" s="110" customFormat="1" ht="15" x14ac:dyDescent="0.2">
      <c r="D13" s="111" t="s">
        <v>3</v>
      </c>
      <c r="E13" s="112" t="s">
        <v>587</v>
      </c>
      <c r="F13" s="112" t="s">
        <v>588</v>
      </c>
      <c r="J13" s="113">
        <v>20834.150000000001</v>
      </c>
    </row>
    <row r="14" spans="1:16" s="110" customFormat="1" ht="12.75" x14ac:dyDescent="0.2">
      <c r="D14" s="111" t="s">
        <v>3</v>
      </c>
      <c r="E14" s="114" t="s">
        <v>794</v>
      </c>
      <c r="F14" s="114" t="s">
        <v>795</v>
      </c>
      <c r="J14" s="115">
        <v>20834.150000000001</v>
      </c>
      <c r="K14" s="103" t="str">
        <f>IF(ISBLANK(H14),"",SUM(#REF!+#REF!+#REF!+#REF!+#REF!+#REF!+#REF!+#REF!+#REF!+#REF!+#REF!,#REF!,#REF!,#REF!,#REF!,#REF!,#REF!,#REF!,#REF!,#REF!,#REF!,#REF!))</f>
        <v/>
      </c>
      <c r="L14" s="104" t="str">
        <f>IF(ISBLANK(H14),"",SUM(#REF!+#REF!+#REF!+#REF!+#REF!+#REF!+#REF!+#REF!+#REF!+#REF!+#REF!,#REF!,#REF!,#REF!,#REF!,#REF!,#REF!,#REF!,#REF!,#REF!,#REF!,#REF!,#REF!))</f>
        <v/>
      </c>
      <c r="M14" s="296">
        <f>SUM(M15:M23)</f>
        <v>-6353.2800000000007</v>
      </c>
      <c r="N14" s="296"/>
      <c r="O14" s="296"/>
      <c r="P14" s="296">
        <f t="shared" ref="P14" si="0">SUM(P15:P23)</f>
        <v>14480.869999999999</v>
      </c>
    </row>
    <row r="15" spans="1:16" s="109" customFormat="1" ht="36" x14ac:dyDescent="0.2">
      <c r="A15" s="97"/>
      <c r="B15" s="116"/>
      <c r="C15" s="117" t="s">
        <v>7</v>
      </c>
      <c r="D15" s="117" t="s">
        <v>69</v>
      </c>
      <c r="E15" s="118" t="s">
        <v>796</v>
      </c>
      <c r="F15" s="119" t="s">
        <v>797</v>
      </c>
      <c r="G15" s="120" t="s">
        <v>61</v>
      </c>
      <c r="H15" s="121">
        <v>80</v>
      </c>
      <c r="I15" s="122">
        <v>59.18</v>
      </c>
      <c r="J15" s="122">
        <v>4734.3999999999996</v>
      </c>
      <c r="K15" s="85">
        <v>-36</v>
      </c>
      <c r="L15" s="86">
        <f>I15</f>
        <v>59.18</v>
      </c>
      <c r="M15" s="277">
        <f>K15*L15</f>
        <v>-2130.48</v>
      </c>
      <c r="N15" s="87">
        <f>H15+K15</f>
        <v>44</v>
      </c>
      <c r="O15" s="88">
        <f>I15</f>
        <v>59.18</v>
      </c>
      <c r="P15" s="278">
        <f>N15*O15</f>
        <v>2603.92</v>
      </c>
    </row>
    <row r="16" spans="1:16" s="109" customFormat="1" ht="24" x14ac:dyDescent="0.2">
      <c r="A16" s="97"/>
      <c r="B16" s="116"/>
      <c r="C16" s="123" t="s">
        <v>8</v>
      </c>
      <c r="D16" s="123" t="s">
        <v>127</v>
      </c>
      <c r="E16" s="124" t="s">
        <v>798</v>
      </c>
      <c r="F16" s="125" t="s">
        <v>799</v>
      </c>
      <c r="G16" s="126" t="s">
        <v>61</v>
      </c>
      <c r="H16" s="127">
        <v>80</v>
      </c>
      <c r="I16" s="128">
        <v>26.17</v>
      </c>
      <c r="J16" s="128">
        <v>2093.6</v>
      </c>
      <c r="K16" s="85">
        <v>-36</v>
      </c>
      <c r="L16" s="86">
        <f t="shared" ref="L16:L27" si="1">I16</f>
        <v>26.17</v>
      </c>
      <c r="M16" s="277">
        <f t="shared" ref="M16:M27" si="2">K16*L16</f>
        <v>-942.12000000000012</v>
      </c>
      <c r="N16" s="87">
        <f t="shared" ref="N16:N27" si="3">H16+K16</f>
        <v>44</v>
      </c>
      <c r="O16" s="88">
        <f t="shared" ref="O16:O27" si="4">I16</f>
        <v>26.17</v>
      </c>
      <c r="P16" s="278">
        <f t="shared" ref="P16:P27" si="5">N16*O16</f>
        <v>1151.48</v>
      </c>
    </row>
    <row r="17" spans="1:16" s="109" customFormat="1" ht="24" x14ac:dyDescent="0.2">
      <c r="A17" s="97"/>
      <c r="B17" s="116"/>
      <c r="C17" s="123" t="s">
        <v>76</v>
      </c>
      <c r="D17" s="123" t="s">
        <v>127</v>
      </c>
      <c r="E17" s="124" t="s">
        <v>800</v>
      </c>
      <c r="F17" s="125" t="s">
        <v>801</v>
      </c>
      <c r="G17" s="126" t="s">
        <v>138</v>
      </c>
      <c r="H17" s="127">
        <v>2</v>
      </c>
      <c r="I17" s="128">
        <v>414.29</v>
      </c>
      <c r="J17" s="128">
        <v>828.58</v>
      </c>
      <c r="K17" s="85">
        <v>0</v>
      </c>
      <c r="L17" s="86">
        <f t="shared" si="1"/>
        <v>414.29</v>
      </c>
      <c r="M17" s="277">
        <f t="shared" si="2"/>
        <v>0</v>
      </c>
      <c r="N17" s="87">
        <f t="shared" si="3"/>
        <v>2</v>
      </c>
      <c r="O17" s="88">
        <f t="shared" si="4"/>
        <v>414.29</v>
      </c>
      <c r="P17" s="278">
        <f t="shared" si="5"/>
        <v>828.58</v>
      </c>
    </row>
    <row r="18" spans="1:16" s="109" customFormat="1" ht="24" x14ac:dyDescent="0.2">
      <c r="A18" s="97"/>
      <c r="B18" s="116"/>
      <c r="C18" s="123" t="s">
        <v>73</v>
      </c>
      <c r="D18" s="123" t="s">
        <v>127</v>
      </c>
      <c r="E18" s="124" t="s">
        <v>802</v>
      </c>
      <c r="F18" s="125" t="s">
        <v>803</v>
      </c>
      <c r="G18" s="126" t="s">
        <v>804</v>
      </c>
      <c r="H18" s="127">
        <v>4</v>
      </c>
      <c r="I18" s="128">
        <v>7.89</v>
      </c>
      <c r="J18" s="128">
        <v>31.56</v>
      </c>
      <c r="K18" s="85">
        <v>0</v>
      </c>
      <c r="L18" s="86">
        <f t="shared" si="1"/>
        <v>7.89</v>
      </c>
      <c r="M18" s="277">
        <f t="shared" si="2"/>
        <v>0</v>
      </c>
      <c r="N18" s="87">
        <f t="shared" si="3"/>
        <v>4</v>
      </c>
      <c r="O18" s="88">
        <f t="shared" si="4"/>
        <v>7.89</v>
      </c>
      <c r="P18" s="278">
        <f t="shared" si="5"/>
        <v>31.56</v>
      </c>
    </row>
    <row r="19" spans="1:16" s="109" customFormat="1" ht="12" x14ac:dyDescent="0.2">
      <c r="A19" s="97"/>
      <c r="B19" s="116"/>
      <c r="C19" s="123" t="s">
        <v>81</v>
      </c>
      <c r="D19" s="123" t="s">
        <v>127</v>
      </c>
      <c r="E19" s="124" t="s">
        <v>805</v>
      </c>
      <c r="F19" s="125" t="s">
        <v>806</v>
      </c>
      <c r="G19" s="126" t="s">
        <v>61</v>
      </c>
      <c r="H19" s="127">
        <v>4</v>
      </c>
      <c r="I19" s="128">
        <v>36.56</v>
      </c>
      <c r="J19" s="128">
        <v>146.24</v>
      </c>
      <c r="K19" s="85">
        <v>0</v>
      </c>
      <c r="L19" s="86">
        <f t="shared" si="1"/>
        <v>36.56</v>
      </c>
      <c r="M19" s="277">
        <f t="shared" si="2"/>
        <v>0</v>
      </c>
      <c r="N19" s="87">
        <f t="shared" si="3"/>
        <v>4</v>
      </c>
      <c r="O19" s="88">
        <f t="shared" si="4"/>
        <v>36.56</v>
      </c>
      <c r="P19" s="278">
        <f t="shared" si="5"/>
        <v>146.24</v>
      </c>
    </row>
    <row r="20" spans="1:16" s="109" customFormat="1" ht="36" x14ac:dyDescent="0.2">
      <c r="A20" s="97"/>
      <c r="B20" s="116"/>
      <c r="C20" s="117" t="s">
        <v>84</v>
      </c>
      <c r="D20" s="117" t="s">
        <v>69</v>
      </c>
      <c r="E20" s="118" t="s">
        <v>807</v>
      </c>
      <c r="F20" s="119" t="s">
        <v>808</v>
      </c>
      <c r="G20" s="120" t="s">
        <v>61</v>
      </c>
      <c r="H20" s="121">
        <v>80</v>
      </c>
      <c r="I20" s="122">
        <v>32.880000000000003</v>
      </c>
      <c r="J20" s="122">
        <v>2630.4</v>
      </c>
      <c r="K20" s="85">
        <v>-36</v>
      </c>
      <c r="L20" s="86">
        <f t="shared" si="1"/>
        <v>32.880000000000003</v>
      </c>
      <c r="M20" s="277">
        <f t="shared" si="2"/>
        <v>-1183.68</v>
      </c>
      <c r="N20" s="87">
        <f t="shared" si="3"/>
        <v>44</v>
      </c>
      <c r="O20" s="88">
        <f t="shared" si="4"/>
        <v>32.880000000000003</v>
      </c>
      <c r="P20" s="278">
        <f t="shared" si="5"/>
        <v>1446.72</v>
      </c>
    </row>
    <row r="21" spans="1:16" s="109" customFormat="1" ht="12" x14ac:dyDescent="0.2">
      <c r="A21" s="97"/>
      <c r="B21" s="116"/>
      <c r="C21" s="123" t="s">
        <v>87</v>
      </c>
      <c r="D21" s="123" t="s">
        <v>127</v>
      </c>
      <c r="E21" s="124" t="s">
        <v>809</v>
      </c>
      <c r="F21" s="125" t="s">
        <v>810</v>
      </c>
      <c r="G21" s="126" t="s">
        <v>61</v>
      </c>
      <c r="H21" s="127">
        <v>80</v>
      </c>
      <c r="I21" s="128">
        <v>58.25</v>
      </c>
      <c r="J21" s="128">
        <v>4660</v>
      </c>
      <c r="K21" s="85">
        <v>-36</v>
      </c>
      <c r="L21" s="86">
        <f t="shared" si="1"/>
        <v>58.25</v>
      </c>
      <c r="M21" s="277">
        <f t="shared" si="2"/>
        <v>-2097</v>
      </c>
      <c r="N21" s="87">
        <f t="shared" si="3"/>
        <v>44</v>
      </c>
      <c r="O21" s="88">
        <f t="shared" si="4"/>
        <v>58.25</v>
      </c>
      <c r="P21" s="278">
        <f t="shared" si="5"/>
        <v>2563</v>
      </c>
    </row>
    <row r="22" spans="1:16" s="109" customFormat="1" ht="36" x14ac:dyDescent="0.2">
      <c r="A22" s="97"/>
      <c r="B22" s="116"/>
      <c r="C22" s="117" t="s">
        <v>90</v>
      </c>
      <c r="D22" s="117" t="s">
        <v>69</v>
      </c>
      <c r="E22" s="118" t="s">
        <v>811</v>
      </c>
      <c r="F22" s="119" t="s">
        <v>812</v>
      </c>
      <c r="G22" s="120" t="s">
        <v>138</v>
      </c>
      <c r="H22" s="121">
        <v>1</v>
      </c>
      <c r="I22" s="122">
        <v>1972.83</v>
      </c>
      <c r="J22" s="122">
        <v>1972.83</v>
      </c>
      <c r="K22" s="85">
        <v>0</v>
      </c>
      <c r="L22" s="86">
        <f t="shared" si="1"/>
        <v>1972.83</v>
      </c>
      <c r="M22" s="277">
        <f t="shared" si="2"/>
        <v>0</v>
      </c>
      <c r="N22" s="87">
        <f t="shared" si="3"/>
        <v>1</v>
      </c>
      <c r="O22" s="88">
        <f t="shared" si="4"/>
        <v>1972.83</v>
      </c>
      <c r="P22" s="278">
        <f t="shared" si="5"/>
        <v>1972.83</v>
      </c>
    </row>
    <row r="23" spans="1:16" s="109" customFormat="1" ht="24" x14ac:dyDescent="0.2">
      <c r="A23" s="97"/>
      <c r="B23" s="116"/>
      <c r="C23" s="123" t="s">
        <v>93</v>
      </c>
      <c r="D23" s="123" t="s">
        <v>127</v>
      </c>
      <c r="E23" s="124" t="s">
        <v>813</v>
      </c>
      <c r="F23" s="125" t="s">
        <v>814</v>
      </c>
      <c r="G23" s="126" t="s">
        <v>138</v>
      </c>
      <c r="H23" s="127">
        <v>1</v>
      </c>
      <c r="I23" s="128">
        <v>3736.54</v>
      </c>
      <c r="J23" s="128">
        <v>3736.54</v>
      </c>
      <c r="K23" s="85">
        <v>0</v>
      </c>
      <c r="L23" s="86">
        <f t="shared" si="1"/>
        <v>3736.54</v>
      </c>
      <c r="M23" s="277">
        <f t="shared" si="2"/>
        <v>0</v>
      </c>
      <c r="N23" s="87">
        <f t="shared" si="3"/>
        <v>1</v>
      </c>
      <c r="O23" s="88">
        <f t="shared" si="4"/>
        <v>3736.54</v>
      </c>
      <c r="P23" s="278">
        <f t="shared" si="5"/>
        <v>3736.54</v>
      </c>
    </row>
    <row r="24" spans="1:16" s="110" customFormat="1" ht="15" x14ac:dyDescent="0.2">
      <c r="C24" s="129"/>
      <c r="D24" s="130" t="s">
        <v>3</v>
      </c>
      <c r="E24" s="142" t="s">
        <v>127</v>
      </c>
      <c r="F24" s="142" t="s">
        <v>653</v>
      </c>
      <c r="G24" s="129"/>
      <c r="H24" s="129"/>
      <c r="I24" s="129"/>
      <c r="J24" s="143">
        <v>1233.5900000000001</v>
      </c>
      <c r="K24" s="85"/>
      <c r="L24" s="86"/>
      <c r="M24" s="278">
        <f t="shared" ref="M24" si="6">M25</f>
        <v>0</v>
      </c>
      <c r="N24" s="278"/>
      <c r="O24" s="278"/>
      <c r="P24" s="278">
        <f>P25</f>
        <v>1233.588</v>
      </c>
    </row>
    <row r="25" spans="1:16" s="110" customFormat="1" ht="12.75" x14ac:dyDescent="0.2">
      <c r="C25" s="129"/>
      <c r="D25" s="130" t="s">
        <v>3</v>
      </c>
      <c r="E25" s="131" t="s">
        <v>815</v>
      </c>
      <c r="F25" s="131" t="s">
        <v>816</v>
      </c>
      <c r="G25" s="129"/>
      <c r="H25" s="129"/>
      <c r="I25" s="129"/>
      <c r="J25" s="132">
        <v>1233.5900000000001</v>
      </c>
      <c r="K25" s="85"/>
      <c r="L25" s="86"/>
      <c r="M25" s="278">
        <f t="shared" ref="M25" si="7">M26+M27</f>
        <v>0</v>
      </c>
      <c r="N25" s="278"/>
      <c r="O25" s="278"/>
      <c r="P25" s="278">
        <f>P26+P27</f>
        <v>1233.588</v>
      </c>
    </row>
    <row r="26" spans="1:16" s="109" customFormat="1" ht="48" x14ac:dyDescent="0.2">
      <c r="A26" s="97"/>
      <c r="B26" s="116"/>
      <c r="C26" s="117" t="s">
        <v>26</v>
      </c>
      <c r="D26" s="117" t="s">
        <v>69</v>
      </c>
      <c r="E26" s="118" t="s">
        <v>817</v>
      </c>
      <c r="F26" s="119" t="s">
        <v>818</v>
      </c>
      <c r="G26" s="120" t="s">
        <v>61</v>
      </c>
      <c r="H26" s="121">
        <v>5</v>
      </c>
      <c r="I26" s="122">
        <v>202.02</v>
      </c>
      <c r="J26" s="122">
        <v>1010.1</v>
      </c>
      <c r="K26" s="85">
        <v>0</v>
      </c>
      <c r="L26" s="86">
        <f t="shared" si="1"/>
        <v>202.02</v>
      </c>
      <c r="M26" s="277">
        <f t="shared" si="2"/>
        <v>0</v>
      </c>
      <c r="N26" s="87">
        <f t="shared" si="3"/>
        <v>5</v>
      </c>
      <c r="O26" s="88">
        <f t="shared" si="4"/>
        <v>202.02</v>
      </c>
      <c r="P26" s="278">
        <f t="shared" si="5"/>
        <v>1010.1</v>
      </c>
    </row>
    <row r="27" spans="1:16" s="109" customFormat="1" ht="36" x14ac:dyDescent="0.2">
      <c r="A27" s="97"/>
      <c r="B27" s="116"/>
      <c r="C27" s="117" t="s">
        <v>28</v>
      </c>
      <c r="D27" s="117" t="s">
        <v>69</v>
      </c>
      <c r="E27" s="118" t="s">
        <v>819</v>
      </c>
      <c r="F27" s="119" t="s">
        <v>820</v>
      </c>
      <c r="G27" s="120" t="s">
        <v>62</v>
      </c>
      <c r="H27" s="121">
        <v>2.4</v>
      </c>
      <c r="I27" s="122">
        <v>93.12</v>
      </c>
      <c r="J27" s="122">
        <v>223.49</v>
      </c>
      <c r="K27" s="85">
        <v>0</v>
      </c>
      <c r="L27" s="86">
        <f t="shared" si="1"/>
        <v>93.12</v>
      </c>
      <c r="M27" s="277">
        <f t="shared" si="2"/>
        <v>0</v>
      </c>
      <c r="N27" s="87">
        <f t="shared" si="3"/>
        <v>2.4</v>
      </c>
      <c r="O27" s="88">
        <f t="shared" si="4"/>
        <v>93.12</v>
      </c>
      <c r="P27" s="278">
        <f t="shared" si="5"/>
        <v>223.488</v>
      </c>
    </row>
    <row r="28" spans="1:16" s="109" customFormat="1" x14ac:dyDescent="0.2">
      <c r="A28" s="97"/>
      <c r="B28" s="97"/>
      <c r="C28" s="97"/>
      <c r="D28" s="97"/>
      <c r="E28" s="97"/>
      <c r="F28" s="97"/>
      <c r="G28" s="97"/>
      <c r="H28" s="97"/>
      <c r="I28" s="97"/>
      <c r="J28" s="97"/>
    </row>
    <row r="29" spans="1:16" ht="12.75" x14ac:dyDescent="0.2">
      <c r="D29" s="89"/>
      <c r="E29" s="141" t="str">
        <f>CONCATENATE("CELKEM ",C$12)</f>
        <v>CELKEM 07 - SO 03.1 - Přípojka NN pro ČSOV 2</v>
      </c>
      <c r="F29" s="90"/>
      <c r="G29" s="90"/>
      <c r="H29" s="91"/>
      <c r="I29" s="90"/>
      <c r="J29" s="92">
        <v>22067.74</v>
      </c>
      <c r="K29" s="94"/>
      <c r="L29" s="92"/>
      <c r="M29" s="147">
        <f>M24+M14</f>
        <v>-6353.2800000000007</v>
      </c>
      <c r="N29" s="147">
        <f t="shared" ref="N29:P29" si="8">N24+N14</f>
        <v>0</v>
      </c>
      <c r="O29" s="147">
        <f t="shared" si="8"/>
        <v>0</v>
      </c>
      <c r="P29" s="147">
        <f t="shared" si="8"/>
        <v>15714.457999999999</v>
      </c>
    </row>
    <row r="30" spans="1:16" x14ac:dyDescent="0.2">
      <c r="I30" s="95"/>
    </row>
    <row r="31" spans="1:16" ht="14.25" x14ac:dyDescent="0.2">
      <c r="E31" s="58" t="s">
        <v>994</v>
      </c>
      <c r="F31" s="58"/>
      <c r="H31" s="96"/>
      <c r="J31" s="161"/>
      <c r="K31" s="58" t="s">
        <v>995</v>
      </c>
    </row>
  </sheetData>
  <protectedRanges>
    <protectedRange password="CCAA" sqref="K8" name="Oblast1_1_1_1_1_1_1"/>
    <protectedRange password="CCAA" sqref="D9:H10" name="Oblast1_2_1_1_1_1_1"/>
  </protectedRanges>
  <autoFilter ref="C10:P27" xr:uid="{A4B16C05-1622-4696-B566-B42F297DCDCA}"/>
  <mergeCells count="2">
    <mergeCell ref="K9:M9"/>
    <mergeCell ref="N9:P9"/>
  </mergeCells>
  <pageMargins left="0.39370078740157483" right="0.39370078740157483" top="0.39370078740157483" bottom="0.39370078740157483" header="0" footer="0"/>
  <pageSetup paperSize="9" scale="53" fitToHeight="0" orientation="portrait" r:id="rId1"/>
  <headerFooter>
    <oddFooter>&amp;CStrana &amp;P z &amp;N</oddFooter>
  </headerFooter>
  <drawing r:id="rId2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100-000000000000}">
  <sheetPr>
    <pageSetUpPr fitToPage="1"/>
  </sheetPr>
  <dimension ref="A1:AH37"/>
  <sheetViews>
    <sheetView showGridLines="0" view="pageBreakPreview" zoomScaleNormal="70" zoomScaleSheetLayoutView="100" workbookViewId="0">
      <selection activeCell="G3" sqref="G3"/>
    </sheetView>
  </sheetViews>
  <sheetFormatPr defaultColWidth="9.33203125" defaultRowHeight="11.25" x14ac:dyDescent="0.2"/>
  <cols>
    <col min="1" max="1" width="8.33203125" style="60" customWidth="1"/>
    <col min="2" max="2" width="1.6640625" style="60" customWidth="1"/>
    <col min="3" max="3" width="4.1640625" style="60" customWidth="1"/>
    <col min="4" max="4" width="4.33203125" style="60" customWidth="1"/>
    <col min="5" max="5" width="17.1640625" style="60" customWidth="1"/>
    <col min="6" max="6" width="50.83203125" style="60" customWidth="1"/>
    <col min="7" max="7" width="7" style="60" customWidth="1"/>
    <col min="8" max="8" width="11.5" style="60" customWidth="1"/>
    <col min="9" max="9" width="20.1640625" style="60" customWidth="1"/>
    <col min="10" max="10" width="21.83203125" style="60" bestFit="1" customWidth="1"/>
    <col min="11" max="18" width="16.6640625" style="60" customWidth="1"/>
    <col min="19" max="20" width="23.83203125" style="60" bestFit="1" customWidth="1"/>
    <col min="21" max="21" width="6.1640625" style="60" bestFit="1" customWidth="1"/>
    <col min="22" max="22" width="21.33203125" style="60" bestFit="1" customWidth="1"/>
    <col min="23" max="23" width="0" style="60" hidden="1" customWidth="1"/>
    <col min="24" max="24" width="20.1640625" style="60" bestFit="1" customWidth="1"/>
    <col min="25" max="25" width="28.1640625" style="60" bestFit="1" customWidth="1"/>
    <col min="26" max="26" width="11.1640625" style="164" bestFit="1" customWidth="1"/>
    <col min="27" max="27" width="17.6640625" style="60" bestFit="1" customWidth="1"/>
    <col min="28" max="28" width="8.83203125" style="60" bestFit="1" customWidth="1"/>
    <col min="29" max="29" width="24.1640625" style="60" bestFit="1" customWidth="1"/>
    <col min="30" max="30" width="15.33203125" style="60" bestFit="1" customWidth="1"/>
    <col min="31" max="31" width="0" style="60" hidden="1" customWidth="1"/>
    <col min="32" max="32" width="21" style="60" bestFit="1" customWidth="1"/>
    <col min="33" max="33" width="13.33203125" style="60" bestFit="1" customWidth="1"/>
    <col min="34" max="34" width="9.1640625" style="60" bestFit="1" customWidth="1"/>
    <col min="35" max="16384" width="9.33203125" style="60"/>
  </cols>
  <sheetData>
    <row r="1" spans="1:32" ht="15" x14ac:dyDescent="0.2">
      <c r="F1" s="3"/>
      <c r="G1" s="4"/>
      <c r="H1" s="1"/>
      <c r="J1" s="61"/>
    </row>
    <row r="2" spans="1:32" s="1" customFormat="1" ht="15" x14ac:dyDescent="0.2">
      <c r="E2" s="2"/>
      <c r="F2" s="3" t="s">
        <v>979</v>
      </c>
      <c r="G2" s="4" t="s">
        <v>1058</v>
      </c>
      <c r="I2" s="5"/>
      <c r="J2" s="63"/>
      <c r="K2" s="10"/>
      <c r="L2" s="11"/>
      <c r="M2" s="11"/>
      <c r="N2" s="64"/>
      <c r="Z2" s="165"/>
    </row>
    <row r="3" spans="1:32" s="1" customFormat="1" ht="15" x14ac:dyDescent="0.2">
      <c r="E3" s="2"/>
      <c r="F3" s="3" t="s">
        <v>980</v>
      </c>
      <c r="G3" s="4" t="str">
        <f>+'Rekapitulace stavby'!D2</f>
        <v>ÚHERCE, výstavba kanalizace - UZNATELNÉ NÁKLADY - doměrky</v>
      </c>
      <c r="H3" s="2"/>
      <c r="I3" s="5"/>
      <c r="J3" s="63"/>
      <c r="K3" s="10"/>
      <c r="L3" s="11"/>
      <c r="M3" s="11"/>
      <c r="N3" s="64"/>
      <c r="Z3" s="165"/>
    </row>
    <row r="4" spans="1:32" s="2" customFormat="1" ht="15" x14ac:dyDescent="0.2">
      <c r="F4" s="12" t="s">
        <v>981</v>
      </c>
      <c r="G4" s="13" t="str">
        <f>'[1]VRN 01'!G5</f>
        <v>VRI/SOD/2020/Ži</v>
      </c>
      <c r="I4" s="5"/>
      <c r="J4" s="65"/>
      <c r="K4" s="18"/>
      <c r="L4" s="19"/>
      <c r="M4" s="19"/>
      <c r="N4" s="66"/>
      <c r="Z4" s="166"/>
    </row>
    <row r="5" spans="1:32" s="2" customFormat="1" ht="15" x14ac:dyDescent="0.2">
      <c r="F5" s="12" t="s">
        <v>983</v>
      </c>
      <c r="G5" s="13" t="s">
        <v>1001</v>
      </c>
      <c r="I5" s="5"/>
      <c r="J5" s="65"/>
      <c r="K5" s="18"/>
      <c r="L5" s="19"/>
      <c r="M5" s="19"/>
      <c r="N5" s="66"/>
      <c r="Z5" s="166"/>
    </row>
    <row r="6" spans="1:32" s="2" customFormat="1" ht="15" x14ac:dyDescent="0.2">
      <c r="F6" s="3" t="s">
        <v>984</v>
      </c>
      <c r="G6" s="13" t="str">
        <f>'[1]VRN 01'!G7</f>
        <v>Vododvody a kanalizace Mladá Boleslav, a.s.</v>
      </c>
      <c r="I6" s="5"/>
      <c r="J6" s="65"/>
      <c r="K6" s="18"/>
      <c r="L6" s="19"/>
      <c r="M6" s="19"/>
      <c r="N6" s="66"/>
      <c r="Z6" s="166"/>
    </row>
    <row r="7" spans="1:32" s="2" customFormat="1" ht="15" x14ac:dyDescent="0.2">
      <c r="F7" s="3" t="s">
        <v>986</v>
      </c>
      <c r="G7" s="20" t="str">
        <f>'[1]VRN 01'!G8</f>
        <v>VCES a.s.</v>
      </c>
      <c r="H7" s="67"/>
      <c r="I7" s="5"/>
      <c r="J7" s="65"/>
      <c r="K7" s="18"/>
      <c r="L7" s="19"/>
      <c r="M7" s="19"/>
      <c r="N7" s="66"/>
      <c r="Z7" s="166"/>
    </row>
    <row r="8" spans="1:32" s="68" customFormat="1" ht="12.75" x14ac:dyDescent="0.2">
      <c r="D8" s="69"/>
      <c r="F8" s="3"/>
      <c r="G8" s="20"/>
      <c r="H8" s="67"/>
      <c r="K8" s="72" t="s">
        <v>996</v>
      </c>
      <c r="L8" s="73" t="str">
        <f>+C12</f>
        <v>08 - VRN</v>
      </c>
      <c r="M8" s="73"/>
      <c r="O8" s="74"/>
      <c r="Z8" s="167"/>
    </row>
    <row r="9" spans="1:32" s="75" customFormat="1" ht="12.75" customHeight="1" x14ac:dyDescent="0.2">
      <c r="C9" s="76"/>
      <c r="D9" s="77"/>
      <c r="E9" s="77"/>
      <c r="F9" s="77"/>
      <c r="G9" s="77"/>
      <c r="H9" s="77"/>
      <c r="I9" s="78"/>
      <c r="J9" s="79"/>
      <c r="K9" s="332" t="s">
        <v>1266</v>
      </c>
      <c r="L9" s="332"/>
      <c r="M9" s="332"/>
      <c r="N9" s="339" t="s">
        <v>1267</v>
      </c>
      <c r="O9" s="339"/>
      <c r="P9" s="340"/>
      <c r="Z9" s="168"/>
    </row>
    <row r="10" spans="1:32" s="75" customFormat="1" ht="24" customHeight="1" x14ac:dyDescent="0.2">
      <c r="C10" s="80"/>
      <c r="D10" s="81" t="s">
        <v>997</v>
      </c>
      <c r="E10" s="81" t="s">
        <v>976</v>
      </c>
      <c r="F10" s="81" t="s">
        <v>977</v>
      </c>
      <c r="G10" s="81" t="s">
        <v>64</v>
      </c>
      <c r="H10" s="82" t="s">
        <v>65</v>
      </c>
      <c r="I10" s="83" t="s">
        <v>998</v>
      </c>
      <c r="J10" s="84" t="s">
        <v>978</v>
      </c>
      <c r="K10" s="218" t="s">
        <v>999</v>
      </c>
      <c r="L10" s="219" t="s">
        <v>1260</v>
      </c>
      <c r="M10" s="220" t="s">
        <v>978</v>
      </c>
      <c r="N10" s="263" t="s">
        <v>1264</v>
      </c>
      <c r="O10" s="264" t="s">
        <v>1260</v>
      </c>
      <c r="P10" s="265" t="s">
        <v>978</v>
      </c>
      <c r="Q10" s="157" t="s">
        <v>1012</v>
      </c>
      <c r="R10" s="157" t="s">
        <v>1019</v>
      </c>
      <c r="S10" s="157" t="s">
        <v>1059</v>
      </c>
      <c r="T10" s="157" t="s">
        <v>1083</v>
      </c>
      <c r="V10" s="157" t="s">
        <v>1127</v>
      </c>
      <c r="X10" s="157" t="s">
        <v>1132</v>
      </c>
      <c r="Y10" s="157" t="s">
        <v>1150</v>
      </c>
      <c r="Z10" s="168"/>
      <c r="AA10" s="157" t="s">
        <v>1186</v>
      </c>
      <c r="AC10" s="157" t="s">
        <v>1203</v>
      </c>
      <c r="AF10" s="75" t="s">
        <v>1211</v>
      </c>
    </row>
    <row r="11" spans="1:32" x14ac:dyDescent="0.2">
      <c r="Q11" s="171"/>
    </row>
    <row r="12" spans="1:32" s="109" customFormat="1" ht="15.75" x14ac:dyDescent="0.25">
      <c r="A12" s="97"/>
      <c r="B12" s="97"/>
      <c r="C12" s="98" t="s">
        <v>933</v>
      </c>
      <c r="D12" s="97"/>
      <c r="E12" s="97"/>
      <c r="F12" s="97"/>
      <c r="G12" s="97"/>
      <c r="H12" s="97"/>
      <c r="I12" s="97"/>
      <c r="J12" s="99">
        <v>1931265</v>
      </c>
      <c r="Q12" s="151"/>
      <c r="X12" s="178" t="s">
        <v>1102</v>
      </c>
      <c r="Z12" s="149"/>
    </row>
    <row r="13" spans="1:32" s="110" customFormat="1" ht="15" x14ac:dyDescent="0.2">
      <c r="D13" s="111" t="s">
        <v>3</v>
      </c>
      <c r="E13" s="112" t="s">
        <v>934</v>
      </c>
      <c r="F13" s="112" t="s">
        <v>935</v>
      </c>
      <c r="J13" s="113">
        <v>1931265</v>
      </c>
      <c r="K13" s="103" t="str">
        <f>IF(ISBLANK(H13),"",SUM(#REF!+#REF!+#REF!+#REF!+#REF!+#REF!+#REF!+#REF!+#REF!+#REF!+#REF!,#REF!,#REF!,#REF!,#REF!,#REF!,#REF!,#REF!,#REF!,#REF!,#REF!,#REF!))</f>
        <v/>
      </c>
      <c r="L13" s="104" t="str">
        <f>IF(ISBLANK(H13),"",SUM(#REF!+#REF!+#REF!+#REF!+#REF!+#REF!+#REF!+#REF!+#REF!+#REF!+#REF!,#REF!,#REF!,#REF!,#REF!,#REF!,#REF!,#REF!,#REF!,#REF!,#REF!,#REF!,#REF!))</f>
        <v/>
      </c>
      <c r="M13" s="105" t="str">
        <f t="shared" ref="M13" si="0">IFERROR(IF($J13=0,0,L13/$J13),"")</f>
        <v/>
      </c>
      <c r="N13" s="106" t="str">
        <f>IF(ISBLANK(H13),"",H13-K13)</f>
        <v/>
      </c>
      <c r="O13" s="107" t="str">
        <f>IF(ISBLANK(H13),"",J13-L13)</f>
        <v/>
      </c>
      <c r="P13" s="108" t="str">
        <f t="shared" ref="P13" si="1">IFERROR(IF($J13=0,0,O13/$J13),"")</f>
        <v/>
      </c>
      <c r="Q13" s="153"/>
      <c r="R13" s="176" t="s">
        <v>1003</v>
      </c>
      <c r="S13" s="176" t="s">
        <v>1003</v>
      </c>
      <c r="U13" s="153"/>
      <c r="V13" s="176" t="s">
        <v>1003</v>
      </c>
      <c r="Z13" s="170"/>
    </row>
    <row r="14" spans="1:32" s="109" customFormat="1" ht="24" x14ac:dyDescent="0.2">
      <c r="A14" s="97"/>
      <c r="B14" s="116"/>
      <c r="C14" s="117" t="s">
        <v>7</v>
      </c>
      <c r="D14" s="117" t="s">
        <v>69</v>
      </c>
      <c r="E14" s="118" t="s">
        <v>936</v>
      </c>
      <c r="F14" s="119" t="s">
        <v>937</v>
      </c>
      <c r="G14" s="120" t="s">
        <v>652</v>
      </c>
      <c r="H14" s="121">
        <v>1</v>
      </c>
      <c r="I14" s="122">
        <v>778997</v>
      </c>
      <c r="J14" s="122">
        <v>778997</v>
      </c>
      <c r="K14" s="85">
        <v>0</v>
      </c>
      <c r="L14" s="86">
        <f>I14</f>
        <v>778997</v>
      </c>
      <c r="M14" s="277">
        <f>K14*L14</f>
        <v>0</v>
      </c>
      <c r="N14" s="87">
        <f>H14+K14</f>
        <v>1</v>
      </c>
      <c r="O14" s="88">
        <f>I14</f>
        <v>778997</v>
      </c>
      <c r="P14" s="278">
        <f>N14*O14</f>
        <v>778997</v>
      </c>
      <c r="Q14" s="151"/>
      <c r="U14" s="109">
        <v>0.755</v>
      </c>
      <c r="Z14" s="149"/>
    </row>
    <row r="15" spans="1:32" s="109" customFormat="1" ht="24" x14ac:dyDescent="0.2">
      <c r="A15" s="97"/>
      <c r="B15" s="116"/>
      <c r="C15" s="117" t="s">
        <v>8</v>
      </c>
      <c r="D15" s="117" t="s">
        <v>69</v>
      </c>
      <c r="E15" s="118" t="s">
        <v>938</v>
      </c>
      <c r="F15" s="119" t="s">
        <v>939</v>
      </c>
      <c r="G15" s="120" t="s">
        <v>652</v>
      </c>
      <c r="H15" s="121">
        <v>1</v>
      </c>
      <c r="I15" s="122">
        <v>26714</v>
      </c>
      <c r="J15" s="122">
        <v>26714</v>
      </c>
      <c r="K15" s="85">
        <v>0</v>
      </c>
      <c r="L15" s="86">
        <f t="shared" ref="L15:L33" si="2">I15</f>
        <v>26714</v>
      </c>
      <c r="M15" s="277">
        <f t="shared" ref="M15:M33" si="3">K15*L15</f>
        <v>0</v>
      </c>
      <c r="N15" s="87">
        <f t="shared" ref="N15:N33" si="4">IF(ISBLANK(H15),"",H15-K15)</f>
        <v>1</v>
      </c>
      <c r="O15" s="88">
        <f t="shared" ref="O15:O33" si="5">I15</f>
        <v>26714</v>
      </c>
      <c r="P15" s="278">
        <f t="shared" ref="P15:P33" si="6">N15*O15</f>
        <v>26714</v>
      </c>
      <c r="Q15" s="151"/>
      <c r="U15" s="109">
        <v>0</v>
      </c>
      <c r="Z15" s="149"/>
      <c r="AC15" s="148" t="s">
        <v>1206</v>
      </c>
    </row>
    <row r="16" spans="1:32" s="109" customFormat="1" ht="24" x14ac:dyDescent="0.2">
      <c r="A16" s="97"/>
      <c r="B16" s="116"/>
      <c r="C16" s="117" t="s">
        <v>76</v>
      </c>
      <c r="D16" s="117" t="s">
        <v>69</v>
      </c>
      <c r="E16" s="118" t="s">
        <v>940</v>
      </c>
      <c r="F16" s="119" t="s">
        <v>941</v>
      </c>
      <c r="G16" s="120" t="s">
        <v>652</v>
      </c>
      <c r="H16" s="121">
        <v>1</v>
      </c>
      <c r="I16" s="122">
        <v>54319</v>
      </c>
      <c r="J16" s="122">
        <v>54319</v>
      </c>
      <c r="K16" s="85">
        <v>0</v>
      </c>
      <c r="L16" s="86">
        <f t="shared" si="2"/>
        <v>54319</v>
      </c>
      <c r="M16" s="277">
        <f t="shared" si="3"/>
        <v>0</v>
      </c>
      <c r="N16" s="87">
        <f t="shared" si="4"/>
        <v>1</v>
      </c>
      <c r="O16" s="88">
        <f t="shared" si="5"/>
        <v>54319</v>
      </c>
      <c r="P16" s="278">
        <f t="shared" si="6"/>
        <v>54319</v>
      </c>
      <c r="Q16" s="151"/>
      <c r="S16" s="152"/>
      <c r="U16" s="109">
        <v>0.5</v>
      </c>
      <c r="Z16" s="149"/>
    </row>
    <row r="17" spans="1:34" s="109" customFormat="1" ht="24" x14ac:dyDescent="0.2">
      <c r="A17" s="97"/>
      <c r="B17" s="116"/>
      <c r="C17" s="117" t="s">
        <v>73</v>
      </c>
      <c r="D17" s="117" t="s">
        <v>69</v>
      </c>
      <c r="E17" s="118" t="s">
        <v>942</v>
      </c>
      <c r="F17" s="119" t="s">
        <v>943</v>
      </c>
      <c r="G17" s="120" t="s">
        <v>652</v>
      </c>
      <c r="H17" s="121">
        <v>1</v>
      </c>
      <c r="I17" s="122">
        <v>40071</v>
      </c>
      <c r="J17" s="122">
        <v>40071</v>
      </c>
      <c r="K17" s="85">
        <v>0</v>
      </c>
      <c r="L17" s="86">
        <f t="shared" si="2"/>
        <v>40071</v>
      </c>
      <c r="M17" s="277">
        <f t="shared" si="3"/>
        <v>0</v>
      </c>
      <c r="N17" s="87">
        <f t="shared" si="4"/>
        <v>1</v>
      </c>
      <c r="O17" s="88">
        <f t="shared" si="5"/>
        <v>40071</v>
      </c>
      <c r="P17" s="278">
        <f t="shared" si="6"/>
        <v>40071</v>
      </c>
      <c r="Q17" s="151"/>
      <c r="U17" s="109">
        <v>0.7629999999999999</v>
      </c>
      <c r="Z17" s="149"/>
      <c r="AC17" s="150" t="s">
        <v>1207</v>
      </c>
    </row>
    <row r="18" spans="1:34" s="109" customFormat="1" ht="24" x14ac:dyDescent="0.2">
      <c r="A18" s="97"/>
      <c r="B18" s="116"/>
      <c r="C18" s="117" t="s">
        <v>81</v>
      </c>
      <c r="D18" s="117" t="s">
        <v>69</v>
      </c>
      <c r="E18" s="118" t="s">
        <v>944</v>
      </c>
      <c r="F18" s="119" t="s">
        <v>945</v>
      </c>
      <c r="G18" s="120" t="s">
        <v>652</v>
      </c>
      <c r="H18" s="121">
        <v>1</v>
      </c>
      <c r="I18" s="122">
        <v>13357</v>
      </c>
      <c r="J18" s="122">
        <v>13357</v>
      </c>
      <c r="K18" s="85">
        <v>0</v>
      </c>
      <c r="L18" s="86">
        <f t="shared" si="2"/>
        <v>13357</v>
      </c>
      <c r="M18" s="277">
        <f t="shared" si="3"/>
        <v>0</v>
      </c>
      <c r="N18" s="87">
        <f t="shared" si="4"/>
        <v>1</v>
      </c>
      <c r="O18" s="88">
        <f t="shared" si="5"/>
        <v>13357</v>
      </c>
      <c r="P18" s="278">
        <f t="shared" si="6"/>
        <v>13357</v>
      </c>
      <c r="Q18" s="151"/>
      <c r="U18" s="109">
        <v>0</v>
      </c>
      <c r="Z18" s="149"/>
    </row>
    <row r="19" spans="1:34" s="109" customFormat="1" ht="24" x14ac:dyDescent="0.2">
      <c r="A19" s="97"/>
      <c r="B19" s="116"/>
      <c r="C19" s="117" t="s">
        <v>84</v>
      </c>
      <c r="D19" s="117" t="s">
        <v>69</v>
      </c>
      <c r="E19" s="118" t="s">
        <v>946</v>
      </c>
      <c r="F19" s="119" t="s">
        <v>947</v>
      </c>
      <c r="G19" s="120" t="s">
        <v>652</v>
      </c>
      <c r="H19" s="121">
        <v>1</v>
      </c>
      <c r="I19" s="122">
        <v>0</v>
      </c>
      <c r="J19" s="122">
        <v>0</v>
      </c>
      <c r="K19" s="85">
        <v>0</v>
      </c>
      <c r="L19" s="86">
        <f t="shared" si="2"/>
        <v>0</v>
      </c>
      <c r="M19" s="277">
        <f t="shared" si="3"/>
        <v>0</v>
      </c>
      <c r="N19" s="87">
        <f t="shared" si="4"/>
        <v>1</v>
      </c>
      <c r="O19" s="88">
        <f t="shared" si="5"/>
        <v>0</v>
      </c>
      <c r="P19" s="278">
        <f t="shared" si="6"/>
        <v>0</v>
      </c>
      <c r="Q19" s="151"/>
      <c r="U19" s="109">
        <v>0</v>
      </c>
      <c r="Z19" s="149"/>
    </row>
    <row r="20" spans="1:34" s="109" customFormat="1" ht="24" x14ac:dyDescent="0.2">
      <c r="A20" s="97"/>
      <c r="B20" s="116"/>
      <c r="C20" s="117" t="s">
        <v>87</v>
      </c>
      <c r="D20" s="117" t="s">
        <v>69</v>
      </c>
      <c r="E20" s="118" t="s">
        <v>948</v>
      </c>
      <c r="F20" s="119" t="s">
        <v>949</v>
      </c>
      <c r="G20" s="120" t="s">
        <v>652</v>
      </c>
      <c r="H20" s="121">
        <v>1</v>
      </c>
      <c r="I20" s="122">
        <v>53428</v>
      </c>
      <c r="J20" s="122">
        <v>53428</v>
      </c>
      <c r="K20" s="85">
        <v>0</v>
      </c>
      <c r="L20" s="86">
        <f t="shared" si="2"/>
        <v>53428</v>
      </c>
      <c r="M20" s="277">
        <f t="shared" si="3"/>
        <v>0</v>
      </c>
      <c r="N20" s="87">
        <f t="shared" si="4"/>
        <v>1</v>
      </c>
      <c r="O20" s="88">
        <f t="shared" si="5"/>
        <v>53428</v>
      </c>
      <c r="P20" s="278">
        <f t="shared" si="6"/>
        <v>53428</v>
      </c>
      <c r="Q20" s="151"/>
      <c r="U20" s="109">
        <v>0.123</v>
      </c>
      <c r="Z20" s="149"/>
    </row>
    <row r="21" spans="1:34" s="109" customFormat="1" ht="24" x14ac:dyDescent="0.2">
      <c r="A21" s="97"/>
      <c r="B21" s="116"/>
      <c r="C21" s="117" t="s">
        <v>90</v>
      </c>
      <c r="D21" s="117" t="s">
        <v>69</v>
      </c>
      <c r="E21" s="118" t="s">
        <v>950</v>
      </c>
      <c r="F21" s="119" t="s">
        <v>951</v>
      </c>
      <c r="G21" s="120" t="s">
        <v>652</v>
      </c>
      <c r="H21" s="121">
        <v>1</v>
      </c>
      <c r="I21" s="122">
        <v>35619</v>
      </c>
      <c r="J21" s="122">
        <v>35619</v>
      </c>
      <c r="K21" s="85">
        <v>0</v>
      </c>
      <c r="L21" s="86">
        <f t="shared" si="2"/>
        <v>35619</v>
      </c>
      <c r="M21" s="277">
        <f t="shared" si="3"/>
        <v>0</v>
      </c>
      <c r="N21" s="87">
        <f t="shared" si="4"/>
        <v>1</v>
      </c>
      <c r="O21" s="88">
        <f t="shared" si="5"/>
        <v>35619</v>
      </c>
      <c r="P21" s="278">
        <f t="shared" si="6"/>
        <v>35619</v>
      </c>
      <c r="Q21" s="151"/>
      <c r="U21" s="109">
        <v>0</v>
      </c>
      <c r="Z21" s="149"/>
    </row>
    <row r="22" spans="1:34" s="109" customFormat="1" ht="33.75" x14ac:dyDescent="0.2">
      <c r="A22" s="97"/>
      <c r="B22" s="116"/>
      <c r="C22" s="117" t="s">
        <v>93</v>
      </c>
      <c r="D22" s="117" t="s">
        <v>69</v>
      </c>
      <c r="E22" s="118" t="s">
        <v>952</v>
      </c>
      <c r="F22" s="119" t="s">
        <v>953</v>
      </c>
      <c r="G22" s="120" t="s">
        <v>652</v>
      </c>
      <c r="H22" s="121">
        <v>1</v>
      </c>
      <c r="I22" s="122">
        <v>40071</v>
      </c>
      <c r="J22" s="122">
        <v>40071</v>
      </c>
      <c r="K22" s="85">
        <v>0</v>
      </c>
      <c r="L22" s="86">
        <f t="shared" si="2"/>
        <v>40071</v>
      </c>
      <c r="M22" s="277">
        <f t="shared" si="3"/>
        <v>0</v>
      </c>
      <c r="N22" s="87">
        <f t="shared" si="4"/>
        <v>1</v>
      </c>
      <c r="O22" s="88">
        <f t="shared" si="5"/>
        <v>40071</v>
      </c>
      <c r="P22" s="278">
        <f t="shared" si="6"/>
        <v>40071</v>
      </c>
      <c r="Q22" s="151"/>
      <c r="U22" s="109">
        <v>0</v>
      </c>
      <c r="Z22" s="149"/>
      <c r="AC22" s="150" t="s">
        <v>1208</v>
      </c>
      <c r="AD22" s="109" t="s">
        <v>1210</v>
      </c>
    </row>
    <row r="23" spans="1:34" s="109" customFormat="1" ht="24" x14ac:dyDescent="0.2">
      <c r="A23" s="97"/>
      <c r="B23" s="116"/>
      <c r="C23" s="117" t="s">
        <v>26</v>
      </c>
      <c r="D23" s="117" t="s">
        <v>69</v>
      </c>
      <c r="E23" s="118" t="s">
        <v>954</v>
      </c>
      <c r="F23" s="119" t="s">
        <v>955</v>
      </c>
      <c r="G23" s="120" t="s">
        <v>652</v>
      </c>
      <c r="H23" s="121">
        <v>1</v>
      </c>
      <c r="I23" s="122">
        <v>0</v>
      </c>
      <c r="J23" s="122">
        <v>0</v>
      </c>
      <c r="K23" s="85">
        <v>0</v>
      </c>
      <c r="L23" s="86">
        <f t="shared" si="2"/>
        <v>0</v>
      </c>
      <c r="M23" s="277">
        <f t="shared" si="3"/>
        <v>0</v>
      </c>
      <c r="N23" s="87">
        <f t="shared" si="4"/>
        <v>1</v>
      </c>
      <c r="O23" s="88">
        <f t="shared" si="5"/>
        <v>0</v>
      </c>
      <c r="P23" s="278">
        <f t="shared" si="6"/>
        <v>0</v>
      </c>
      <c r="Q23" s="151"/>
      <c r="U23" s="109">
        <v>0</v>
      </c>
      <c r="Z23" s="149"/>
    </row>
    <row r="24" spans="1:34" s="109" customFormat="1" ht="24" x14ac:dyDescent="0.2">
      <c r="A24" s="97"/>
      <c r="B24" s="116"/>
      <c r="C24" s="117" t="s">
        <v>28</v>
      </c>
      <c r="D24" s="117" t="s">
        <v>69</v>
      </c>
      <c r="E24" s="118" t="s">
        <v>956</v>
      </c>
      <c r="F24" s="119" t="s">
        <v>957</v>
      </c>
      <c r="G24" s="120" t="s">
        <v>652</v>
      </c>
      <c r="H24" s="121">
        <v>1</v>
      </c>
      <c r="I24" s="122">
        <v>13357</v>
      </c>
      <c r="J24" s="122">
        <v>13357</v>
      </c>
      <c r="K24" s="85">
        <v>0</v>
      </c>
      <c r="L24" s="86">
        <f t="shared" si="2"/>
        <v>13357</v>
      </c>
      <c r="M24" s="277">
        <f t="shared" si="3"/>
        <v>0</v>
      </c>
      <c r="N24" s="87">
        <f t="shared" si="4"/>
        <v>1</v>
      </c>
      <c r="O24" s="88">
        <f t="shared" si="5"/>
        <v>13357</v>
      </c>
      <c r="P24" s="278">
        <f t="shared" si="6"/>
        <v>13357</v>
      </c>
      <c r="Q24" s="151"/>
      <c r="U24" s="109">
        <v>0.3</v>
      </c>
      <c r="Z24" s="149"/>
    </row>
    <row r="25" spans="1:34" s="109" customFormat="1" ht="24" x14ac:dyDescent="0.2">
      <c r="A25" s="97"/>
      <c r="B25" s="116"/>
      <c r="C25" s="117" t="s">
        <v>30</v>
      </c>
      <c r="D25" s="117" t="s">
        <v>69</v>
      </c>
      <c r="E25" s="118" t="s">
        <v>958</v>
      </c>
      <c r="F25" s="119" t="s">
        <v>959</v>
      </c>
      <c r="G25" s="120" t="s">
        <v>652</v>
      </c>
      <c r="H25" s="121">
        <v>1</v>
      </c>
      <c r="I25" s="122">
        <v>122885</v>
      </c>
      <c r="J25" s="122">
        <v>122885</v>
      </c>
      <c r="K25" s="85">
        <v>0</v>
      </c>
      <c r="L25" s="86">
        <f t="shared" si="2"/>
        <v>122885</v>
      </c>
      <c r="M25" s="277">
        <f t="shared" si="3"/>
        <v>0</v>
      </c>
      <c r="N25" s="87">
        <f t="shared" si="4"/>
        <v>1</v>
      </c>
      <c r="O25" s="88">
        <f t="shared" si="5"/>
        <v>122885</v>
      </c>
      <c r="P25" s="278">
        <f t="shared" si="6"/>
        <v>122885</v>
      </c>
      <c r="Q25" s="151"/>
      <c r="U25" s="109">
        <v>0</v>
      </c>
      <c r="Z25" s="149"/>
    </row>
    <row r="26" spans="1:34" s="109" customFormat="1" ht="24" x14ac:dyDescent="0.2">
      <c r="A26" s="97"/>
      <c r="B26" s="116"/>
      <c r="C26" s="117" t="s">
        <v>32</v>
      </c>
      <c r="D26" s="117" t="s">
        <v>69</v>
      </c>
      <c r="E26" s="118" t="s">
        <v>960</v>
      </c>
      <c r="F26" s="119" t="s">
        <v>961</v>
      </c>
      <c r="G26" s="120" t="s">
        <v>652</v>
      </c>
      <c r="H26" s="121">
        <v>1</v>
      </c>
      <c r="I26" s="122">
        <v>13357</v>
      </c>
      <c r="J26" s="122">
        <v>13357</v>
      </c>
      <c r="K26" s="85">
        <v>0</v>
      </c>
      <c r="L26" s="86">
        <f t="shared" si="2"/>
        <v>13357</v>
      </c>
      <c r="M26" s="277">
        <f t="shared" si="3"/>
        <v>0</v>
      </c>
      <c r="N26" s="87">
        <f t="shared" si="4"/>
        <v>1</v>
      </c>
      <c r="O26" s="88">
        <f t="shared" si="5"/>
        <v>13357</v>
      </c>
      <c r="P26" s="278">
        <f t="shared" si="6"/>
        <v>13357</v>
      </c>
      <c r="Q26" s="151"/>
      <c r="U26" s="109">
        <v>0.5</v>
      </c>
      <c r="Z26" s="149"/>
    </row>
    <row r="27" spans="1:34" s="109" customFormat="1" ht="24" x14ac:dyDescent="0.2">
      <c r="A27" s="97"/>
      <c r="B27" s="116"/>
      <c r="C27" s="117" t="s">
        <v>34</v>
      </c>
      <c r="D27" s="117" t="s">
        <v>69</v>
      </c>
      <c r="E27" s="118" t="s">
        <v>962</v>
      </c>
      <c r="F27" s="119" t="s">
        <v>963</v>
      </c>
      <c r="G27" s="120" t="s">
        <v>652</v>
      </c>
      <c r="H27" s="121">
        <v>1</v>
      </c>
      <c r="I27" s="122">
        <v>13357</v>
      </c>
      <c r="J27" s="122">
        <v>13357</v>
      </c>
      <c r="K27" s="85">
        <v>0</v>
      </c>
      <c r="L27" s="86">
        <f t="shared" si="2"/>
        <v>13357</v>
      </c>
      <c r="M27" s="277">
        <f t="shared" si="3"/>
        <v>0</v>
      </c>
      <c r="N27" s="87">
        <f t="shared" si="4"/>
        <v>1</v>
      </c>
      <c r="O27" s="88">
        <f t="shared" si="5"/>
        <v>13357</v>
      </c>
      <c r="P27" s="278">
        <f t="shared" si="6"/>
        <v>13357</v>
      </c>
      <c r="Q27" s="151"/>
      <c r="U27" s="109">
        <v>0</v>
      </c>
      <c r="Z27" s="149"/>
    </row>
    <row r="28" spans="1:34" s="109" customFormat="1" ht="24" x14ac:dyDescent="0.2">
      <c r="A28" s="97"/>
      <c r="B28" s="116"/>
      <c r="C28" s="117" t="s">
        <v>1</v>
      </c>
      <c r="D28" s="117" t="s">
        <v>69</v>
      </c>
      <c r="E28" s="118" t="s">
        <v>964</v>
      </c>
      <c r="F28" s="119" t="s">
        <v>965</v>
      </c>
      <c r="G28" s="120" t="s">
        <v>652</v>
      </c>
      <c r="H28" s="121">
        <v>1</v>
      </c>
      <c r="I28" s="122">
        <v>152270</v>
      </c>
      <c r="J28" s="122">
        <v>152270</v>
      </c>
      <c r="K28" s="85">
        <v>0</v>
      </c>
      <c r="L28" s="86">
        <f t="shared" si="2"/>
        <v>152270</v>
      </c>
      <c r="M28" s="277">
        <f t="shared" si="3"/>
        <v>0</v>
      </c>
      <c r="N28" s="87">
        <f t="shared" si="4"/>
        <v>1</v>
      </c>
      <c r="O28" s="88">
        <f t="shared" si="5"/>
        <v>152270</v>
      </c>
      <c r="P28" s="278">
        <f t="shared" si="6"/>
        <v>152270</v>
      </c>
      <c r="Q28" s="151"/>
      <c r="U28" s="109">
        <v>0</v>
      </c>
      <c r="Z28" s="149"/>
    </row>
    <row r="29" spans="1:34" s="109" customFormat="1" ht="24" x14ac:dyDescent="0.2">
      <c r="A29" s="97"/>
      <c r="B29" s="116"/>
      <c r="C29" s="117" t="s">
        <v>37</v>
      </c>
      <c r="D29" s="117" t="s">
        <v>69</v>
      </c>
      <c r="E29" s="118" t="s">
        <v>966</v>
      </c>
      <c r="F29" s="119" t="s">
        <v>967</v>
      </c>
      <c r="G29" s="120" t="s">
        <v>652</v>
      </c>
      <c r="H29" s="121">
        <v>1</v>
      </c>
      <c r="I29" s="122">
        <v>32057</v>
      </c>
      <c r="J29" s="122">
        <v>32057</v>
      </c>
      <c r="K29" s="85">
        <v>0</v>
      </c>
      <c r="L29" s="86">
        <f t="shared" si="2"/>
        <v>32057</v>
      </c>
      <c r="M29" s="277">
        <f t="shared" si="3"/>
        <v>0</v>
      </c>
      <c r="N29" s="87">
        <f t="shared" si="4"/>
        <v>1</v>
      </c>
      <c r="O29" s="88">
        <f t="shared" si="5"/>
        <v>32057</v>
      </c>
      <c r="P29" s="278">
        <f t="shared" si="6"/>
        <v>32057</v>
      </c>
      <c r="Q29" s="151"/>
      <c r="U29" s="109">
        <v>0</v>
      </c>
      <c r="Z29" s="149"/>
    </row>
    <row r="30" spans="1:34" s="109" customFormat="1" ht="45" x14ac:dyDescent="0.2">
      <c r="A30" s="97"/>
      <c r="B30" s="116"/>
      <c r="C30" s="117" t="s">
        <v>39</v>
      </c>
      <c r="D30" s="117" t="s">
        <v>69</v>
      </c>
      <c r="E30" s="118" t="s">
        <v>968</v>
      </c>
      <c r="F30" s="119" t="s">
        <v>969</v>
      </c>
      <c r="G30" s="120" t="s">
        <v>652</v>
      </c>
      <c r="H30" s="121">
        <v>1</v>
      </c>
      <c r="I30" s="122">
        <v>133571</v>
      </c>
      <c r="J30" s="122">
        <v>133571</v>
      </c>
      <c r="K30" s="85">
        <v>0</v>
      </c>
      <c r="L30" s="86">
        <f t="shared" si="2"/>
        <v>133571</v>
      </c>
      <c r="M30" s="277">
        <f t="shared" si="3"/>
        <v>0</v>
      </c>
      <c r="N30" s="87">
        <f t="shared" si="4"/>
        <v>1</v>
      </c>
      <c r="O30" s="88">
        <f t="shared" si="5"/>
        <v>133571</v>
      </c>
      <c r="P30" s="278">
        <f t="shared" si="6"/>
        <v>133571</v>
      </c>
      <c r="Q30" s="151"/>
      <c r="U30" s="109">
        <v>0.2</v>
      </c>
      <c r="Y30" s="148" t="s">
        <v>1171</v>
      </c>
      <c r="Z30" s="149" t="s">
        <v>1184</v>
      </c>
      <c r="AA30" s="150" t="s">
        <v>1197</v>
      </c>
      <c r="AB30" s="109" t="s">
        <v>1034</v>
      </c>
      <c r="AF30" s="148" t="s">
        <v>1226</v>
      </c>
      <c r="AG30" s="109" t="s">
        <v>1244</v>
      </c>
      <c r="AH30" s="150" t="s">
        <v>1258</v>
      </c>
    </row>
    <row r="31" spans="1:34" s="109" customFormat="1" ht="36" x14ac:dyDescent="0.2">
      <c r="A31" s="97"/>
      <c r="B31" s="116"/>
      <c r="C31" s="117" t="s">
        <v>41</v>
      </c>
      <c r="D31" s="117" t="s">
        <v>69</v>
      </c>
      <c r="E31" s="118" t="s">
        <v>970</v>
      </c>
      <c r="F31" s="119" t="s">
        <v>971</v>
      </c>
      <c r="G31" s="120" t="s">
        <v>652</v>
      </c>
      <c r="H31" s="121">
        <v>1</v>
      </c>
      <c r="I31" s="122">
        <v>45414</v>
      </c>
      <c r="J31" s="122">
        <v>45414</v>
      </c>
      <c r="K31" s="85">
        <v>0</v>
      </c>
      <c r="L31" s="86">
        <f t="shared" si="2"/>
        <v>45414</v>
      </c>
      <c r="M31" s="277">
        <f t="shared" si="3"/>
        <v>0</v>
      </c>
      <c r="N31" s="87">
        <f t="shared" si="4"/>
        <v>1</v>
      </c>
      <c r="O31" s="88">
        <f t="shared" si="5"/>
        <v>45414</v>
      </c>
      <c r="P31" s="278">
        <f t="shared" si="6"/>
        <v>45414</v>
      </c>
      <c r="Q31" s="151"/>
      <c r="R31" s="151"/>
      <c r="S31" s="151"/>
      <c r="U31" s="109">
        <v>1</v>
      </c>
      <c r="Z31" s="149"/>
    </row>
    <row r="32" spans="1:34" s="109" customFormat="1" ht="45" x14ac:dyDescent="0.2">
      <c r="A32" s="97"/>
      <c r="B32" s="116"/>
      <c r="C32" s="117" t="s">
        <v>114</v>
      </c>
      <c r="D32" s="117" t="s">
        <v>69</v>
      </c>
      <c r="E32" s="118" t="s">
        <v>972</v>
      </c>
      <c r="F32" s="119" t="s">
        <v>973</v>
      </c>
      <c r="G32" s="120" t="s">
        <v>652</v>
      </c>
      <c r="H32" s="121">
        <v>1</v>
      </c>
      <c r="I32" s="122">
        <v>45414</v>
      </c>
      <c r="J32" s="122">
        <v>45414</v>
      </c>
      <c r="K32" s="85">
        <v>0</v>
      </c>
      <c r="L32" s="86">
        <f t="shared" si="2"/>
        <v>45414</v>
      </c>
      <c r="M32" s="277">
        <f t="shared" si="3"/>
        <v>0</v>
      </c>
      <c r="N32" s="87">
        <f t="shared" si="4"/>
        <v>1</v>
      </c>
      <c r="O32" s="88">
        <f t="shared" si="5"/>
        <v>45414</v>
      </c>
      <c r="P32" s="278">
        <f t="shared" si="6"/>
        <v>45414</v>
      </c>
      <c r="Q32" s="152"/>
      <c r="R32" s="151"/>
      <c r="S32" s="151"/>
      <c r="U32" s="109">
        <v>0.625</v>
      </c>
      <c r="Z32" s="149"/>
      <c r="AC32" s="150" t="s">
        <v>1209</v>
      </c>
    </row>
    <row r="33" spans="1:26" s="109" customFormat="1" ht="24" x14ac:dyDescent="0.2">
      <c r="A33" s="97"/>
      <c r="B33" s="116"/>
      <c r="C33" s="117" t="s">
        <v>117</v>
      </c>
      <c r="D33" s="117" t="s">
        <v>69</v>
      </c>
      <c r="E33" s="118" t="s">
        <v>974</v>
      </c>
      <c r="F33" s="119" t="s">
        <v>975</v>
      </c>
      <c r="G33" s="120" t="s">
        <v>652</v>
      </c>
      <c r="H33" s="121">
        <v>1</v>
      </c>
      <c r="I33" s="122">
        <v>317007</v>
      </c>
      <c r="J33" s="122">
        <v>317007</v>
      </c>
      <c r="K33" s="85">
        <v>0</v>
      </c>
      <c r="L33" s="86">
        <f t="shared" si="2"/>
        <v>317007</v>
      </c>
      <c r="M33" s="277">
        <f t="shared" si="3"/>
        <v>0</v>
      </c>
      <c r="N33" s="87">
        <f t="shared" si="4"/>
        <v>1</v>
      </c>
      <c r="O33" s="88">
        <f t="shared" si="5"/>
        <v>317007</v>
      </c>
      <c r="P33" s="278">
        <f t="shared" si="6"/>
        <v>317007</v>
      </c>
      <c r="Q33" s="148" t="s">
        <v>1018</v>
      </c>
      <c r="U33" s="109">
        <v>0.875</v>
      </c>
      <c r="Z33" s="149"/>
    </row>
    <row r="34" spans="1:26" s="109" customFormat="1" x14ac:dyDescent="0.2">
      <c r="A34" s="97"/>
      <c r="B34" s="97"/>
      <c r="C34" s="97"/>
      <c r="D34" s="97"/>
      <c r="E34" s="97"/>
      <c r="F34" s="97"/>
      <c r="G34" s="97"/>
      <c r="H34" s="97"/>
      <c r="I34" s="97"/>
      <c r="J34" s="97"/>
      <c r="Q34" s="151"/>
      <c r="Z34" s="149"/>
    </row>
    <row r="35" spans="1:26" ht="12.75" x14ac:dyDescent="0.2">
      <c r="D35" s="89"/>
      <c r="E35" s="141" t="str">
        <f>CONCATENATE("CELKEM ",C$12)</f>
        <v>CELKEM 08 - VRN</v>
      </c>
      <c r="F35" s="90"/>
      <c r="G35" s="90"/>
      <c r="H35" s="91"/>
      <c r="I35" s="90"/>
      <c r="J35" s="92">
        <v>1931265</v>
      </c>
      <c r="K35" s="94"/>
      <c r="L35" s="92"/>
      <c r="M35" s="295">
        <f t="shared" ref="M35" si="7">SUM(M14:M33)</f>
        <v>0</v>
      </c>
      <c r="N35" s="295"/>
      <c r="O35" s="295"/>
      <c r="P35" s="295">
        <f>SUM(P14:P33)</f>
        <v>1931265</v>
      </c>
      <c r="Q35" s="171"/>
    </row>
    <row r="36" spans="1:26" x14ac:dyDescent="0.2">
      <c r="I36" s="95"/>
      <c r="Q36" s="171"/>
    </row>
    <row r="37" spans="1:26" ht="14.25" x14ac:dyDescent="0.2">
      <c r="E37" s="58" t="s">
        <v>994</v>
      </c>
      <c r="F37" s="58"/>
      <c r="H37" s="96"/>
      <c r="J37" s="161"/>
      <c r="K37" s="58" t="s">
        <v>995</v>
      </c>
    </row>
  </sheetData>
  <protectedRanges>
    <protectedRange password="CCAA" sqref="K8" name="Oblast1_1_1_1_1_1_1"/>
    <protectedRange password="CCAA" sqref="D9:H10" name="Oblast1_2_1_1_1_1_1"/>
  </protectedRanges>
  <autoFilter ref="C10:P33" xr:uid="{C1AD574D-1F4E-4D44-9F52-63B986F752F8}"/>
  <mergeCells count="2">
    <mergeCell ref="K9:M9"/>
    <mergeCell ref="N9:P9"/>
  </mergeCells>
  <conditionalFormatting sqref="D3:E7 K8:P8 L37:HO37 D1:J1 Q8:GB9 D2:F2 H2:J7 Q10:R10 T10:GB10 K1:GA7 K13:L33 M35:GL35">
    <cfRule type="cellIs" dxfId="17" priority="88" operator="lessThan">
      <formula>0</formula>
    </cfRule>
  </conditionalFormatting>
  <conditionalFormatting sqref="G4">
    <cfRule type="cellIs" dxfId="16" priority="87" operator="lessThan">
      <formula>0</formula>
    </cfRule>
  </conditionalFormatting>
  <conditionalFormatting sqref="G3">
    <cfRule type="cellIs" dxfId="15" priority="86" operator="lessThan">
      <formula>0</formula>
    </cfRule>
  </conditionalFormatting>
  <conditionalFormatting sqref="D8:E8 H8:J8">
    <cfRule type="cellIs" dxfId="14" priority="85" operator="lessThan">
      <formula>0</formula>
    </cfRule>
  </conditionalFormatting>
  <conditionalFormatting sqref="N13:O33">
    <cfRule type="cellIs" dxfId="13" priority="36" operator="lessThan">
      <formula>0</formula>
    </cfRule>
  </conditionalFormatting>
  <conditionalFormatting sqref="N13:O33">
    <cfRule type="cellIs" dxfId="12" priority="35" operator="lessThan">
      <formula>0</formula>
    </cfRule>
  </conditionalFormatting>
  <conditionalFormatting sqref="K35">
    <cfRule type="cellIs" dxfId="11" priority="34" operator="lessThan">
      <formula>0</formula>
    </cfRule>
  </conditionalFormatting>
  <conditionalFormatting sqref="D35:J35">
    <cfRule type="cellIs" dxfId="10" priority="32" operator="lessThan">
      <formula>0</formula>
    </cfRule>
  </conditionalFormatting>
  <conditionalFormatting sqref="D37 G37:I37">
    <cfRule type="cellIs" dxfId="9" priority="22" operator="lessThan">
      <formula>0</formula>
    </cfRule>
  </conditionalFormatting>
  <conditionalFormatting sqref="G37:I37 L37:M37">
    <cfRule type="cellIs" dxfId="8" priority="21" operator="lessThan">
      <formula>0</formula>
    </cfRule>
  </conditionalFormatting>
  <conditionalFormatting sqref="G37:I37">
    <cfRule type="cellIs" dxfId="7" priority="20" operator="lessThan">
      <formula>0</formula>
    </cfRule>
  </conditionalFormatting>
  <conditionalFormatting sqref="G37:I37">
    <cfRule type="cellIs" dxfId="6" priority="19" operator="lessThan">
      <formula>0</formula>
    </cfRule>
  </conditionalFormatting>
  <conditionalFormatting sqref="L35">
    <cfRule type="cellIs" dxfId="5" priority="7" operator="lessThan">
      <formula>0</formula>
    </cfRule>
  </conditionalFormatting>
  <conditionalFormatting sqref="G2">
    <cfRule type="cellIs" dxfId="4" priority="5" operator="lessThan">
      <formula>0</formula>
    </cfRule>
  </conditionalFormatting>
  <conditionalFormatting sqref="S10">
    <cfRule type="cellIs" dxfId="3" priority="4" operator="lessThan">
      <formula>0</formula>
    </cfRule>
  </conditionalFormatting>
  <conditionalFormatting sqref="D9:J10">
    <cfRule type="cellIs" dxfId="2" priority="3" operator="lessThan">
      <formula>0</formula>
    </cfRule>
  </conditionalFormatting>
  <conditionalFormatting sqref="K9:L10 N9:O9">
    <cfRule type="cellIs" dxfId="1" priority="2" operator="lessThan">
      <formula>0</formula>
    </cfRule>
  </conditionalFormatting>
  <conditionalFormatting sqref="M10:P10">
    <cfRule type="cellIs" dxfId="0" priority="1" operator="lessThan">
      <formula>0</formula>
    </cfRule>
  </conditionalFormatting>
  <pageMargins left="0.39370078740157483" right="0.39370078740157483" top="0.39370078740157483" bottom="0.39370078740157483" header="0" footer="0"/>
  <pageSetup paperSize="9" scale="50" fitToHeight="0" orientation="portrait" r:id="rId1"/>
  <headerFooter>
    <oddFooter>&amp;CStrana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AU117"/>
  <sheetViews>
    <sheetView showGridLines="0" view="pageBreakPreview" topLeftCell="A34" zoomScale="85" zoomScaleNormal="85" zoomScaleSheetLayoutView="85" workbookViewId="0">
      <selection activeCell="J115" sqref="J115:M115"/>
    </sheetView>
  </sheetViews>
  <sheetFormatPr defaultColWidth="9.33203125" defaultRowHeight="11.25" x14ac:dyDescent="0.2"/>
  <cols>
    <col min="1" max="1" width="8.33203125" style="60" customWidth="1"/>
    <col min="2" max="2" width="1.6640625" style="60" customWidth="1"/>
    <col min="3" max="3" width="4.1640625" style="60" customWidth="1"/>
    <col min="4" max="4" width="4.33203125" style="60" customWidth="1"/>
    <col min="5" max="5" width="17.1640625" style="60" customWidth="1"/>
    <col min="6" max="6" width="50.83203125" style="60" customWidth="1"/>
    <col min="7" max="7" width="7" style="60" customWidth="1"/>
    <col min="8" max="8" width="11.5" style="60" customWidth="1"/>
    <col min="9" max="10" width="20.1640625" style="60" customWidth="1"/>
    <col min="11" max="11" width="17.6640625" style="60" bestFit="1" customWidth="1"/>
    <col min="12" max="12" width="20.1640625" style="60" customWidth="1"/>
    <col min="13" max="13" width="15" style="60" customWidth="1"/>
    <col min="14" max="14" width="13.83203125" style="60" customWidth="1"/>
    <col min="15" max="15" width="16.83203125" style="60" customWidth="1"/>
    <col min="16" max="16" width="22" style="60" customWidth="1"/>
    <col min="17" max="18" width="24.33203125" style="60" hidden="1" customWidth="1"/>
    <col min="19" max="19" width="23.1640625" style="164" hidden="1" customWidth="1"/>
    <col min="20" max="20" width="19.33203125" style="164" hidden="1" customWidth="1"/>
    <col min="21" max="21" width="32.33203125" style="60" hidden="1" customWidth="1"/>
    <col min="22" max="22" width="0" style="60" hidden="1" customWidth="1"/>
    <col min="23" max="23" width="43.6640625" style="60" hidden="1" customWidth="1"/>
    <col min="24" max="25" width="0" style="60" hidden="1" customWidth="1"/>
    <col min="26" max="26" width="20.5" style="60" hidden="1" customWidth="1"/>
    <col min="27" max="28" width="0" style="60" hidden="1" customWidth="1"/>
    <col min="29" max="29" width="21.83203125" style="60" hidden="1" customWidth="1"/>
    <col min="30" max="30" width="16.6640625" style="60" hidden="1" customWidth="1"/>
    <col min="31" max="31" width="24.83203125" style="60" hidden="1" customWidth="1"/>
    <col min="32" max="32" width="0" style="60" hidden="1" customWidth="1"/>
    <col min="33" max="16384" width="9.33203125" style="60"/>
  </cols>
  <sheetData>
    <row r="1" spans="1:31" ht="15" x14ac:dyDescent="0.2">
      <c r="F1" s="3"/>
      <c r="G1" s="4"/>
      <c r="H1" s="1"/>
      <c r="J1" s="61"/>
      <c r="K1" s="62"/>
    </row>
    <row r="2" spans="1:31" s="1" customFormat="1" ht="15.75" x14ac:dyDescent="0.25">
      <c r="E2" s="2"/>
      <c r="F2" s="3" t="s">
        <v>979</v>
      </c>
      <c r="G2" s="4" t="s">
        <v>1058</v>
      </c>
      <c r="I2" s="5"/>
      <c r="J2" s="63"/>
      <c r="K2" s="5"/>
      <c r="L2" s="6"/>
      <c r="M2" s="7"/>
      <c r="N2" s="6"/>
      <c r="O2" s="10"/>
      <c r="P2" s="11"/>
      <c r="S2" s="165"/>
      <c r="T2" s="165"/>
    </row>
    <row r="3" spans="1:31" s="1" customFormat="1" ht="15.75" x14ac:dyDescent="0.25">
      <c r="E3" s="2"/>
      <c r="F3" s="3" t="s">
        <v>980</v>
      </c>
      <c r="G3" s="4" t="str">
        <f>+'Rekapitulace stavby'!D2</f>
        <v>ÚHERCE, výstavba kanalizace - UZNATELNÉ NÁKLADY - doměrky</v>
      </c>
      <c r="H3" s="2"/>
      <c r="I3" s="5"/>
      <c r="J3" s="63"/>
      <c r="K3" s="5"/>
      <c r="L3" s="6"/>
      <c r="M3" s="7"/>
      <c r="N3" s="6"/>
      <c r="O3" s="10"/>
      <c r="P3" s="11"/>
      <c r="S3" s="165"/>
      <c r="T3" s="165"/>
    </row>
    <row r="4" spans="1:31" s="2" customFormat="1" ht="15.75" x14ac:dyDescent="0.25">
      <c r="F4" s="12" t="s">
        <v>981</v>
      </c>
      <c r="G4" s="13" t="str">
        <f>'[1]VRN 01'!G5</f>
        <v>VRI/SOD/2020/Ži</v>
      </c>
      <c r="I4" s="5"/>
      <c r="J4" s="65"/>
      <c r="K4" s="5"/>
      <c r="L4" s="14"/>
      <c r="M4" s="15"/>
      <c r="N4" s="14"/>
      <c r="O4" s="18"/>
      <c r="P4" s="19"/>
      <c r="S4" s="166"/>
      <c r="T4" s="166"/>
    </row>
    <row r="5" spans="1:31" s="2" customFormat="1" ht="15.75" x14ac:dyDescent="0.25">
      <c r="F5" s="12" t="s">
        <v>983</v>
      </c>
      <c r="G5" s="13" t="s">
        <v>1001</v>
      </c>
      <c r="I5" s="5"/>
      <c r="J5" s="65"/>
      <c r="K5" s="5"/>
      <c r="L5" s="14"/>
      <c r="M5" s="15"/>
      <c r="N5" s="14"/>
      <c r="O5" s="18"/>
      <c r="P5" s="19"/>
      <c r="S5" s="166"/>
      <c r="T5" s="166"/>
    </row>
    <row r="6" spans="1:31" s="2" customFormat="1" ht="15.75" x14ac:dyDescent="0.25">
      <c r="F6" s="3" t="s">
        <v>984</v>
      </c>
      <c r="G6" s="13" t="str">
        <f>'[1]VRN 01'!G7</f>
        <v>Vododvody a kanalizace Mladá Boleslav, a.s.</v>
      </c>
      <c r="I6" s="5"/>
      <c r="J6" s="65"/>
      <c r="K6" s="5"/>
      <c r="L6" s="14"/>
      <c r="M6" s="15"/>
      <c r="N6" s="14"/>
      <c r="O6" s="18"/>
      <c r="P6" s="19"/>
      <c r="S6" s="166"/>
      <c r="T6" s="166"/>
    </row>
    <row r="7" spans="1:31" s="2" customFormat="1" ht="15.75" x14ac:dyDescent="0.25">
      <c r="F7" s="3" t="s">
        <v>986</v>
      </c>
      <c r="G7" s="20" t="str">
        <f>'[1]VRN 01'!G8</f>
        <v>VCES a.s.</v>
      </c>
      <c r="H7" s="67"/>
      <c r="I7" s="5"/>
      <c r="J7" s="65"/>
      <c r="K7" s="5"/>
      <c r="L7" s="14"/>
      <c r="M7" s="15"/>
      <c r="N7" s="14"/>
      <c r="O7" s="18"/>
      <c r="P7" s="19"/>
      <c r="S7" s="166"/>
      <c r="T7" s="166"/>
    </row>
    <row r="8" spans="1:31" s="68" customFormat="1" ht="12.75" x14ac:dyDescent="0.2">
      <c r="D8" s="69"/>
      <c r="F8" s="3"/>
      <c r="G8" s="20"/>
      <c r="H8" s="67"/>
      <c r="J8" s="326" t="s">
        <v>1259</v>
      </c>
      <c r="K8" s="326"/>
      <c r="L8" s="71"/>
      <c r="M8" s="337"/>
      <c r="N8" s="337"/>
      <c r="O8" s="72"/>
      <c r="P8" s="73"/>
      <c r="S8" s="167"/>
      <c r="T8" s="167"/>
    </row>
    <row r="9" spans="1:31" s="75" customFormat="1" ht="12.75" x14ac:dyDescent="0.2">
      <c r="C9" s="76"/>
      <c r="D9" s="77"/>
      <c r="E9" s="77"/>
      <c r="F9" s="77"/>
      <c r="G9" s="77"/>
      <c r="H9" s="77"/>
      <c r="I9" s="78"/>
      <c r="J9" s="79"/>
      <c r="K9" s="332" t="s">
        <v>1266</v>
      </c>
      <c r="L9" s="332"/>
      <c r="M9" s="332"/>
      <c r="N9" s="333" t="s">
        <v>1267</v>
      </c>
      <c r="O9" s="333"/>
      <c r="P9" s="334"/>
      <c r="S9" s="168"/>
      <c r="T9" s="168"/>
    </row>
    <row r="10" spans="1:31" s="75" customFormat="1" ht="24" x14ac:dyDescent="0.2">
      <c r="C10" s="80"/>
      <c r="D10" s="81" t="s">
        <v>997</v>
      </c>
      <c r="E10" s="81" t="s">
        <v>976</v>
      </c>
      <c r="F10" s="81" t="s">
        <v>977</v>
      </c>
      <c r="G10" s="81" t="s">
        <v>64</v>
      </c>
      <c r="H10" s="82" t="s">
        <v>65</v>
      </c>
      <c r="I10" s="83" t="s">
        <v>998</v>
      </c>
      <c r="J10" s="84" t="s">
        <v>978</v>
      </c>
      <c r="K10" s="218" t="s">
        <v>999</v>
      </c>
      <c r="L10" s="219" t="s">
        <v>1260</v>
      </c>
      <c r="M10" s="220" t="s">
        <v>978</v>
      </c>
      <c r="N10" s="221" t="s">
        <v>1264</v>
      </c>
      <c r="O10" s="222" t="s">
        <v>1260</v>
      </c>
      <c r="P10" s="223" t="s">
        <v>978</v>
      </c>
      <c r="Q10" s="157" t="s">
        <v>1012</v>
      </c>
      <c r="R10" s="157" t="s">
        <v>1019</v>
      </c>
      <c r="S10" s="169" t="s">
        <v>1037</v>
      </c>
      <c r="T10" s="168"/>
      <c r="U10" s="157" t="s">
        <v>1106</v>
      </c>
      <c r="W10" s="157" t="s">
        <v>1125</v>
      </c>
      <c r="Z10" s="157" t="s">
        <v>1132</v>
      </c>
      <c r="AC10" s="157" t="s">
        <v>1150</v>
      </c>
      <c r="AE10" s="157" t="s">
        <v>1186</v>
      </c>
    </row>
    <row r="11" spans="1:31" s="109" customFormat="1" x14ac:dyDescent="0.2">
      <c r="A11" s="97"/>
      <c r="B11" s="97"/>
      <c r="C11" s="97"/>
      <c r="D11" s="97"/>
      <c r="E11" s="97"/>
      <c r="F11" s="97"/>
      <c r="G11" s="97"/>
      <c r="H11" s="97"/>
      <c r="I11" s="97"/>
      <c r="J11" s="97"/>
      <c r="M11" s="184" t="s">
        <v>1000</v>
      </c>
      <c r="S11" s="149"/>
      <c r="T11" s="149"/>
    </row>
    <row r="12" spans="1:31" s="109" customFormat="1" ht="15.75" x14ac:dyDescent="0.25">
      <c r="A12" s="97"/>
      <c r="B12" s="97"/>
      <c r="C12" s="98" t="s">
        <v>313</v>
      </c>
      <c r="D12" s="97"/>
      <c r="E12" s="97"/>
      <c r="F12" s="97"/>
      <c r="G12" s="97"/>
      <c r="H12" s="97"/>
      <c r="I12" s="97"/>
      <c r="J12" s="99">
        <v>6931440.4800000004</v>
      </c>
      <c r="M12" s="184" t="s">
        <v>1000</v>
      </c>
      <c r="R12" s="327" t="s">
        <v>1022</v>
      </c>
      <c r="S12" s="149"/>
      <c r="T12" s="149"/>
    </row>
    <row r="13" spans="1:31" s="110" customFormat="1" ht="15" x14ac:dyDescent="0.2">
      <c r="D13" s="111" t="s">
        <v>3</v>
      </c>
      <c r="E13" s="112" t="s">
        <v>66</v>
      </c>
      <c r="F13" s="112" t="s">
        <v>67</v>
      </c>
      <c r="J13" s="113">
        <v>6931440.4800000004</v>
      </c>
      <c r="M13" s="185" t="s">
        <v>1000</v>
      </c>
      <c r="R13" s="327"/>
      <c r="S13" s="170"/>
      <c r="T13" s="170"/>
      <c r="Z13" s="172" t="s">
        <v>1134</v>
      </c>
    </row>
    <row r="14" spans="1:31" s="110" customFormat="1" ht="12.75" x14ac:dyDescent="0.2">
      <c r="C14" s="252"/>
      <c r="D14" s="253" t="s">
        <v>3</v>
      </c>
      <c r="E14" s="254" t="s">
        <v>7</v>
      </c>
      <c r="F14" s="254" t="s">
        <v>68</v>
      </c>
      <c r="G14" s="252"/>
      <c r="H14" s="252"/>
      <c r="I14" s="252"/>
      <c r="J14" s="255">
        <v>2745546.5000000005</v>
      </c>
      <c r="K14" s="252"/>
      <c r="L14" s="252"/>
      <c r="M14" s="259">
        <f>SUM(M15:M46)</f>
        <v>-453.65000000000003</v>
      </c>
      <c r="N14" s="252"/>
      <c r="O14" s="252"/>
      <c r="P14" s="259">
        <f>SUM(P15:P46)</f>
        <v>2745092.8117700005</v>
      </c>
      <c r="Q14" s="176" t="s">
        <v>1003</v>
      </c>
      <c r="R14" s="327"/>
      <c r="S14" s="170"/>
      <c r="T14" s="170"/>
    </row>
    <row r="15" spans="1:31" s="109" customFormat="1" ht="60" x14ac:dyDescent="0.2">
      <c r="A15" s="97"/>
      <c r="B15" s="116"/>
      <c r="C15" s="117" t="s">
        <v>7</v>
      </c>
      <c r="D15" s="117" t="s">
        <v>69</v>
      </c>
      <c r="E15" s="118" t="s">
        <v>77</v>
      </c>
      <c r="F15" s="119" t="s">
        <v>78</v>
      </c>
      <c r="G15" s="120" t="s">
        <v>72</v>
      </c>
      <c r="H15" s="121">
        <v>27.72</v>
      </c>
      <c r="I15" s="122">
        <v>21.04</v>
      </c>
      <c r="J15" s="122">
        <v>583.23</v>
      </c>
      <c r="K15" s="206">
        <v>0</v>
      </c>
      <c r="L15" s="210">
        <f>I15</f>
        <v>21.04</v>
      </c>
      <c r="M15" s="207">
        <f>ROUND(K15*L15,2)</f>
        <v>0</v>
      </c>
      <c r="N15" s="211">
        <f>H15+K15</f>
        <v>27.72</v>
      </c>
      <c r="O15" s="208">
        <f>I15</f>
        <v>21.04</v>
      </c>
      <c r="P15" s="209">
        <f>N15*O15</f>
        <v>583.22879999999998</v>
      </c>
      <c r="Q15" s="151"/>
      <c r="R15" s="151"/>
      <c r="S15" s="152"/>
      <c r="T15" s="152"/>
      <c r="U15" s="151"/>
      <c r="V15" s="151"/>
      <c r="W15" s="151"/>
      <c r="AE15" s="177"/>
    </row>
    <row r="16" spans="1:31" s="109" customFormat="1" ht="60" x14ac:dyDescent="0.2">
      <c r="A16" s="97"/>
      <c r="B16" s="116"/>
      <c r="C16" s="117" t="s">
        <v>8</v>
      </c>
      <c r="D16" s="117" t="s">
        <v>69</v>
      </c>
      <c r="E16" s="118" t="s">
        <v>79</v>
      </c>
      <c r="F16" s="119" t="s">
        <v>80</v>
      </c>
      <c r="G16" s="120" t="s">
        <v>72</v>
      </c>
      <c r="H16" s="121">
        <v>695.55200000000002</v>
      </c>
      <c r="I16" s="122">
        <v>26.3</v>
      </c>
      <c r="J16" s="122">
        <v>18293.02</v>
      </c>
      <c r="K16" s="206">
        <v>0</v>
      </c>
      <c r="L16" s="210">
        <f t="shared" ref="L16:L79" si="0">I16</f>
        <v>26.3</v>
      </c>
      <c r="M16" s="207">
        <f t="shared" ref="M16:M79" si="1">ROUND(K16*L16,2)</f>
        <v>0</v>
      </c>
      <c r="N16" s="211">
        <f t="shared" ref="N16:N79" si="2">H16+K16</f>
        <v>695.55200000000002</v>
      </c>
      <c r="O16" s="208">
        <f t="shared" ref="O16:O79" si="3">I16</f>
        <v>26.3</v>
      </c>
      <c r="P16" s="209">
        <f t="shared" ref="P16:P79" si="4">N16*O16</f>
        <v>18293.017600000003</v>
      </c>
      <c r="Q16" s="151"/>
      <c r="R16" s="151"/>
      <c r="S16" s="152"/>
      <c r="T16" s="152"/>
      <c r="U16" s="151"/>
      <c r="V16" s="151"/>
      <c r="W16" s="151"/>
      <c r="AE16" s="177"/>
    </row>
    <row r="17" spans="1:31" s="109" customFormat="1" ht="60" x14ac:dyDescent="0.2">
      <c r="A17" s="97"/>
      <c r="B17" s="116"/>
      <c r="C17" s="117" t="s">
        <v>76</v>
      </c>
      <c r="D17" s="117" t="s">
        <v>69</v>
      </c>
      <c r="E17" s="118" t="s">
        <v>74</v>
      </c>
      <c r="F17" s="119" t="s">
        <v>75</v>
      </c>
      <c r="G17" s="120" t="s">
        <v>72</v>
      </c>
      <c r="H17" s="121">
        <v>345.411</v>
      </c>
      <c r="I17" s="122">
        <v>40.770000000000003</v>
      </c>
      <c r="J17" s="122">
        <v>14082.41</v>
      </c>
      <c r="K17" s="206">
        <v>0</v>
      </c>
      <c r="L17" s="210">
        <f t="shared" si="0"/>
        <v>40.770000000000003</v>
      </c>
      <c r="M17" s="207">
        <f t="shared" si="1"/>
        <v>0</v>
      </c>
      <c r="N17" s="211">
        <f t="shared" si="2"/>
        <v>345.411</v>
      </c>
      <c r="O17" s="208">
        <f t="shared" si="3"/>
        <v>40.770000000000003</v>
      </c>
      <c r="P17" s="209">
        <f t="shared" si="4"/>
        <v>14082.406470000002</v>
      </c>
      <c r="Q17" s="151"/>
      <c r="R17" s="151"/>
      <c r="S17" s="152"/>
      <c r="T17" s="152"/>
      <c r="U17" s="151"/>
      <c r="V17" s="151"/>
      <c r="W17" s="151"/>
      <c r="AE17" s="177"/>
    </row>
    <row r="18" spans="1:31" s="109" customFormat="1" ht="60" x14ac:dyDescent="0.2">
      <c r="A18" s="97"/>
      <c r="B18" s="116"/>
      <c r="C18" s="117" t="s">
        <v>73</v>
      </c>
      <c r="D18" s="117" t="s">
        <v>69</v>
      </c>
      <c r="E18" s="118" t="s">
        <v>314</v>
      </c>
      <c r="F18" s="119" t="s">
        <v>315</v>
      </c>
      <c r="G18" s="120" t="s">
        <v>72</v>
      </c>
      <c r="H18" s="121">
        <v>350.14100000000002</v>
      </c>
      <c r="I18" s="122">
        <v>519.33000000000004</v>
      </c>
      <c r="J18" s="122">
        <v>181838.73</v>
      </c>
      <c r="K18" s="206">
        <v>0</v>
      </c>
      <c r="L18" s="210">
        <f t="shared" si="0"/>
        <v>519.33000000000004</v>
      </c>
      <c r="M18" s="207">
        <f t="shared" si="1"/>
        <v>0</v>
      </c>
      <c r="N18" s="211">
        <f t="shared" si="2"/>
        <v>350.14100000000002</v>
      </c>
      <c r="O18" s="208">
        <f t="shared" si="3"/>
        <v>519.33000000000004</v>
      </c>
      <c r="P18" s="209">
        <f t="shared" si="4"/>
        <v>181838.72553000003</v>
      </c>
      <c r="Q18" s="151"/>
      <c r="R18" s="151"/>
      <c r="S18" s="152"/>
      <c r="T18" s="152"/>
      <c r="U18" s="151"/>
      <c r="V18" s="151"/>
      <c r="W18" s="151"/>
      <c r="AE18" s="177"/>
    </row>
    <row r="19" spans="1:31" s="109" customFormat="1" ht="60" x14ac:dyDescent="0.2">
      <c r="A19" s="97"/>
      <c r="B19" s="116"/>
      <c r="C19" s="117" t="s">
        <v>81</v>
      </c>
      <c r="D19" s="117" t="s">
        <v>69</v>
      </c>
      <c r="E19" s="118" t="s">
        <v>82</v>
      </c>
      <c r="F19" s="119" t="s">
        <v>83</v>
      </c>
      <c r="G19" s="120" t="s">
        <v>72</v>
      </c>
      <c r="H19" s="121">
        <v>345.411</v>
      </c>
      <c r="I19" s="122">
        <v>39.46</v>
      </c>
      <c r="J19" s="122">
        <v>13629.92</v>
      </c>
      <c r="K19" s="206">
        <v>0</v>
      </c>
      <c r="L19" s="210">
        <f t="shared" si="0"/>
        <v>39.46</v>
      </c>
      <c r="M19" s="207">
        <f t="shared" si="1"/>
        <v>0</v>
      </c>
      <c r="N19" s="211">
        <f t="shared" si="2"/>
        <v>345.411</v>
      </c>
      <c r="O19" s="208">
        <f t="shared" si="3"/>
        <v>39.46</v>
      </c>
      <c r="P19" s="209">
        <f t="shared" si="4"/>
        <v>13629.91806</v>
      </c>
      <c r="Q19" s="151"/>
      <c r="R19" s="151"/>
      <c r="S19" s="152"/>
      <c r="T19" s="152"/>
      <c r="U19" s="151"/>
      <c r="V19" s="151"/>
      <c r="W19" s="151"/>
      <c r="AE19" s="177"/>
    </row>
    <row r="20" spans="1:31" s="109" customFormat="1" ht="60" x14ac:dyDescent="0.2">
      <c r="A20" s="97"/>
      <c r="B20" s="116"/>
      <c r="C20" s="117" t="s">
        <v>84</v>
      </c>
      <c r="D20" s="117" t="s">
        <v>69</v>
      </c>
      <c r="E20" s="118" t="s">
        <v>316</v>
      </c>
      <c r="F20" s="119" t="s">
        <v>317</v>
      </c>
      <c r="G20" s="120" t="s">
        <v>72</v>
      </c>
      <c r="H20" s="121">
        <v>350.14100000000002</v>
      </c>
      <c r="I20" s="122">
        <v>77.599999999999994</v>
      </c>
      <c r="J20" s="122">
        <v>27170.94</v>
      </c>
      <c r="K20" s="206">
        <v>0</v>
      </c>
      <c r="L20" s="210">
        <f t="shared" si="0"/>
        <v>77.599999999999994</v>
      </c>
      <c r="M20" s="207">
        <f t="shared" si="1"/>
        <v>0</v>
      </c>
      <c r="N20" s="211">
        <f t="shared" si="2"/>
        <v>350.14100000000002</v>
      </c>
      <c r="O20" s="208">
        <f t="shared" si="3"/>
        <v>77.599999999999994</v>
      </c>
      <c r="P20" s="209">
        <f t="shared" si="4"/>
        <v>27170.941599999998</v>
      </c>
      <c r="Q20" s="151"/>
      <c r="R20" s="151"/>
      <c r="S20" s="152"/>
      <c r="T20" s="152"/>
      <c r="U20" s="151"/>
      <c r="V20" s="151"/>
      <c r="W20" s="151"/>
      <c r="AE20" s="177"/>
    </row>
    <row r="21" spans="1:31" s="109" customFormat="1" ht="48" x14ac:dyDescent="0.2">
      <c r="A21" s="97"/>
      <c r="B21" s="116"/>
      <c r="C21" s="117" t="s">
        <v>87</v>
      </c>
      <c r="D21" s="117" t="s">
        <v>69</v>
      </c>
      <c r="E21" s="118" t="s">
        <v>85</v>
      </c>
      <c r="F21" s="119" t="s">
        <v>86</v>
      </c>
      <c r="G21" s="120" t="s">
        <v>72</v>
      </c>
      <c r="H21" s="121">
        <v>1441.001</v>
      </c>
      <c r="I21" s="122">
        <v>55.24</v>
      </c>
      <c r="J21" s="122">
        <v>79600.899999999994</v>
      </c>
      <c r="K21" s="206">
        <v>0</v>
      </c>
      <c r="L21" s="210">
        <f t="shared" si="0"/>
        <v>55.24</v>
      </c>
      <c r="M21" s="207">
        <f t="shared" si="1"/>
        <v>0</v>
      </c>
      <c r="N21" s="211">
        <f t="shared" si="2"/>
        <v>1441.001</v>
      </c>
      <c r="O21" s="208">
        <f t="shared" si="3"/>
        <v>55.24</v>
      </c>
      <c r="P21" s="209">
        <f t="shared" si="4"/>
        <v>79600.895239999998</v>
      </c>
      <c r="Q21" s="151"/>
      <c r="R21" s="151"/>
      <c r="S21" s="152"/>
      <c r="T21" s="152"/>
      <c r="U21" s="148" t="s">
        <v>1107</v>
      </c>
      <c r="V21" s="151" t="s">
        <v>1035</v>
      </c>
      <c r="W21" s="151"/>
      <c r="Z21" s="148" t="s">
        <v>1133</v>
      </c>
      <c r="AA21" s="109" t="s">
        <v>1008</v>
      </c>
      <c r="AE21" s="177"/>
    </row>
    <row r="22" spans="1:31" s="109" customFormat="1" ht="84" x14ac:dyDescent="0.2">
      <c r="A22" s="97"/>
      <c r="B22" s="116"/>
      <c r="C22" s="117" t="s">
        <v>90</v>
      </c>
      <c r="D22" s="117" t="s">
        <v>69</v>
      </c>
      <c r="E22" s="118" t="s">
        <v>88</v>
      </c>
      <c r="F22" s="119" t="s">
        <v>89</v>
      </c>
      <c r="G22" s="120" t="s">
        <v>61</v>
      </c>
      <c r="H22" s="121">
        <v>23.1</v>
      </c>
      <c r="I22" s="122">
        <v>170.98</v>
      </c>
      <c r="J22" s="122">
        <v>3949.64</v>
      </c>
      <c r="K22" s="206">
        <f>ROUND(686.3/686.43*H22-H22,2)</f>
        <v>0</v>
      </c>
      <c r="L22" s="210">
        <f t="shared" si="0"/>
        <v>170.98</v>
      </c>
      <c r="M22" s="207">
        <f t="shared" si="1"/>
        <v>0</v>
      </c>
      <c r="N22" s="211">
        <f t="shared" si="2"/>
        <v>23.1</v>
      </c>
      <c r="O22" s="208">
        <f t="shared" si="3"/>
        <v>170.98</v>
      </c>
      <c r="P22" s="209">
        <f t="shared" si="4"/>
        <v>3949.6379999999999</v>
      </c>
      <c r="Q22" s="151"/>
      <c r="R22" s="151"/>
      <c r="S22" s="152"/>
      <c r="T22" s="152"/>
      <c r="U22" s="151"/>
      <c r="V22" s="151"/>
      <c r="W22" s="151"/>
      <c r="AE22" s="177"/>
    </row>
    <row r="23" spans="1:31" s="109" customFormat="1" ht="36" x14ac:dyDescent="0.2">
      <c r="A23" s="97"/>
      <c r="B23" s="116"/>
      <c r="C23" s="117" t="s">
        <v>93</v>
      </c>
      <c r="D23" s="117" t="s">
        <v>69</v>
      </c>
      <c r="E23" s="118" t="s">
        <v>318</v>
      </c>
      <c r="F23" s="119" t="s">
        <v>319</v>
      </c>
      <c r="G23" s="120" t="s">
        <v>61</v>
      </c>
      <c r="H23" s="121">
        <v>6.6</v>
      </c>
      <c r="I23" s="122">
        <v>257.77999999999997</v>
      </c>
      <c r="J23" s="122">
        <v>1701.35</v>
      </c>
      <c r="K23" s="206">
        <f t="shared" ref="K23:K48" si="5">ROUND(686.3/686.43*H23-H23,2)</f>
        <v>0</v>
      </c>
      <c r="L23" s="210">
        <f t="shared" si="0"/>
        <v>257.77999999999997</v>
      </c>
      <c r="M23" s="207">
        <f t="shared" si="1"/>
        <v>0</v>
      </c>
      <c r="N23" s="211">
        <f t="shared" si="2"/>
        <v>6.6</v>
      </c>
      <c r="O23" s="208">
        <f t="shared" si="3"/>
        <v>257.77999999999997</v>
      </c>
      <c r="P23" s="209">
        <f t="shared" si="4"/>
        <v>1701.3479999999997</v>
      </c>
      <c r="Q23" s="151"/>
      <c r="R23" s="151"/>
      <c r="S23" s="152"/>
      <c r="T23" s="152"/>
      <c r="U23" s="151"/>
      <c r="V23" s="151"/>
      <c r="W23" s="151"/>
      <c r="AE23" s="177"/>
    </row>
    <row r="24" spans="1:31" s="109" customFormat="1" ht="12" x14ac:dyDescent="0.2">
      <c r="A24" s="97"/>
      <c r="B24" s="116"/>
      <c r="C24" s="117" t="s">
        <v>26</v>
      </c>
      <c r="D24" s="117" t="s">
        <v>69</v>
      </c>
      <c r="E24" s="118" t="s">
        <v>320</v>
      </c>
      <c r="F24" s="119" t="s">
        <v>321</v>
      </c>
      <c r="G24" s="120" t="s">
        <v>322</v>
      </c>
      <c r="H24" s="121">
        <v>1</v>
      </c>
      <c r="I24" s="122">
        <v>6576.1</v>
      </c>
      <c r="J24" s="122">
        <v>6576.1</v>
      </c>
      <c r="K24" s="206">
        <f t="shared" si="5"/>
        <v>0</v>
      </c>
      <c r="L24" s="210">
        <f t="shared" si="0"/>
        <v>6576.1</v>
      </c>
      <c r="M24" s="207">
        <f t="shared" si="1"/>
        <v>0</v>
      </c>
      <c r="N24" s="211">
        <f t="shared" si="2"/>
        <v>1</v>
      </c>
      <c r="O24" s="208">
        <f t="shared" si="3"/>
        <v>6576.1</v>
      </c>
      <c r="P24" s="209">
        <f t="shared" si="4"/>
        <v>6576.1</v>
      </c>
      <c r="Q24" s="151"/>
      <c r="R24" s="151"/>
      <c r="S24" s="152"/>
      <c r="T24" s="152"/>
      <c r="U24" s="151"/>
      <c r="V24" s="151"/>
      <c r="W24" s="151"/>
      <c r="AE24" s="177"/>
    </row>
    <row r="25" spans="1:31" s="109" customFormat="1" ht="84" x14ac:dyDescent="0.2">
      <c r="A25" s="97"/>
      <c r="B25" s="116"/>
      <c r="C25" s="117" t="s">
        <v>28</v>
      </c>
      <c r="D25" s="117" t="s">
        <v>69</v>
      </c>
      <c r="E25" s="118" t="s">
        <v>91</v>
      </c>
      <c r="F25" s="119" t="s">
        <v>92</v>
      </c>
      <c r="G25" s="120" t="s">
        <v>61</v>
      </c>
      <c r="H25" s="121">
        <v>11</v>
      </c>
      <c r="I25" s="122">
        <v>147.30000000000001</v>
      </c>
      <c r="J25" s="122">
        <v>1620.3</v>
      </c>
      <c r="K25" s="206">
        <f t="shared" si="5"/>
        <v>0</v>
      </c>
      <c r="L25" s="210">
        <f t="shared" si="0"/>
        <v>147.30000000000001</v>
      </c>
      <c r="M25" s="207">
        <f t="shared" si="1"/>
        <v>0</v>
      </c>
      <c r="N25" s="211">
        <f t="shared" si="2"/>
        <v>11</v>
      </c>
      <c r="O25" s="208">
        <f t="shared" si="3"/>
        <v>147.30000000000001</v>
      </c>
      <c r="P25" s="209">
        <f t="shared" si="4"/>
        <v>1620.3000000000002</v>
      </c>
      <c r="Q25" s="151"/>
      <c r="R25" s="151"/>
      <c r="S25" s="152"/>
      <c r="T25" s="152"/>
      <c r="U25" s="151"/>
      <c r="V25" s="151"/>
      <c r="W25" s="151"/>
      <c r="AE25" s="177"/>
    </row>
    <row r="26" spans="1:31" s="109" customFormat="1" ht="48" x14ac:dyDescent="0.2">
      <c r="A26" s="97"/>
      <c r="B26" s="116"/>
      <c r="C26" s="117" t="s">
        <v>30</v>
      </c>
      <c r="D26" s="117" t="s">
        <v>69</v>
      </c>
      <c r="E26" s="118" t="s">
        <v>297</v>
      </c>
      <c r="F26" s="119" t="s">
        <v>298</v>
      </c>
      <c r="G26" s="120" t="s">
        <v>62</v>
      </c>
      <c r="H26" s="121">
        <v>0.38600000000000001</v>
      </c>
      <c r="I26" s="122">
        <v>57.87</v>
      </c>
      <c r="J26" s="122">
        <v>22.34</v>
      </c>
      <c r="K26" s="206">
        <f t="shared" si="5"/>
        <v>0</v>
      </c>
      <c r="L26" s="210">
        <f t="shared" si="0"/>
        <v>57.87</v>
      </c>
      <c r="M26" s="207">
        <f t="shared" si="1"/>
        <v>0</v>
      </c>
      <c r="N26" s="211">
        <f t="shared" si="2"/>
        <v>0.38600000000000001</v>
      </c>
      <c r="O26" s="208">
        <f t="shared" si="3"/>
        <v>57.87</v>
      </c>
      <c r="P26" s="209">
        <f t="shared" si="4"/>
        <v>22.337820000000001</v>
      </c>
      <c r="Q26" s="151"/>
      <c r="R26" s="151"/>
      <c r="S26" s="152"/>
      <c r="T26" s="152"/>
      <c r="U26" s="151"/>
      <c r="V26" s="151"/>
      <c r="W26" s="151"/>
      <c r="AE26" s="177"/>
    </row>
    <row r="27" spans="1:31" s="109" customFormat="1" ht="36" x14ac:dyDescent="0.2">
      <c r="A27" s="97"/>
      <c r="B27" s="116"/>
      <c r="C27" s="117" t="s">
        <v>32</v>
      </c>
      <c r="D27" s="117" t="s">
        <v>69</v>
      </c>
      <c r="E27" s="118" t="s">
        <v>94</v>
      </c>
      <c r="F27" s="119" t="s">
        <v>95</v>
      </c>
      <c r="G27" s="120" t="s">
        <v>62</v>
      </c>
      <c r="H27" s="121">
        <v>157.32</v>
      </c>
      <c r="I27" s="122">
        <v>257.77999999999997</v>
      </c>
      <c r="J27" s="122">
        <v>40553.949999999997</v>
      </c>
      <c r="K27" s="206">
        <f t="shared" si="5"/>
        <v>-0.03</v>
      </c>
      <c r="L27" s="210">
        <f t="shared" si="0"/>
        <v>257.77999999999997</v>
      </c>
      <c r="M27" s="207">
        <f t="shared" si="1"/>
        <v>-7.73</v>
      </c>
      <c r="N27" s="211">
        <f t="shared" si="2"/>
        <v>157.29</v>
      </c>
      <c r="O27" s="208">
        <f t="shared" si="3"/>
        <v>257.77999999999997</v>
      </c>
      <c r="P27" s="209">
        <f t="shared" si="4"/>
        <v>40546.216199999995</v>
      </c>
      <c r="Q27" s="151"/>
      <c r="R27" s="151"/>
      <c r="S27" s="152"/>
      <c r="T27" s="152"/>
      <c r="U27" s="151"/>
      <c r="V27" s="151"/>
      <c r="W27" s="151"/>
      <c r="AE27" s="177"/>
    </row>
    <row r="28" spans="1:31" s="109" customFormat="1" ht="48" x14ac:dyDescent="0.2">
      <c r="A28" s="97"/>
      <c r="B28" s="116"/>
      <c r="C28" s="117" t="s">
        <v>34</v>
      </c>
      <c r="D28" s="117" t="s">
        <v>69</v>
      </c>
      <c r="E28" s="118" t="s">
        <v>96</v>
      </c>
      <c r="F28" s="119" t="s">
        <v>97</v>
      </c>
      <c r="G28" s="120" t="s">
        <v>62</v>
      </c>
      <c r="H28" s="121">
        <v>559.11</v>
      </c>
      <c r="I28" s="122">
        <v>234.11</v>
      </c>
      <c r="J28" s="122">
        <v>130893.24</v>
      </c>
      <c r="K28" s="206">
        <f t="shared" si="5"/>
        <v>-0.11</v>
      </c>
      <c r="L28" s="210">
        <f t="shared" si="0"/>
        <v>234.11</v>
      </c>
      <c r="M28" s="207">
        <f t="shared" si="1"/>
        <v>-25.75</v>
      </c>
      <c r="N28" s="211">
        <f t="shared" si="2"/>
        <v>559</v>
      </c>
      <c r="O28" s="208">
        <f t="shared" si="3"/>
        <v>234.11</v>
      </c>
      <c r="P28" s="209">
        <f t="shared" si="4"/>
        <v>130867.49</v>
      </c>
      <c r="Q28" s="151"/>
      <c r="R28" s="151"/>
      <c r="S28" s="152"/>
      <c r="T28" s="152"/>
      <c r="U28" s="151"/>
      <c r="V28" s="151"/>
      <c r="W28" s="151"/>
      <c r="AE28" s="177"/>
    </row>
    <row r="29" spans="1:31" s="109" customFormat="1" ht="48" x14ac:dyDescent="0.2">
      <c r="A29" s="97"/>
      <c r="B29" s="116"/>
      <c r="C29" s="117" t="s">
        <v>1</v>
      </c>
      <c r="D29" s="117" t="s">
        <v>69</v>
      </c>
      <c r="E29" s="118" t="s">
        <v>98</v>
      </c>
      <c r="F29" s="119" t="s">
        <v>99</v>
      </c>
      <c r="G29" s="120" t="s">
        <v>62</v>
      </c>
      <c r="H29" s="121">
        <v>798.02</v>
      </c>
      <c r="I29" s="122">
        <v>257.77999999999997</v>
      </c>
      <c r="J29" s="122">
        <v>205713.6</v>
      </c>
      <c r="K29" s="206">
        <f t="shared" si="5"/>
        <v>-0.15</v>
      </c>
      <c r="L29" s="210">
        <f t="shared" si="0"/>
        <v>257.77999999999997</v>
      </c>
      <c r="M29" s="207">
        <f t="shared" si="1"/>
        <v>-38.67</v>
      </c>
      <c r="N29" s="211">
        <f t="shared" si="2"/>
        <v>797.87</v>
      </c>
      <c r="O29" s="208">
        <f t="shared" si="3"/>
        <v>257.77999999999997</v>
      </c>
      <c r="P29" s="209">
        <f t="shared" si="4"/>
        <v>205674.92859999998</v>
      </c>
      <c r="Q29" s="151"/>
      <c r="R29" s="151"/>
      <c r="S29" s="152"/>
      <c r="T29" s="152"/>
      <c r="U29" s="151"/>
      <c r="V29" s="151"/>
      <c r="W29" s="151"/>
      <c r="AE29" s="177"/>
    </row>
    <row r="30" spans="1:31" s="109" customFormat="1" ht="48" x14ac:dyDescent="0.2">
      <c r="A30" s="97"/>
      <c r="B30" s="116"/>
      <c r="C30" s="117" t="s">
        <v>37</v>
      </c>
      <c r="D30" s="117" t="s">
        <v>69</v>
      </c>
      <c r="E30" s="118" t="s">
        <v>100</v>
      </c>
      <c r="F30" s="119" t="s">
        <v>101</v>
      </c>
      <c r="G30" s="120" t="s">
        <v>62</v>
      </c>
      <c r="H30" s="121">
        <v>298.02</v>
      </c>
      <c r="I30" s="122">
        <v>315.64999999999998</v>
      </c>
      <c r="J30" s="122">
        <v>94070.01</v>
      </c>
      <c r="K30" s="206">
        <f t="shared" si="5"/>
        <v>-0.06</v>
      </c>
      <c r="L30" s="210">
        <f t="shared" si="0"/>
        <v>315.64999999999998</v>
      </c>
      <c r="M30" s="207">
        <f t="shared" si="1"/>
        <v>-18.940000000000001</v>
      </c>
      <c r="N30" s="211">
        <f t="shared" si="2"/>
        <v>297.95999999999998</v>
      </c>
      <c r="O30" s="208">
        <f t="shared" si="3"/>
        <v>315.64999999999998</v>
      </c>
      <c r="P30" s="209">
        <f t="shared" si="4"/>
        <v>94051.073999999993</v>
      </c>
      <c r="Q30" s="151"/>
      <c r="R30" s="151"/>
      <c r="S30" s="152"/>
      <c r="T30" s="152"/>
      <c r="U30" s="151"/>
      <c r="V30" s="151"/>
      <c r="W30" s="151"/>
      <c r="AE30" s="177"/>
    </row>
    <row r="31" spans="1:31" s="109" customFormat="1" ht="36" x14ac:dyDescent="0.2">
      <c r="A31" s="97"/>
      <c r="B31" s="116"/>
      <c r="C31" s="117" t="s">
        <v>39</v>
      </c>
      <c r="D31" s="117" t="s">
        <v>69</v>
      </c>
      <c r="E31" s="118" t="s">
        <v>102</v>
      </c>
      <c r="F31" s="119" t="s">
        <v>103</v>
      </c>
      <c r="G31" s="120" t="s">
        <v>72</v>
      </c>
      <c r="H31" s="121">
        <v>3409.24</v>
      </c>
      <c r="I31" s="122">
        <v>69.709999999999994</v>
      </c>
      <c r="J31" s="122">
        <v>237658.12</v>
      </c>
      <c r="K31" s="206">
        <f t="shared" si="5"/>
        <v>-0.65</v>
      </c>
      <c r="L31" s="210">
        <f t="shared" si="0"/>
        <v>69.709999999999994</v>
      </c>
      <c r="M31" s="207">
        <f t="shared" si="1"/>
        <v>-45.31</v>
      </c>
      <c r="N31" s="211">
        <f t="shared" si="2"/>
        <v>3408.5899999999997</v>
      </c>
      <c r="O31" s="208">
        <f t="shared" si="3"/>
        <v>69.709999999999994</v>
      </c>
      <c r="P31" s="209">
        <f t="shared" si="4"/>
        <v>237612.80889999995</v>
      </c>
      <c r="Q31" s="178" t="s">
        <v>1013</v>
      </c>
      <c r="R31" s="151"/>
      <c r="S31" s="152"/>
      <c r="T31" s="152"/>
      <c r="U31" s="151"/>
      <c r="V31" s="151"/>
      <c r="W31" s="151"/>
      <c r="AE31" s="177"/>
    </row>
    <row r="32" spans="1:31" s="109" customFormat="1" ht="48" x14ac:dyDescent="0.2">
      <c r="A32" s="97"/>
      <c r="B32" s="116"/>
      <c r="C32" s="117" t="s">
        <v>41</v>
      </c>
      <c r="D32" s="117" t="s">
        <v>69</v>
      </c>
      <c r="E32" s="118" t="s">
        <v>104</v>
      </c>
      <c r="F32" s="119" t="s">
        <v>105</v>
      </c>
      <c r="G32" s="120" t="s">
        <v>72</v>
      </c>
      <c r="H32" s="121">
        <v>3409.24</v>
      </c>
      <c r="I32" s="122">
        <v>80.23</v>
      </c>
      <c r="J32" s="122">
        <v>273523.33</v>
      </c>
      <c r="K32" s="206">
        <f t="shared" si="5"/>
        <v>-0.65</v>
      </c>
      <c r="L32" s="210">
        <f t="shared" si="0"/>
        <v>80.23</v>
      </c>
      <c r="M32" s="207">
        <f t="shared" si="1"/>
        <v>-52.15</v>
      </c>
      <c r="N32" s="211">
        <f t="shared" si="2"/>
        <v>3408.5899999999997</v>
      </c>
      <c r="O32" s="208">
        <f t="shared" si="3"/>
        <v>80.23</v>
      </c>
      <c r="P32" s="209">
        <f t="shared" si="4"/>
        <v>273471.17569999996</v>
      </c>
      <c r="Q32" s="178" t="s">
        <v>1013</v>
      </c>
      <c r="R32" s="151"/>
      <c r="S32" s="152"/>
      <c r="T32" s="152"/>
      <c r="U32" s="151"/>
      <c r="V32" s="151"/>
      <c r="W32" s="151"/>
      <c r="AE32" s="177"/>
    </row>
    <row r="33" spans="1:32" s="109" customFormat="1" ht="48" x14ac:dyDescent="0.2">
      <c r="A33" s="97"/>
      <c r="B33" s="116"/>
      <c r="C33" s="117" t="s">
        <v>114</v>
      </c>
      <c r="D33" s="117" t="s">
        <v>69</v>
      </c>
      <c r="E33" s="118" t="s">
        <v>106</v>
      </c>
      <c r="F33" s="119" t="s">
        <v>107</v>
      </c>
      <c r="G33" s="120" t="s">
        <v>62</v>
      </c>
      <c r="H33" s="121">
        <v>993.63</v>
      </c>
      <c r="I33" s="122">
        <v>13.15</v>
      </c>
      <c r="J33" s="122">
        <v>13066.23</v>
      </c>
      <c r="K33" s="206">
        <f t="shared" si="5"/>
        <v>-0.19</v>
      </c>
      <c r="L33" s="210">
        <f t="shared" si="0"/>
        <v>13.15</v>
      </c>
      <c r="M33" s="207">
        <f t="shared" si="1"/>
        <v>-2.5</v>
      </c>
      <c r="N33" s="211">
        <f t="shared" si="2"/>
        <v>993.43999999999994</v>
      </c>
      <c r="O33" s="208">
        <f t="shared" si="3"/>
        <v>13.15</v>
      </c>
      <c r="P33" s="209">
        <f t="shared" si="4"/>
        <v>13063.735999999999</v>
      </c>
      <c r="Q33" s="151"/>
      <c r="R33" s="151"/>
      <c r="S33" s="152"/>
      <c r="T33" s="152"/>
      <c r="U33" s="151"/>
      <c r="V33" s="151"/>
      <c r="W33" s="151"/>
      <c r="AE33" s="177"/>
    </row>
    <row r="34" spans="1:32" s="109" customFormat="1" ht="48" x14ac:dyDescent="0.2">
      <c r="A34" s="97"/>
      <c r="B34" s="116"/>
      <c r="C34" s="117" t="s">
        <v>117</v>
      </c>
      <c r="D34" s="117" t="s">
        <v>69</v>
      </c>
      <c r="E34" s="118" t="s">
        <v>108</v>
      </c>
      <c r="F34" s="119" t="s">
        <v>109</v>
      </c>
      <c r="G34" s="120" t="s">
        <v>62</v>
      </c>
      <c r="H34" s="121">
        <v>2716.39</v>
      </c>
      <c r="I34" s="122">
        <v>186.13</v>
      </c>
      <c r="J34" s="122">
        <v>505601.67</v>
      </c>
      <c r="K34" s="206">
        <f t="shared" si="5"/>
        <v>-0.51</v>
      </c>
      <c r="L34" s="210">
        <f t="shared" si="0"/>
        <v>186.13</v>
      </c>
      <c r="M34" s="207">
        <f t="shared" si="1"/>
        <v>-94.93</v>
      </c>
      <c r="N34" s="211">
        <f t="shared" si="2"/>
        <v>2715.8799999999997</v>
      </c>
      <c r="O34" s="208">
        <f t="shared" si="3"/>
        <v>186.13</v>
      </c>
      <c r="P34" s="209">
        <f t="shared" si="4"/>
        <v>505506.74439999991</v>
      </c>
      <c r="Q34" s="152"/>
      <c r="R34" s="151"/>
      <c r="S34" s="152"/>
      <c r="T34" s="152"/>
      <c r="U34" s="151"/>
      <c r="V34" s="151"/>
      <c r="W34" s="151"/>
      <c r="AE34" s="177"/>
    </row>
    <row r="35" spans="1:32" s="109" customFormat="1" ht="36" x14ac:dyDescent="0.2">
      <c r="A35" s="97"/>
      <c r="B35" s="116"/>
      <c r="C35" s="117" t="s">
        <v>0</v>
      </c>
      <c r="D35" s="117" t="s">
        <v>69</v>
      </c>
      <c r="E35" s="118" t="s">
        <v>110</v>
      </c>
      <c r="F35" s="119" t="s">
        <v>111</v>
      </c>
      <c r="G35" s="120" t="s">
        <v>62</v>
      </c>
      <c r="H35" s="121">
        <v>1656.05</v>
      </c>
      <c r="I35" s="122">
        <v>44.72</v>
      </c>
      <c r="J35" s="122">
        <v>74058.559999999998</v>
      </c>
      <c r="K35" s="206">
        <f t="shared" si="5"/>
        <v>-0.31</v>
      </c>
      <c r="L35" s="210">
        <f t="shared" si="0"/>
        <v>44.72</v>
      </c>
      <c r="M35" s="207">
        <f t="shared" si="1"/>
        <v>-13.86</v>
      </c>
      <c r="N35" s="211">
        <f t="shared" si="2"/>
        <v>1655.74</v>
      </c>
      <c r="O35" s="208">
        <f t="shared" si="3"/>
        <v>44.72</v>
      </c>
      <c r="P35" s="209">
        <f t="shared" si="4"/>
        <v>74044.692800000004</v>
      </c>
      <c r="Q35" s="151"/>
      <c r="R35" s="151"/>
      <c r="S35" s="152"/>
      <c r="T35" s="152"/>
      <c r="U35" s="151"/>
      <c r="V35" s="151"/>
      <c r="W35" s="151"/>
      <c r="AE35" s="177"/>
    </row>
    <row r="36" spans="1:32" s="109" customFormat="1" ht="48" x14ac:dyDescent="0.2">
      <c r="A36" s="97"/>
      <c r="B36" s="116"/>
      <c r="C36" s="117" t="s">
        <v>123</v>
      </c>
      <c r="D36" s="117" t="s">
        <v>69</v>
      </c>
      <c r="E36" s="118" t="s">
        <v>112</v>
      </c>
      <c r="F36" s="119" t="s">
        <v>113</v>
      </c>
      <c r="G36" s="120" t="s">
        <v>62</v>
      </c>
      <c r="H36" s="121">
        <v>588.80999999999995</v>
      </c>
      <c r="I36" s="122">
        <v>247.39</v>
      </c>
      <c r="J36" s="122">
        <v>145665.71</v>
      </c>
      <c r="K36" s="206">
        <f t="shared" si="5"/>
        <v>-0.11</v>
      </c>
      <c r="L36" s="210">
        <f t="shared" si="0"/>
        <v>247.39</v>
      </c>
      <c r="M36" s="207">
        <f t="shared" si="1"/>
        <v>-27.21</v>
      </c>
      <c r="N36" s="211">
        <f t="shared" si="2"/>
        <v>588.69999999999993</v>
      </c>
      <c r="O36" s="208">
        <f t="shared" si="3"/>
        <v>247.39</v>
      </c>
      <c r="P36" s="209">
        <f t="shared" si="4"/>
        <v>145638.49299999999</v>
      </c>
      <c r="Q36" s="151"/>
      <c r="R36" s="151"/>
      <c r="S36" s="152"/>
      <c r="T36" s="152"/>
      <c r="U36" s="151"/>
      <c r="V36" s="151"/>
      <c r="W36" s="148" t="s">
        <v>1126</v>
      </c>
      <c r="X36" s="335" t="s">
        <v>1008</v>
      </c>
      <c r="AE36" s="177"/>
    </row>
    <row r="37" spans="1:32" s="109" customFormat="1" ht="12" x14ac:dyDescent="0.2">
      <c r="A37" s="97"/>
      <c r="B37" s="116"/>
      <c r="C37" s="117" t="s">
        <v>126</v>
      </c>
      <c r="D37" s="117" t="s">
        <v>69</v>
      </c>
      <c r="E37" s="118" t="s">
        <v>115</v>
      </c>
      <c r="F37" s="119" t="s">
        <v>116</v>
      </c>
      <c r="G37" s="120" t="s">
        <v>62</v>
      </c>
      <c r="H37" s="121">
        <v>588.80999999999995</v>
      </c>
      <c r="I37" s="122">
        <v>11.84</v>
      </c>
      <c r="J37" s="122">
        <v>6971.51</v>
      </c>
      <c r="K37" s="206">
        <f t="shared" si="5"/>
        <v>-0.11</v>
      </c>
      <c r="L37" s="210">
        <f t="shared" si="0"/>
        <v>11.84</v>
      </c>
      <c r="M37" s="207">
        <f t="shared" si="1"/>
        <v>-1.3</v>
      </c>
      <c r="N37" s="211">
        <f t="shared" si="2"/>
        <v>588.69999999999993</v>
      </c>
      <c r="O37" s="208">
        <f t="shared" si="3"/>
        <v>11.84</v>
      </c>
      <c r="P37" s="209">
        <f t="shared" si="4"/>
        <v>6970.2079999999987</v>
      </c>
      <c r="Q37" s="151"/>
      <c r="R37" s="151"/>
      <c r="S37" s="152"/>
      <c r="T37" s="152"/>
      <c r="U37" s="151"/>
      <c r="V37" s="151"/>
      <c r="W37" s="328" t="s">
        <v>1104</v>
      </c>
      <c r="X37" s="335"/>
      <c r="AC37" s="328" t="s">
        <v>1137</v>
      </c>
      <c r="AD37" s="335" t="s">
        <v>1173</v>
      </c>
      <c r="AE37" s="177"/>
    </row>
    <row r="38" spans="1:32" s="109" customFormat="1" ht="36" x14ac:dyDescent="0.2">
      <c r="A38" s="97"/>
      <c r="B38" s="116"/>
      <c r="C38" s="117" t="s">
        <v>131</v>
      </c>
      <c r="D38" s="117" t="s">
        <v>69</v>
      </c>
      <c r="E38" s="118" t="s">
        <v>118</v>
      </c>
      <c r="F38" s="119" t="s">
        <v>119</v>
      </c>
      <c r="G38" s="120" t="s">
        <v>120</v>
      </c>
      <c r="H38" s="121">
        <v>941.00800000000004</v>
      </c>
      <c r="I38" s="122">
        <v>116</v>
      </c>
      <c r="J38" s="122">
        <v>109156.93</v>
      </c>
      <c r="K38" s="206">
        <f t="shared" si="5"/>
        <v>-0.18</v>
      </c>
      <c r="L38" s="210">
        <f t="shared" si="0"/>
        <v>116</v>
      </c>
      <c r="M38" s="207">
        <f t="shared" si="1"/>
        <v>-20.88</v>
      </c>
      <c r="N38" s="211">
        <f t="shared" si="2"/>
        <v>940.82800000000009</v>
      </c>
      <c r="O38" s="208">
        <f t="shared" si="3"/>
        <v>116</v>
      </c>
      <c r="P38" s="209">
        <f t="shared" si="4"/>
        <v>109136.04800000001</v>
      </c>
      <c r="Q38" s="151"/>
      <c r="R38" s="151"/>
      <c r="S38" s="152"/>
      <c r="T38" s="152"/>
      <c r="U38" s="151"/>
      <c r="V38" s="151"/>
      <c r="W38" s="328"/>
      <c r="X38" s="335"/>
      <c r="Z38" s="148" t="s">
        <v>1135</v>
      </c>
      <c r="AC38" s="328"/>
      <c r="AD38" s="335"/>
      <c r="AE38" s="177" t="s">
        <v>1187</v>
      </c>
    </row>
    <row r="39" spans="1:32" s="109" customFormat="1" ht="36" x14ac:dyDescent="0.2">
      <c r="A39" s="97"/>
      <c r="B39" s="116"/>
      <c r="C39" s="117" t="s">
        <v>135</v>
      </c>
      <c r="D39" s="117" t="s">
        <v>69</v>
      </c>
      <c r="E39" s="118" t="s">
        <v>121</v>
      </c>
      <c r="F39" s="119" t="s">
        <v>122</v>
      </c>
      <c r="G39" s="120" t="s">
        <v>62</v>
      </c>
      <c r="H39" s="121">
        <v>1060.3399999999999</v>
      </c>
      <c r="I39" s="122">
        <v>286.72000000000003</v>
      </c>
      <c r="J39" s="122">
        <v>304020.68</v>
      </c>
      <c r="K39" s="206">
        <f t="shared" si="5"/>
        <v>-0.2</v>
      </c>
      <c r="L39" s="210">
        <f t="shared" si="0"/>
        <v>286.72000000000003</v>
      </c>
      <c r="M39" s="207">
        <f t="shared" si="1"/>
        <v>-57.34</v>
      </c>
      <c r="N39" s="211">
        <f t="shared" si="2"/>
        <v>1060.1399999999999</v>
      </c>
      <c r="O39" s="208">
        <f t="shared" si="3"/>
        <v>286.72000000000003</v>
      </c>
      <c r="P39" s="209">
        <f t="shared" si="4"/>
        <v>303963.34080000001</v>
      </c>
      <c r="Q39" s="151"/>
      <c r="R39" s="151"/>
      <c r="S39" s="152"/>
      <c r="T39" s="152"/>
      <c r="U39" s="151"/>
      <c r="V39" s="151"/>
      <c r="W39" s="151"/>
      <c r="AE39" s="177"/>
    </row>
    <row r="40" spans="1:32" s="109" customFormat="1" ht="60" x14ac:dyDescent="0.2">
      <c r="A40" s="97"/>
      <c r="B40" s="116"/>
      <c r="C40" s="117" t="s">
        <v>139</v>
      </c>
      <c r="D40" s="117" t="s">
        <v>69</v>
      </c>
      <c r="E40" s="118" t="s">
        <v>124</v>
      </c>
      <c r="F40" s="119" t="s">
        <v>125</v>
      </c>
      <c r="G40" s="120" t="s">
        <v>62</v>
      </c>
      <c r="H40" s="121">
        <v>385.81</v>
      </c>
      <c r="I40" s="122">
        <v>318.27999999999997</v>
      </c>
      <c r="J40" s="122">
        <v>122795.61</v>
      </c>
      <c r="K40" s="206">
        <f t="shared" si="5"/>
        <v>-7.0000000000000007E-2</v>
      </c>
      <c r="L40" s="210">
        <f t="shared" si="0"/>
        <v>318.27999999999997</v>
      </c>
      <c r="M40" s="207">
        <f t="shared" si="1"/>
        <v>-22.28</v>
      </c>
      <c r="N40" s="211">
        <f t="shared" si="2"/>
        <v>385.74</v>
      </c>
      <c r="O40" s="208">
        <f t="shared" si="3"/>
        <v>318.27999999999997</v>
      </c>
      <c r="P40" s="209">
        <f t="shared" si="4"/>
        <v>122773.32719999999</v>
      </c>
      <c r="Q40" s="151"/>
      <c r="R40" s="151"/>
      <c r="S40" s="152"/>
      <c r="T40" s="152"/>
      <c r="U40" s="151"/>
      <c r="V40" s="151"/>
      <c r="W40" s="151"/>
      <c r="AE40" s="177"/>
    </row>
    <row r="41" spans="1:32" s="109" customFormat="1" ht="12" x14ac:dyDescent="0.2">
      <c r="A41" s="97"/>
      <c r="B41" s="116"/>
      <c r="C41" s="123" t="s">
        <v>142</v>
      </c>
      <c r="D41" s="123" t="s">
        <v>127</v>
      </c>
      <c r="E41" s="124" t="s">
        <v>128</v>
      </c>
      <c r="F41" s="125" t="s">
        <v>129</v>
      </c>
      <c r="G41" s="126" t="s">
        <v>120</v>
      </c>
      <c r="H41" s="127">
        <v>694.45799999999997</v>
      </c>
      <c r="I41" s="128">
        <v>190.76</v>
      </c>
      <c r="J41" s="128">
        <v>132474.81</v>
      </c>
      <c r="K41" s="206">
        <f t="shared" si="5"/>
        <v>-0.13</v>
      </c>
      <c r="L41" s="210">
        <f t="shared" si="0"/>
        <v>190.76</v>
      </c>
      <c r="M41" s="207">
        <f t="shared" si="1"/>
        <v>-24.8</v>
      </c>
      <c r="N41" s="211">
        <f t="shared" si="2"/>
        <v>694.32799999999997</v>
      </c>
      <c r="O41" s="208">
        <f t="shared" si="3"/>
        <v>190.76</v>
      </c>
      <c r="P41" s="209">
        <f t="shared" si="4"/>
        <v>132450.00928</v>
      </c>
      <c r="Q41" s="151"/>
      <c r="R41" s="151"/>
      <c r="S41" s="152"/>
      <c r="T41" s="152"/>
      <c r="U41" s="151"/>
      <c r="V41" s="151"/>
      <c r="W41" s="151"/>
      <c r="AE41" s="177"/>
    </row>
    <row r="42" spans="1:32" s="109" customFormat="1" ht="36" x14ac:dyDescent="0.2">
      <c r="A42" s="97"/>
      <c r="B42" s="116"/>
      <c r="C42" s="117" t="s">
        <v>145</v>
      </c>
      <c r="D42" s="117" t="s">
        <v>69</v>
      </c>
      <c r="E42" s="118" t="s">
        <v>299</v>
      </c>
      <c r="F42" s="119" t="s">
        <v>300</v>
      </c>
      <c r="G42" s="120" t="s">
        <v>72</v>
      </c>
      <c r="H42" s="121">
        <v>3.8610000000000002</v>
      </c>
      <c r="I42" s="122">
        <v>18.41</v>
      </c>
      <c r="J42" s="122">
        <v>71.08</v>
      </c>
      <c r="K42" s="206">
        <f t="shared" si="5"/>
        <v>0</v>
      </c>
      <c r="L42" s="210">
        <f t="shared" si="0"/>
        <v>18.41</v>
      </c>
      <c r="M42" s="207">
        <f t="shared" si="1"/>
        <v>0</v>
      </c>
      <c r="N42" s="211">
        <f t="shared" si="2"/>
        <v>3.8610000000000002</v>
      </c>
      <c r="O42" s="208">
        <f t="shared" si="3"/>
        <v>18.41</v>
      </c>
      <c r="P42" s="209">
        <f t="shared" si="4"/>
        <v>71.081010000000006</v>
      </c>
      <c r="Q42" s="151"/>
      <c r="R42" s="151"/>
      <c r="S42" s="152"/>
      <c r="T42" s="152"/>
      <c r="U42" s="151"/>
      <c r="V42" s="151"/>
      <c r="W42" s="151"/>
      <c r="AC42" s="327" t="s">
        <v>1152</v>
      </c>
      <c r="AD42" s="335" t="s">
        <v>1008</v>
      </c>
      <c r="AE42" s="177"/>
    </row>
    <row r="43" spans="1:32" s="109" customFormat="1" ht="24" x14ac:dyDescent="0.2">
      <c r="A43" s="97"/>
      <c r="B43" s="116"/>
      <c r="C43" s="117" t="s">
        <v>148</v>
      </c>
      <c r="D43" s="117" t="s">
        <v>69</v>
      </c>
      <c r="E43" s="118" t="s">
        <v>301</v>
      </c>
      <c r="F43" s="119" t="s">
        <v>302</v>
      </c>
      <c r="G43" s="120" t="s">
        <v>72</v>
      </c>
      <c r="H43" s="121">
        <v>3.8610000000000002</v>
      </c>
      <c r="I43" s="122">
        <v>27.62</v>
      </c>
      <c r="J43" s="122">
        <v>106.64</v>
      </c>
      <c r="K43" s="206">
        <f t="shared" si="5"/>
        <v>0</v>
      </c>
      <c r="L43" s="210">
        <f t="shared" si="0"/>
        <v>27.62</v>
      </c>
      <c r="M43" s="207">
        <f t="shared" si="1"/>
        <v>0</v>
      </c>
      <c r="N43" s="211">
        <f t="shared" si="2"/>
        <v>3.8610000000000002</v>
      </c>
      <c r="O43" s="208">
        <f t="shared" si="3"/>
        <v>27.62</v>
      </c>
      <c r="P43" s="209">
        <f t="shared" si="4"/>
        <v>106.64082000000001</v>
      </c>
      <c r="Q43" s="151"/>
      <c r="R43" s="151"/>
      <c r="S43" s="152"/>
      <c r="T43" s="152"/>
      <c r="U43" s="151"/>
      <c r="V43" s="151"/>
      <c r="W43" s="151"/>
      <c r="AC43" s="327"/>
      <c r="AD43" s="335"/>
      <c r="AE43" s="177"/>
    </row>
    <row r="44" spans="1:32" s="109" customFormat="1" ht="12" x14ac:dyDescent="0.2">
      <c r="A44" s="97"/>
      <c r="B44" s="116"/>
      <c r="C44" s="117" t="s">
        <v>151</v>
      </c>
      <c r="D44" s="117" t="s">
        <v>69</v>
      </c>
      <c r="E44" s="118" t="s">
        <v>303</v>
      </c>
      <c r="F44" s="119" t="s">
        <v>304</v>
      </c>
      <c r="G44" s="120" t="s">
        <v>72</v>
      </c>
      <c r="H44" s="121">
        <v>3.8610000000000002</v>
      </c>
      <c r="I44" s="122">
        <v>11.84</v>
      </c>
      <c r="J44" s="122">
        <v>45.71</v>
      </c>
      <c r="K44" s="206">
        <f t="shared" si="5"/>
        <v>0</v>
      </c>
      <c r="L44" s="210">
        <f t="shared" si="0"/>
        <v>11.84</v>
      </c>
      <c r="M44" s="207">
        <f t="shared" si="1"/>
        <v>0</v>
      </c>
      <c r="N44" s="211">
        <f t="shared" si="2"/>
        <v>3.8610000000000002</v>
      </c>
      <c r="O44" s="208">
        <f t="shared" si="3"/>
        <v>11.84</v>
      </c>
      <c r="P44" s="209">
        <f t="shared" si="4"/>
        <v>45.714240000000004</v>
      </c>
      <c r="Q44" s="151"/>
      <c r="R44" s="151"/>
      <c r="S44" s="152"/>
      <c r="T44" s="152"/>
      <c r="U44" s="151"/>
      <c r="V44" s="151"/>
      <c r="W44" s="151"/>
      <c r="AC44" s="327"/>
      <c r="AD44" s="335"/>
      <c r="AE44" s="177"/>
    </row>
    <row r="45" spans="1:32" s="109" customFormat="1" ht="12" x14ac:dyDescent="0.2">
      <c r="A45" s="97"/>
      <c r="B45" s="116"/>
      <c r="C45" s="123" t="s">
        <v>155</v>
      </c>
      <c r="D45" s="123" t="s">
        <v>127</v>
      </c>
      <c r="E45" s="124" t="s">
        <v>305</v>
      </c>
      <c r="F45" s="125" t="s">
        <v>306</v>
      </c>
      <c r="G45" s="126" t="s">
        <v>307</v>
      </c>
      <c r="H45" s="127">
        <v>5.8000000000000003E-2</v>
      </c>
      <c r="I45" s="128">
        <v>170.98</v>
      </c>
      <c r="J45" s="128">
        <v>9.92</v>
      </c>
      <c r="K45" s="206">
        <f t="shared" si="5"/>
        <v>0</v>
      </c>
      <c r="L45" s="210">
        <f t="shared" si="0"/>
        <v>170.98</v>
      </c>
      <c r="M45" s="207">
        <f t="shared" si="1"/>
        <v>0</v>
      </c>
      <c r="N45" s="211">
        <f t="shared" si="2"/>
        <v>5.8000000000000003E-2</v>
      </c>
      <c r="O45" s="208">
        <f t="shared" si="3"/>
        <v>170.98</v>
      </c>
      <c r="P45" s="209">
        <f t="shared" si="4"/>
        <v>9.9168400000000005</v>
      </c>
      <c r="Q45" s="151"/>
      <c r="R45" s="151"/>
      <c r="S45" s="152"/>
      <c r="T45" s="152"/>
      <c r="U45" s="151"/>
      <c r="V45" s="151"/>
      <c r="W45" s="151"/>
      <c r="AC45" s="327"/>
      <c r="AD45" s="335"/>
      <c r="AE45" s="177"/>
    </row>
    <row r="46" spans="1:32" s="109" customFormat="1" ht="24" x14ac:dyDescent="0.2">
      <c r="A46" s="97"/>
      <c r="B46" s="116"/>
      <c r="C46" s="117" t="s">
        <v>158</v>
      </c>
      <c r="D46" s="117" t="s">
        <v>69</v>
      </c>
      <c r="E46" s="118" t="s">
        <v>308</v>
      </c>
      <c r="F46" s="119" t="s">
        <v>309</v>
      </c>
      <c r="G46" s="120" t="s">
        <v>72</v>
      </c>
      <c r="H46" s="121">
        <v>3.8610000000000002</v>
      </c>
      <c r="I46" s="122">
        <v>5.26</v>
      </c>
      <c r="J46" s="122">
        <v>20.309999999999999</v>
      </c>
      <c r="K46" s="206">
        <f t="shared" si="5"/>
        <v>0</v>
      </c>
      <c r="L46" s="210">
        <f t="shared" si="0"/>
        <v>5.26</v>
      </c>
      <c r="M46" s="207">
        <f t="shared" si="1"/>
        <v>0</v>
      </c>
      <c r="N46" s="211">
        <f t="shared" si="2"/>
        <v>3.8610000000000002</v>
      </c>
      <c r="O46" s="208">
        <f t="shared" si="3"/>
        <v>5.26</v>
      </c>
      <c r="P46" s="209">
        <f t="shared" si="4"/>
        <v>20.308859999999999</v>
      </c>
      <c r="Q46" s="151"/>
      <c r="R46" s="151"/>
      <c r="S46" s="152"/>
      <c r="T46" s="152"/>
      <c r="U46" s="151"/>
      <c r="V46" s="151"/>
      <c r="W46" s="151"/>
      <c r="AC46" s="327"/>
      <c r="AD46" s="335"/>
      <c r="AE46" s="177"/>
    </row>
    <row r="47" spans="1:32" s="110" customFormat="1" ht="12.75" x14ac:dyDescent="0.2">
      <c r="C47" s="245"/>
      <c r="D47" s="246" t="s">
        <v>3</v>
      </c>
      <c r="E47" s="247" t="s">
        <v>76</v>
      </c>
      <c r="F47" s="247" t="s">
        <v>130</v>
      </c>
      <c r="G47" s="245"/>
      <c r="H47" s="245"/>
      <c r="I47" s="245"/>
      <c r="J47" s="248">
        <v>22569.82</v>
      </c>
      <c r="K47" s="249"/>
      <c r="L47" s="250"/>
      <c r="M47" s="241">
        <f>M48</f>
        <v>-4.2699999999999996</v>
      </c>
      <c r="N47" s="242"/>
      <c r="O47" s="243"/>
      <c r="P47" s="241">
        <f>P48</f>
        <v>22565.544000000002</v>
      </c>
      <c r="Q47" s="153"/>
      <c r="R47" s="153"/>
      <c r="S47" s="180"/>
      <c r="T47" s="180"/>
      <c r="U47" s="153"/>
      <c r="V47" s="153"/>
      <c r="W47" s="153"/>
      <c r="AD47" s="109"/>
      <c r="AE47" s="177"/>
    </row>
    <row r="48" spans="1:32" s="109" customFormat="1" ht="30" customHeight="1" x14ac:dyDescent="0.2">
      <c r="A48" s="97"/>
      <c r="B48" s="116"/>
      <c r="C48" s="117" t="s">
        <v>161</v>
      </c>
      <c r="D48" s="117" t="s">
        <v>69</v>
      </c>
      <c r="E48" s="118" t="s">
        <v>132</v>
      </c>
      <c r="F48" s="119" t="s">
        <v>133</v>
      </c>
      <c r="G48" s="120" t="s">
        <v>61</v>
      </c>
      <c r="H48" s="121">
        <v>686.43</v>
      </c>
      <c r="I48" s="122">
        <v>32.880000000000003</v>
      </c>
      <c r="J48" s="122">
        <v>22569.82</v>
      </c>
      <c r="K48" s="206">
        <f t="shared" si="5"/>
        <v>-0.13</v>
      </c>
      <c r="L48" s="210">
        <f t="shared" si="0"/>
        <v>32.880000000000003</v>
      </c>
      <c r="M48" s="207">
        <f t="shared" si="1"/>
        <v>-4.2699999999999996</v>
      </c>
      <c r="N48" s="211">
        <f t="shared" si="2"/>
        <v>686.3</v>
      </c>
      <c r="O48" s="208">
        <f t="shared" si="3"/>
        <v>32.880000000000003</v>
      </c>
      <c r="P48" s="209">
        <f t="shared" si="4"/>
        <v>22565.544000000002</v>
      </c>
      <c r="Q48" s="151"/>
      <c r="R48" s="151"/>
      <c r="S48" s="152"/>
      <c r="T48" s="152"/>
      <c r="U48" s="151"/>
      <c r="V48" s="151"/>
      <c r="W48" s="151"/>
      <c r="AC48" s="150" t="s">
        <v>1153</v>
      </c>
      <c r="AD48" s="109" t="s">
        <v>1172</v>
      </c>
      <c r="AE48" s="198" t="s">
        <v>1188</v>
      </c>
      <c r="AF48" s="109" t="s">
        <v>1202</v>
      </c>
    </row>
    <row r="49" spans="1:31" s="110" customFormat="1" ht="12.75" x14ac:dyDescent="0.2">
      <c r="C49" s="129"/>
      <c r="D49" s="246" t="s">
        <v>3</v>
      </c>
      <c r="E49" s="247" t="s">
        <v>73</v>
      </c>
      <c r="F49" s="247" t="s">
        <v>134</v>
      </c>
      <c r="G49" s="245"/>
      <c r="H49" s="245"/>
      <c r="I49" s="245"/>
      <c r="J49" s="248">
        <v>16566.599999999999</v>
      </c>
      <c r="K49" s="249"/>
      <c r="L49" s="250"/>
      <c r="M49" s="241">
        <f>SUM(M50:M55)</f>
        <v>0</v>
      </c>
      <c r="N49" s="242"/>
      <c r="O49" s="243"/>
      <c r="P49" s="241">
        <f>SUM(P50:P55)</f>
        <v>16566.599999999999</v>
      </c>
      <c r="Q49" s="153"/>
      <c r="R49" s="153"/>
      <c r="S49" s="180"/>
      <c r="T49" s="180"/>
      <c r="U49" s="153"/>
      <c r="V49" s="153"/>
      <c r="W49" s="153"/>
      <c r="AD49" s="109"/>
      <c r="AE49" s="177"/>
    </row>
    <row r="50" spans="1:31" s="109" customFormat="1" ht="24" x14ac:dyDescent="0.2">
      <c r="A50" s="97"/>
      <c r="B50" s="116"/>
      <c r="C50" s="117" t="s">
        <v>164</v>
      </c>
      <c r="D50" s="117" t="s">
        <v>69</v>
      </c>
      <c r="E50" s="118" t="s">
        <v>136</v>
      </c>
      <c r="F50" s="119" t="s">
        <v>137</v>
      </c>
      <c r="G50" s="120" t="s">
        <v>138</v>
      </c>
      <c r="H50" s="121">
        <v>34</v>
      </c>
      <c r="I50" s="122">
        <v>122.32</v>
      </c>
      <c r="J50" s="122">
        <v>4158.88</v>
      </c>
      <c r="K50" s="206">
        <v>0</v>
      </c>
      <c r="L50" s="210">
        <f t="shared" si="0"/>
        <v>122.32</v>
      </c>
      <c r="M50" s="207">
        <f t="shared" si="1"/>
        <v>0</v>
      </c>
      <c r="N50" s="211">
        <f t="shared" si="2"/>
        <v>34</v>
      </c>
      <c r="O50" s="208">
        <f t="shared" si="3"/>
        <v>122.32</v>
      </c>
      <c r="P50" s="209">
        <f t="shared" si="4"/>
        <v>4158.88</v>
      </c>
      <c r="Q50" s="151"/>
      <c r="R50" s="151"/>
      <c r="S50" s="152"/>
      <c r="T50" s="152"/>
      <c r="U50" s="151"/>
      <c r="V50" s="151"/>
      <c r="W50" s="151"/>
      <c r="AE50" s="177"/>
    </row>
    <row r="51" spans="1:31" s="109" customFormat="1" ht="12" x14ac:dyDescent="0.2">
      <c r="A51" s="97"/>
      <c r="B51" s="116"/>
      <c r="C51" s="123" t="s">
        <v>167</v>
      </c>
      <c r="D51" s="123" t="s">
        <v>127</v>
      </c>
      <c r="E51" s="124" t="s">
        <v>140</v>
      </c>
      <c r="F51" s="125" t="s">
        <v>141</v>
      </c>
      <c r="G51" s="126" t="s">
        <v>138</v>
      </c>
      <c r="H51" s="127">
        <v>1</v>
      </c>
      <c r="I51" s="128">
        <v>270.94</v>
      </c>
      <c r="J51" s="128">
        <v>270.94</v>
      </c>
      <c r="K51" s="206">
        <v>0</v>
      </c>
      <c r="L51" s="210">
        <f t="shared" si="0"/>
        <v>270.94</v>
      </c>
      <c r="M51" s="207">
        <f t="shared" si="1"/>
        <v>0</v>
      </c>
      <c r="N51" s="211">
        <f t="shared" si="2"/>
        <v>1</v>
      </c>
      <c r="O51" s="208">
        <f t="shared" si="3"/>
        <v>270.94</v>
      </c>
      <c r="P51" s="209">
        <f t="shared" si="4"/>
        <v>270.94</v>
      </c>
      <c r="Q51" s="151"/>
      <c r="R51" s="151"/>
      <c r="S51" s="152"/>
      <c r="T51" s="152"/>
      <c r="U51" s="151"/>
      <c r="V51" s="151"/>
      <c r="W51" s="151"/>
      <c r="AE51" s="177"/>
    </row>
    <row r="52" spans="1:31" s="109" customFormat="1" ht="12" x14ac:dyDescent="0.2">
      <c r="A52" s="97"/>
      <c r="B52" s="116"/>
      <c r="C52" s="123" t="s">
        <v>170</v>
      </c>
      <c r="D52" s="123" t="s">
        <v>127</v>
      </c>
      <c r="E52" s="124" t="s">
        <v>323</v>
      </c>
      <c r="F52" s="125" t="s">
        <v>324</v>
      </c>
      <c r="G52" s="126" t="s">
        <v>138</v>
      </c>
      <c r="H52" s="127">
        <v>3</v>
      </c>
      <c r="I52" s="128">
        <v>220.96</v>
      </c>
      <c r="J52" s="128">
        <v>662.88</v>
      </c>
      <c r="K52" s="206">
        <v>0</v>
      </c>
      <c r="L52" s="210">
        <f t="shared" si="0"/>
        <v>220.96</v>
      </c>
      <c r="M52" s="207">
        <f t="shared" si="1"/>
        <v>0</v>
      </c>
      <c r="N52" s="211">
        <f t="shared" si="2"/>
        <v>3</v>
      </c>
      <c r="O52" s="208">
        <f t="shared" si="3"/>
        <v>220.96</v>
      </c>
      <c r="P52" s="209">
        <f t="shared" si="4"/>
        <v>662.88</v>
      </c>
      <c r="Q52" s="151"/>
      <c r="R52" s="151"/>
      <c r="S52" s="152"/>
      <c r="T52" s="152"/>
      <c r="U52" s="151"/>
      <c r="V52" s="151"/>
      <c r="W52" s="151"/>
      <c r="AE52" s="177"/>
    </row>
    <row r="53" spans="1:31" s="109" customFormat="1" ht="12" x14ac:dyDescent="0.2">
      <c r="A53" s="97"/>
      <c r="B53" s="116"/>
      <c r="C53" s="123" t="s">
        <v>173</v>
      </c>
      <c r="D53" s="123" t="s">
        <v>127</v>
      </c>
      <c r="E53" s="124" t="s">
        <v>146</v>
      </c>
      <c r="F53" s="125" t="s">
        <v>147</v>
      </c>
      <c r="G53" s="126" t="s">
        <v>138</v>
      </c>
      <c r="H53" s="127">
        <v>30</v>
      </c>
      <c r="I53" s="128">
        <v>345.9</v>
      </c>
      <c r="J53" s="128">
        <v>10377</v>
      </c>
      <c r="K53" s="206">
        <v>0</v>
      </c>
      <c r="L53" s="210">
        <f t="shared" si="0"/>
        <v>345.9</v>
      </c>
      <c r="M53" s="207">
        <f t="shared" si="1"/>
        <v>0</v>
      </c>
      <c r="N53" s="211">
        <f t="shared" si="2"/>
        <v>30</v>
      </c>
      <c r="O53" s="208">
        <f t="shared" si="3"/>
        <v>345.9</v>
      </c>
      <c r="P53" s="209">
        <f t="shared" si="4"/>
        <v>10377</v>
      </c>
      <c r="Q53" s="151"/>
      <c r="R53" s="151"/>
      <c r="S53" s="152"/>
      <c r="T53" s="152"/>
      <c r="U53" s="151"/>
      <c r="V53" s="151"/>
      <c r="W53" s="151"/>
      <c r="AE53" s="177"/>
    </row>
    <row r="54" spans="1:31" s="109" customFormat="1" ht="24" x14ac:dyDescent="0.2">
      <c r="A54" s="97"/>
      <c r="B54" s="116"/>
      <c r="C54" s="117" t="s">
        <v>176</v>
      </c>
      <c r="D54" s="117" t="s">
        <v>69</v>
      </c>
      <c r="E54" s="118" t="s">
        <v>149</v>
      </c>
      <c r="F54" s="119" t="s">
        <v>150</v>
      </c>
      <c r="G54" s="120" t="s">
        <v>138</v>
      </c>
      <c r="H54" s="121">
        <v>2</v>
      </c>
      <c r="I54" s="122">
        <v>152.57</v>
      </c>
      <c r="J54" s="122">
        <v>305.14</v>
      </c>
      <c r="K54" s="206">
        <v>0</v>
      </c>
      <c r="L54" s="210">
        <f t="shared" si="0"/>
        <v>152.57</v>
      </c>
      <c r="M54" s="207">
        <f t="shared" si="1"/>
        <v>0</v>
      </c>
      <c r="N54" s="211">
        <f t="shared" si="2"/>
        <v>2</v>
      </c>
      <c r="O54" s="208">
        <f t="shared" si="3"/>
        <v>152.57</v>
      </c>
      <c r="P54" s="209">
        <f t="shared" si="4"/>
        <v>305.14</v>
      </c>
      <c r="Q54" s="151"/>
      <c r="R54" s="151"/>
      <c r="S54" s="152"/>
      <c r="T54" s="152"/>
      <c r="U54" s="151"/>
      <c r="V54" s="151"/>
      <c r="W54" s="151"/>
      <c r="AE54" s="177"/>
    </row>
    <row r="55" spans="1:31" s="109" customFormat="1" ht="12" x14ac:dyDescent="0.2">
      <c r="A55" s="97"/>
      <c r="B55" s="116"/>
      <c r="C55" s="123" t="s">
        <v>179</v>
      </c>
      <c r="D55" s="123" t="s">
        <v>127</v>
      </c>
      <c r="E55" s="124" t="s">
        <v>152</v>
      </c>
      <c r="F55" s="125" t="s">
        <v>153</v>
      </c>
      <c r="G55" s="126" t="s">
        <v>138</v>
      </c>
      <c r="H55" s="127">
        <v>2</v>
      </c>
      <c r="I55" s="128">
        <v>395.88</v>
      </c>
      <c r="J55" s="128">
        <v>791.76</v>
      </c>
      <c r="K55" s="206">
        <v>0</v>
      </c>
      <c r="L55" s="210">
        <f t="shared" si="0"/>
        <v>395.88</v>
      </c>
      <c r="M55" s="207">
        <f t="shared" si="1"/>
        <v>0</v>
      </c>
      <c r="N55" s="211">
        <f t="shared" si="2"/>
        <v>2</v>
      </c>
      <c r="O55" s="208">
        <f t="shared" si="3"/>
        <v>395.88</v>
      </c>
      <c r="P55" s="209">
        <f t="shared" si="4"/>
        <v>791.76</v>
      </c>
      <c r="Q55" s="151"/>
      <c r="R55" s="151"/>
      <c r="S55" s="152"/>
      <c r="T55" s="152"/>
      <c r="U55" s="151"/>
      <c r="V55" s="151"/>
      <c r="W55" s="151"/>
      <c r="AE55" s="177"/>
    </row>
    <row r="56" spans="1:31" s="110" customFormat="1" ht="12.75" x14ac:dyDescent="0.2">
      <c r="C56" s="245"/>
      <c r="D56" s="246" t="s">
        <v>3</v>
      </c>
      <c r="E56" s="247" t="s">
        <v>81</v>
      </c>
      <c r="F56" s="247" t="s">
        <v>154</v>
      </c>
      <c r="G56" s="245"/>
      <c r="H56" s="245"/>
      <c r="I56" s="245"/>
      <c r="J56" s="248">
        <v>1384964.4200000002</v>
      </c>
      <c r="K56" s="249"/>
      <c r="L56" s="250"/>
      <c r="M56" s="241">
        <f>SUM(M57:M66)</f>
        <v>0</v>
      </c>
      <c r="N56" s="242"/>
      <c r="O56" s="243"/>
      <c r="P56" s="241">
        <f>SUM(P57:P66)</f>
        <v>1384964.41946</v>
      </c>
      <c r="Q56" s="153"/>
      <c r="R56" s="153"/>
      <c r="S56" s="180"/>
      <c r="T56" s="180"/>
      <c r="U56" s="153"/>
      <c r="V56" s="153"/>
      <c r="W56" s="153"/>
      <c r="AD56" s="109"/>
      <c r="AE56" s="177"/>
    </row>
    <row r="57" spans="1:31" s="109" customFormat="1" ht="36" x14ac:dyDescent="0.2">
      <c r="A57" s="97"/>
      <c r="B57" s="116"/>
      <c r="C57" s="117" t="s">
        <v>183</v>
      </c>
      <c r="D57" s="117" t="s">
        <v>69</v>
      </c>
      <c r="E57" s="118" t="s">
        <v>156</v>
      </c>
      <c r="F57" s="119" t="s">
        <v>157</v>
      </c>
      <c r="G57" s="120" t="s">
        <v>72</v>
      </c>
      <c r="H57" s="121">
        <v>345.411</v>
      </c>
      <c r="I57" s="122">
        <v>319.88</v>
      </c>
      <c r="J57" s="122">
        <v>110490.07</v>
      </c>
      <c r="K57" s="206">
        <v>0</v>
      </c>
      <c r="L57" s="210">
        <f t="shared" si="0"/>
        <v>319.88</v>
      </c>
      <c r="M57" s="207">
        <f t="shared" si="1"/>
        <v>0</v>
      </c>
      <c r="N57" s="211">
        <f t="shared" si="2"/>
        <v>345.411</v>
      </c>
      <c r="O57" s="208">
        <f t="shared" si="3"/>
        <v>319.88</v>
      </c>
      <c r="P57" s="209">
        <f t="shared" si="4"/>
        <v>110490.07068</v>
      </c>
      <c r="Q57" s="151"/>
      <c r="R57" s="151"/>
      <c r="S57" s="152"/>
      <c r="T57" s="152"/>
      <c r="U57" s="148" t="s">
        <v>1108</v>
      </c>
      <c r="V57" s="151" t="s">
        <v>1123</v>
      </c>
      <c r="W57" s="151"/>
      <c r="AE57" s="177"/>
    </row>
    <row r="58" spans="1:31" s="109" customFormat="1" ht="24" x14ac:dyDescent="0.2">
      <c r="A58" s="97"/>
      <c r="B58" s="116"/>
      <c r="C58" s="117" t="s">
        <v>186</v>
      </c>
      <c r="D58" s="117" t="s">
        <v>69</v>
      </c>
      <c r="E58" s="118" t="s">
        <v>159</v>
      </c>
      <c r="F58" s="119" t="s">
        <v>160</v>
      </c>
      <c r="G58" s="120" t="s">
        <v>72</v>
      </c>
      <c r="H58" s="121">
        <v>27.72</v>
      </c>
      <c r="I58" s="122">
        <v>251.97</v>
      </c>
      <c r="J58" s="122">
        <v>6984.61</v>
      </c>
      <c r="K58" s="206">
        <v>0</v>
      </c>
      <c r="L58" s="210">
        <f t="shared" si="0"/>
        <v>251.97</v>
      </c>
      <c r="M58" s="207">
        <f t="shared" si="1"/>
        <v>0</v>
      </c>
      <c r="N58" s="211">
        <f t="shared" si="2"/>
        <v>27.72</v>
      </c>
      <c r="O58" s="208">
        <f t="shared" si="3"/>
        <v>251.97</v>
      </c>
      <c r="P58" s="209">
        <f t="shared" si="4"/>
        <v>6984.6084000000001</v>
      </c>
      <c r="Q58" s="151"/>
      <c r="R58" s="151"/>
      <c r="S58" s="152"/>
      <c r="T58" s="152"/>
      <c r="U58" s="151"/>
      <c r="V58" s="151"/>
      <c r="W58" s="151"/>
      <c r="AE58" s="177"/>
    </row>
    <row r="59" spans="1:31" s="109" customFormat="1" ht="24" x14ac:dyDescent="0.2">
      <c r="A59" s="97"/>
      <c r="B59" s="116"/>
      <c r="C59" s="117" t="s">
        <v>189</v>
      </c>
      <c r="D59" s="117" t="s">
        <v>69</v>
      </c>
      <c r="E59" s="118" t="s">
        <v>162</v>
      </c>
      <c r="F59" s="119" t="s">
        <v>163</v>
      </c>
      <c r="G59" s="120" t="s">
        <v>72</v>
      </c>
      <c r="H59" s="121">
        <v>695.55200000000002</v>
      </c>
      <c r="I59" s="122">
        <v>155.66999999999999</v>
      </c>
      <c r="J59" s="122">
        <v>108276.58</v>
      </c>
      <c r="K59" s="206">
        <v>0</v>
      </c>
      <c r="L59" s="210">
        <f t="shared" si="0"/>
        <v>155.66999999999999</v>
      </c>
      <c r="M59" s="207">
        <f t="shared" si="1"/>
        <v>0</v>
      </c>
      <c r="N59" s="211">
        <f t="shared" si="2"/>
        <v>695.55200000000002</v>
      </c>
      <c r="O59" s="208">
        <f t="shared" si="3"/>
        <v>155.66999999999999</v>
      </c>
      <c r="P59" s="209">
        <f t="shared" si="4"/>
        <v>108276.57983999999</v>
      </c>
      <c r="Q59" s="151"/>
      <c r="R59" s="151"/>
      <c r="S59" s="152"/>
      <c r="T59" s="152"/>
      <c r="U59" s="151"/>
      <c r="V59" s="151"/>
      <c r="W59" s="151"/>
      <c r="AE59" s="177"/>
    </row>
    <row r="60" spans="1:31" s="109" customFormat="1" ht="48" x14ac:dyDescent="0.2">
      <c r="A60" s="97"/>
      <c r="B60" s="116"/>
      <c r="C60" s="117" t="s">
        <v>192</v>
      </c>
      <c r="D60" s="117" t="s">
        <v>69</v>
      </c>
      <c r="E60" s="118" t="s">
        <v>325</v>
      </c>
      <c r="F60" s="119" t="s">
        <v>326</v>
      </c>
      <c r="G60" s="120" t="s">
        <v>72</v>
      </c>
      <c r="H60" s="121">
        <v>350.14100000000002</v>
      </c>
      <c r="I60" s="122">
        <v>420.19</v>
      </c>
      <c r="J60" s="122">
        <v>147125.75</v>
      </c>
      <c r="K60" s="206">
        <v>0</v>
      </c>
      <c r="L60" s="210">
        <f t="shared" si="0"/>
        <v>420.19</v>
      </c>
      <c r="M60" s="207">
        <f t="shared" si="1"/>
        <v>0</v>
      </c>
      <c r="N60" s="211">
        <f t="shared" si="2"/>
        <v>350.14100000000002</v>
      </c>
      <c r="O60" s="208">
        <f t="shared" si="3"/>
        <v>420.19</v>
      </c>
      <c r="P60" s="209">
        <f t="shared" si="4"/>
        <v>147125.74679</v>
      </c>
      <c r="Q60" s="151"/>
      <c r="R60" s="150" t="s">
        <v>1023</v>
      </c>
      <c r="S60" s="150" t="s">
        <v>1036</v>
      </c>
      <c r="T60" s="152" t="s">
        <v>1056</v>
      </c>
      <c r="U60" s="151"/>
      <c r="V60" s="151"/>
      <c r="W60" s="151"/>
      <c r="AE60" s="177"/>
    </row>
    <row r="61" spans="1:31" s="109" customFormat="1" ht="36" x14ac:dyDescent="0.2">
      <c r="A61" s="97"/>
      <c r="B61" s="116"/>
      <c r="C61" s="117" t="s">
        <v>195</v>
      </c>
      <c r="D61" s="117" t="s">
        <v>69</v>
      </c>
      <c r="E61" s="118" t="s">
        <v>327</v>
      </c>
      <c r="F61" s="119" t="s">
        <v>328</v>
      </c>
      <c r="G61" s="120" t="s">
        <v>72</v>
      </c>
      <c r="H61" s="121">
        <v>350.14100000000002</v>
      </c>
      <c r="I61" s="122">
        <v>315.11</v>
      </c>
      <c r="J61" s="122">
        <v>110332.93</v>
      </c>
      <c r="K61" s="206">
        <v>0</v>
      </c>
      <c r="L61" s="210">
        <f t="shared" si="0"/>
        <v>315.11</v>
      </c>
      <c r="M61" s="207">
        <f t="shared" si="1"/>
        <v>0</v>
      </c>
      <c r="N61" s="211">
        <f t="shared" si="2"/>
        <v>350.14100000000002</v>
      </c>
      <c r="O61" s="208">
        <f t="shared" si="3"/>
        <v>315.11</v>
      </c>
      <c r="P61" s="209">
        <f t="shared" si="4"/>
        <v>110332.93051000001</v>
      </c>
      <c r="Q61" s="178" t="s">
        <v>1013</v>
      </c>
      <c r="R61" s="151"/>
      <c r="S61" s="152"/>
      <c r="T61" s="152"/>
      <c r="U61" s="151"/>
      <c r="V61" s="151"/>
      <c r="W61" s="151"/>
      <c r="AE61" s="177"/>
    </row>
    <row r="62" spans="1:31" s="109" customFormat="1" ht="33.75" x14ac:dyDescent="0.2">
      <c r="A62" s="97"/>
      <c r="B62" s="116"/>
      <c r="C62" s="117" t="s">
        <v>198</v>
      </c>
      <c r="D62" s="117" t="s">
        <v>69</v>
      </c>
      <c r="E62" s="118" t="s">
        <v>168</v>
      </c>
      <c r="F62" s="119" t="s">
        <v>169</v>
      </c>
      <c r="G62" s="120" t="s">
        <v>72</v>
      </c>
      <c r="H62" s="121">
        <v>1441.001</v>
      </c>
      <c r="I62" s="122">
        <v>18.04</v>
      </c>
      <c r="J62" s="122">
        <v>25995.66</v>
      </c>
      <c r="K62" s="206">
        <v>0</v>
      </c>
      <c r="L62" s="210">
        <f t="shared" si="0"/>
        <v>18.04</v>
      </c>
      <c r="M62" s="207">
        <f t="shared" si="1"/>
        <v>0</v>
      </c>
      <c r="N62" s="211">
        <f t="shared" si="2"/>
        <v>1441.001</v>
      </c>
      <c r="O62" s="208">
        <f t="shared" si="3"/>
        <v>18.04</v>
      </c>
      <c r="P62" s="209">
        <f t="shared" si="4"/>
        <v>25995.658039999998</v>
      </c>
      <c r="Q62" s="151"/>
      <c r="R62" s="150" t="s">
        <v>1023</v>
      </c>
      <c r="S62" s="150" t="s">
        <v>1036</v>
      </c>
      <c r="T62" s="152"/>
      <c r="U62" s="151"/>
      <c r="V62" s="151"/>
      <c r="W62" s="151"/>
      <c r="AE62" s="177"/>
    </row>
    <row r="63" spans="1:31" s="109" customFormat="1" ht="48" x14ac:dyDescent="0.2">
      <c r="A63" s="97"/>
      <c r="B63" s="116"/>
      <c r="C63" s="117" t="s">
        <v>201</v>
      </c>
      <c r="D63" s="117" t="s">
        <v>69</v>
      </c>
      <c r="E63" s="118" t="s">
        <v>171</v>
      </c>
      <c r="F63" s="119" t="s">
        <v>172</v>
      </c>
      <c r="G63" s="120" t="s">
        <v>72</v>
      </c>
      <c r="H63" s="121">
        <v>533.81700000000001</v>
      </c>
      <c r="I63" s="122">
        <v>396.71</v>
      </c>
      <c r="J63" s="122">
        <v>211770.54</v>
      </c>
      <c r="K63" s="206">
        <v>0</v>
      </c>
      <c r="L63" s="210">
        <f t="shared" si="0"/>
        <v>396.71</v>
      </c>
      <c r="M63" s="207">
        <f t="shared" si="1"/>
        <v>0</v>
      </c>
      <c r="N63" s="211">
        <f t="shared" si="2"/>
        <v>533.81700000000001</v>
      </c>
      <c r="O63" s="208">
        <f t="shared" si="3"/>
        <v>396.71</v>
      </c>
      <c r="P63" s="209">
        <f t="shared" si="4"/>
        <v>211770.54207</v>
      </c>
      <c r="Q63" s="151"/>
      <c r="R63" s="151"/>
      <c r="S63" s="152"/>
      <c r="T63" s="152"/>
      <c r="U63" s="151"/>
      <c r="V63" s="151"/>
      <c r="W63" s="151"/>
      <c r="AE63" s="177"/>
    </row>
    <row r="64" spans="1:31" s="109" customFormat="1" ht="48" x14ac:dyDescent="0.2">
      <c r="A64" s="97"/>
      <c r="B64" s="116"/>
      <c r="C64" s="117" t="s">
        <v>204</v>
      </c>
      <c r="D64" s="117" t="s">
        <v>69</v>
      </c>
      <c r="E64" s="118" t="s">
        <v>329</v>
      </c>
      <c r="F64" s="119" t="s">
        <v>330</v>
      </c>
      <c r="G64" s="120" t="s">
        <v>72</v>
      </c>
      <c r="H64" s="121">
        <v>907.18399999999997</v>
      </c>
      <c r="I64" s="122">
        <v>396.71</v>
      </c>
      <c r="J64" s="122">
        <v>359888.96</v>
      </c>
      <c r="K64" s="206">
        <v>0</v>
      </c>
      <c r="L64" s="210">
        <f t="shared" si="0"/>
        <v>396.71</v>
      </c>
      <c r="M64" s="207">
        <f t="shared" si="1"/>
        <v>0</v>
      </c>
      <c r="N64" s="211">
        <f t="shared" si="2"/>
        <v>907.18399999999997</v>
      </c>
      <c r="O64" s="208">
        <f t="shared" si="3"/>
        <v>396.71</v>
      </c>
      <c r="P64" s="209">
        <f t="shared" si="4"/>
        <v>359888.96463999996</v>
      </c>
      <c r="Q64" s="151"/>
      <c r="R64" s="151"/>
      <c r="S64" s="152"/>
      <c r="T64" s="152"/>
      <c r="U64" s="151"/>
      <c r="V64" s="151"/>
      <c r="W64" s="151"/>
      <c r="AE64" s="177"/>
    </row>
    <row r="65" spans="1:31" s="109" customFormat="1" ht="36" x14ac:dyDescent="0.2">
      <c r="A65" s="97"/>
      <c r="B65" s="116"/>
      <c r="C65" s="117" t="s">
        <v>207</v>
      </c>
      <c r="D65" s="117" t="s">
        <v>69</v>
      </c>
      <c r="E65" s="118" t="s">
        <v>174</v>
      </c>
      <c r="F65" s="119" t="s">
        <v>175</v>
      </c>
      <c r="G65" s="120" t="s">
        <v>72</v>
      </c>
      <c r="H65" s="121">
        <v>345.411</v>
      </c>
      <c r="I65" s="122">
        <v>443.02</v>
      </c>
      <c r="J65" s="122">
        <v>153023.98000000001</v>
      </c>
      <c r="K65" s="206">
        <v>0</v>
      </c>
      <c r="L65" s="210">
        <f t="shared" si="0"/>
        <v>443.02</v>
      </c>
      <c r="M65" s="207">
        <f t="shared" si="1"/>
        <v>0</v>
      </c>
      <c r="N65" s="211">
        <f t="shared" si="2"/>
        <v>345.411</v>
      </c>
      <c r="O65" s="208">
        <f t="shared" si="3"/>
        <v>443.02</v>
      </c>
      <c r="P65" s="209">
        <f t="shared" si="4"/>
        <v>153023.98121999999</v>
      </c>
      <c r="Q65" s="151"/>
      <c r="R65" s="150" t="s">
        <v>1021</v>
      </c>
      <c r="S65" s="150" t="s">
        <v>1036</v>
      </c>
      <c r="T65" s="152" t="s">
        <v>1050</v>
      </c>
      <c r="U65" s="151"/>
      <c r="V65" s="151"/>
      <c r="W65" s="151"/>
      <c r="AE65" s="177"/>
    </row>
    <row r="66" spans="1:31" s="109" customFormat="1" ht="36" x14ac:dyDescent="0.2">
      <c r="A66" s="97"/>
      <c r="B66" s="116"/>
      <c r="C66" s="117" t="s">
        <v>210</v>
      </c>
      <c r="D66" s="117" t="s">
        <v>69</v>
      </c>
      <c r="E66" s="118" t="s">
        <v>331</v>
      </c>
      <c r="F66" s="119" t="s">
        <v>332</v>
      </c>
      <c r="G66" s="120" t="s">
        <v>72</v>
      </c>
      <c r="H66" s="121">
        <v>350.14100000000002</v>
      </c>
      <c r="I66" s="122">
        <v>431.47</v>
      </c>
      <c r="J66" s="122">
        <v>151075.34</v>
      </c>
      <c r="K66" s="206">
        <v>0</v>
      </c>
      <c r="L66" s="210">
        <f t="shared" si="0"/>
        <v>431.47</v>
      </c>
      <c r="M66" s="207">
        <f t="shared" si="1"/>
        <v>0</v>
      </c>
      <c r="N66" s="211">
        <f t="shared" si="2"/>
        <v>350.14100000000002</v>
      </c>
      <c r="O66" s="208">
        <f t="shared" si="3"/>
        <v>431.47</v>
      </c>
      <c r="P66" s="209">
        <f t="shared" si="4"/>
        <v>151075.33727000002</v>
      </c>
      <c r="Q66" s="151"/>
      <c r="R66" s="150" t="s">
        <v>1021</v>
      </c>
      <c r="S66" s="150" t="s">
        <v>1036</v>
      </c>
      <c r="T66" s="152" t="s">
        <v>1057</v>
      </c>
      <c r="U66" s="151"/>
      <c r="V66" s="151"/>
      <c r="W66" s="151"/>
      <c r="AE66" s="177"/>
    </row>
    <row r="67" spans="1:31" s="110" customFormat="1" ht="12.75" x14ac:dyDescent="0.2">
      <c r="C67" s="245"/>
      <c r="D67" s="246" t="s">
        <v>3</v>
      </c>
      <c r="E67" s="247" t="s">
        <v>90</v>
      </c>
      <c r="F67" s="247" t="s">
        <v>182</v>
      </c>
      <c r="G67" s="245"/>
      <c r="H67" s="245"/>
      <c r="I67" s="245"/>
      <c r="J67" s="248">
        <v>2094061.6099999999</v>
      </c>
      <c r="K67" s="249"/>
      <c r="L67" s="250"/>
      <c r="M67" s="241">
        <f>SUM(M68:M98)</f>
        <v>-886.72</v>
      </c>
      <c r="N67" s="242"/>
      <c r="O67" s="243"/>
      <c r="P67" s="241">
        <f>SUM(P68:P98)</f>
        <v>2093174.8777888361</v>
      </c>
      <c r="Q67" s="153"/>
      <c r="R67" s="153"/>
      <c r="S67" s="180"/>
      <c r="T67" s="180"/>
      <c r="U67" s="153"/>
      <c r="V67" s="153"/>
      <c r="W67" s="153"/>
      <c r="AD67" s="109"/>
      <c r="AE67" s="177"/>
    </row>
    <row r="68" spans="1:31" s="109" customFormat="1" ht="36" x14ac:dyDescent="0.2">
      <c r="A68" s="97"/>
      <c r="B68" s="116"/>
      <c r="C68" s="117" t="s">
        <v>214</v>
      </c>
      <c r="D68" s="117" t="s">
        <v>69</v>
      </c>
      <c r="E68" s="118" t="s">
        <v>184</v>
      </c>
      <c r="F68" s="119" t="s">
        <v>185</v>
      </c>
      <c r="G68" s="120" t="s">
        <v>61</v>
      </c>
      <c r="H68" s="121">
        <v>682.92</v>
      </c>
      <c r="I68" s="122">
        <v>552.39</v>
      </c>
      <c r="J68" s="122">
        <v>377238.18</v>
      </c>
      <c r="K68" s="206">
        <f>683-H68</f>
        <v>8.0000000000040927E-2</v>
      </c>
      <c r="L68" s="210">
        <f t="shared" si="0"/>
        <v>552.39</v>
      </c>
      <c r="M68" s="207">
        <f t="shared" si="1"/>
        <v>44.19</v>
      </c>
      <c r="N68" s="211">
        <f t="shared" si="2"/>
        <v>683</v>
      </c>
      <c r="O68" s="208">
        <f t="shared" si="3"/>
        <v>552.39</v>
      </c>
      <c r="P68" s="209">
        <f t="shared" si="4"/>
        <v>377282.37</v>
      </c>
      <c r="Q68" s="151"/>
      <c r="R68" s="336"/>
      <c r="S68" s="152"/>
      <c r="T68" s="336"/>
      <c r="U68" s="336"/>
      <c r="V68" s="152"/>
      <c r="W68" s="151"/>
      <c r="AE68" s="177"/>
    </row>
    <row r="69" spans="1:31" s="109" customFormat="1" ht="24" x14ac:dyDescent="0.2">
      <c r="A69" s="97"/>
      <c r="B69" s="116"/>
      <c r="C69" s="123" t="s">
        <v>217</v>
      </c>
      <c r="D69" s="123" t="s">
        <v>127</v>
      </c>
      <c r="E69" s="124" t="s">
        <v>187</v>
      </c>
      <c r="F69" s="125" t="s">
        <v>333</v>
      </c>
      <c r="G69" s="126" t="s">
        <v>61</v>
      </c>
      <c r="H69" s="127">
        <v>693.16399999999999</v>
      </c>
      <c r="I69" s="128">
        <v>1060.07</v>
      </c>
      <c r="J69" s="128">
        <v>734802.36</v>
      </c>
      <c r="K69" s="206">
        <f>H69/H68*K68</f>
        <v>8.1200023428847259E-2</v>
      </c>
      <c r="L69" s="210">
        <f t="shared" si="0"/>
        <v>1060.07</v>
      </c>
      <c r="M69" s="207">
        <f t="shared" si="1"/>
        <v>86.08</v>
      </c>
      <c r="N69" s="211">
        <f t="shared" si="2"/>
        <v>693.24520002342888</v>
      </c>
      <c r="O69" s="208">
        <f t="shared" si="3"/>
        <v>1060.07</v>
      </c>
      <c r="P69" s="209">
        <f t="shared" si="4"/>
        <v>734888.43918883626</v>
      </c>
      <c r="Q69" s="151"/>
      <c r="R69" s="336"/>
      <c r="S69" s="152"/>
      <c r="T69" s="336"/>
      <c r="U69" s="336"/>
      <c r="V69" s="152"/>
      <c r="W69" s="151"/>
      <c r="AE69" s="177"/>
    </row>
    <row r="70" spans="1:31" s="109" customFormat="1" ht="36" x14ac:dyDescent="0.2">
      <c r="A70" s="97"/>
      <c r="B70" s="116"/>
      <c r="C70" s="117" t="s">
        <v>220</v>
      </c>
      <c r="D70" s="117" t="s">
        <v>69</v>
      </c>
      <c r="E70" s="118" t="s">
        <v>190</v>
      </c>
      <c r="F70" s="119" t="s">
        <v>191</v>
      </c>
      <c r="G70" s="120" t="s">
        <v>138</v>
      </c>
      <c r="H70" s="121">
        <v>3</v>
      </c>
      <c r="I70" s="122">
        <v>195.97</v>
      </c>
      <c r="J70" s="122">
        <v>587.91</v>
      </c>
      <c r="K70" s="206">
        <v>0</v>
      </c>
      <c r="L70" s="210">
        <f t="shared" si="0"/>
        <v>195.97</v>
      </c>
      <c r="M70" s="207">
        <f t="shared" si="1"/>
        <v>0</v>
      </c>
      <c r="N70" s="211">
        <f t="shared" si="2"/>
        <v>3</v>
      </c>
      <c r="O70" s="208">
        <f t="shared" si="3"/>
        <v>195.97</v>
      </c>
      <c r="P70" s="209">
        <f t="shared" si="4"/>
        <v>587.91</v>
      </c>
      <c r="Q70" s="151"/>
      <c r="R70" s="151"/>
      <c r="S70" s="152"/>
      <c r="T70" s="152"/>
      <c r="U70" s="148" t="s">
        <v>1109</v>
      </c>
      <c r="V70" s="338" t="s">
        <v>1121</v>
      </c>
      <c r="W70" s="151"/>
      <c r="AE70" s="177"/>
    </row>
    <row r="71" spans="1:31" s="109" customFormat="1" ht="24" x14ac:dyDescent="0.2">
      <c r="A71" s="97"/>
      <c r="B71" s="116"/>
      <c r="C71" s="123" t="s">
        <v>223</v>
      </c>
      <c r="D71" s="123" t="s">
        <v>127</v>
      </c>
      <c r="E71" s="124" t="s">
        <v>193</v>
      </c>
      <c r="F71" s="125" t="s">
        <v>194</v>
      </c>
      <c r="G71" s="126" t="s">
        <v>138</v>
      </c>
      <c r="H71" s="127">
        <v>1</v>
      </c>
      <c r="I71" s="128">
        <v>1379.67</v>
      </c>
      <c r="J71" s="128">
        <v>1379.67</v>
      </c>
      <c r="K71" s="206">
        <v>0</v>
      </c>
      <c r="L71" s="210">
        <f t="shared" si="0"/>
        <v>1379.67</v>
      </c>
      <c r="M71" s="207">
        <f t="shared" si="1"/>
        <v>0</v>
      </c>
      <c r="N71" s="211">
        <f t="shared" si="2"/>
        <v>1</v>
      </c>
      <c r="O71" s="208">
        <f t="shared" si="3"/>
        <v>1379.67</v>
      </c>
      <c r="P71" s="209">
        <f t="shared" si="4"/>
        <v>1379.67</v>
      </c>
      <c r="Q71" s="151"/>
      <c r="R71" s="152"/>
      <c r="S71" s="152"/>
      <c r="T71" s="152"/>
      <c r="U71" s="148" t="s">
        <v>1109</v>
      </c>
      <c r="V71" s="338"/>
      <c r="W71" s="151"/>
      <c r="AE71" s="177"/>
    </row>
    <row r="72" spans="1:31" s="109" customFormat="1" ht="36" x14ac:dyDescent="0.2">
      <c r="A72" s="97"/>
      <c r="B72" s="116"/>
      <c r="C72" s="123" t="s">
        <v>226</v>
      </c>
      <c r="D72" s="123" t="s">
        <v>127</v>
      </c>
      <c r="E72" s="124" t="s">
        <v>196</v>
      </c>
      <c r="F72" s="125" t="s">
        <v>197</v>
      </c>
      <c r="G72" s="126" t="s">
        <v>138</v>
      </c>
      <c r="H72" s="127">
        <v>1</v>
      </c>
      <c r="I72" s="128">
        <v>499.78</v>
      </c>
      <c r="J72" s="128">
        <v>499.78</v>
      </c>
      <c r="K72" s="206">
        <v>0</v>
      </c>
      <c r="L72" s="210">
        <f t="shared" si="0"/>
        <v>499.78</v>
      </c>
      <c r="M72" s="207">
        <f t="shared" si="1"/>
        <v>0</v>
      </c>
      <c r="N72" s="211">
        <f t="shared" si="2"/>
        <v>1</v>
      </c>
      <c r="O72" s="208">
        <f t="shared" si="3"/>
        <v>499.78</v>
      </c>
      <c r="P72" s="209">
        <f t="shared" si="4"/>
        <v>499.78</v>
      </c>
      <c r="Q72" s="151"/>
      <c r="R72" s="151"/>
      <c r="S72" s="152"/>
      <c r="T72" s="152"/>
      <c r="U72" s="148" t="s">
        <v>1109</v>
      </c>
      <c r="V72" s="338"/>
      <c r="W72" s="151"/>
      <c r="AE72" s="177"/>
    </row>
    <row r="73" spans="1:31" s="109" customFormat="1" ht="36" x14ac:dyDescent="0.2">
      <c r="A73" s="97"/>
      <c r="B73" s="116"/>
      <c r="C73" s="123" t="s">
        <v>229</v>
      </c>
      <c r="D73" s="123" t="s">
        <v>127</v>
      </c>
      <c r="E73" s="124" t="s">
        <v>199</v>
      </c>
      <c r="F73" s="125" t="s">
        <v>200</v>
      </c>
      <c r="G73" s="126" t="s">
        <v>138</v>
      </c>
      <c r="H73" s="127">
        <v>1</v>
      </c>
      <c r="I73" s="128">
        <v>847</v>
      </c>
      <c r="J73" s="128">
        <v>847</v>
      </c>
      <c r="K73" s="206">
        <v>0</v>
      </c>
      <c r="L73" s="210">
        <f t="shared" si="0"/>
        <v>847</v>
      </c>
      <c r="M73" s="207">
        <f t="shared" si="1"/>
        <v>0</v>
      </c>
      <c r="N73" s="211">
        <f t="shared" si="2"/>
        <v>1</v>
      </c>
      <c r="O73" s="208">
        <f t="shared" si="3"/>
        <v>847</v>
      </c>
      <c r="P73" s="209">
        <f t="shared" si="4"/>
        <v>847</v>
      </c>
      <c r="Q73" s="151"/>
      <c r="R73" s="151"/>
      <c r="S73" s="152"/>
      <c r="T73" s="152"/>
      <c r="U73" s="148" t="s">
        <v>1109</v>
      </c>
      <c r="V73" s="338"/>
      <c r="W73" s="151"/>
      <c r="AE73" s="177"/>
    </row>
    <row r="74" spans="1:31" s="109" customFormat="1" ht="36" x14ac:dyDescent="0.2">
      <c r="A74" s="97"/>
      <c r="B74" s="116"/>
      <c r="C74" s="117" t="s">
        <v>232</v>
      </c>
      <c r="D74" s="117" t="s">
        <v>69</v>
      </c>
      <c r="E74" s="118" t="s">
        <v>202</v>
      </c>
      <c r="F74" s="119" t="s">
        <v>203</v>
      </c>
      <c r="G74" s="120" t="s">
        <v>138</v>
      </c>
      <c r="H74" s="121">
        <v>32</v>
      </c>
      <c r="I74" s="122">
        <v>260.41000000000003</v>
      </c>
      <c r="J74" s="122">
        <v>8333.1200000000008</v>
      </c>
      <c r="K74" s="206">
        <v>0</v>
      </c>
      <c r="L74" s="210">
        <f t="shared" si="0"/>
        <v>260.41000000000003</v>
      </c>
      <c r="M74" s="207">
        <f t="shared" si="1"/>
        <v>0</v>
      </c>
      <c r="N74" s="211">
        <f t="shared" si="2"/>
        <v>32</v>
      </c>
      <c r="O74" s="208">
        <f t="shared" si="3"/>
        <v>260.41000000000003</v>
      </c>
      <c r="P74" s="209">
        <f t="shared" si="4"/>
        <v>8333.1200000000008</v>
      </c>
      <c r="Q74" s="151"/>
      <c r="R74" s="151"/>
      <c r="S74" s="152"/>
      <c r="T74" s="152"/>
      <c r="U74" s="151"/>
      <c r="V74" s="151"/>
      <c r="W74" s="151"/>
      <c r="AE74" s="177"/>
    </row>
    <row r="75" spans="1:31" s="109" customFormat="1" ht="36" x14ac:dyDescent="0.2">
      <c r="A75" s="97"/>
      <c r="B75" s="116"/>
      <c r="C75" s="123" t="s">
        <v>235</v>
      </c>
      <c r="D75" s="123" t="s">
        <v>127</v>
      </c>
      <c r="E75" s="124" t="s">
        <v>205</v>
      </c>
      <c r="F75" s="125" t="s">
        <v>206</v>
      </c>
      <c r="G75" s="126" t="s">
        <v>138</v>
      </c>
      <c r="H75" s="127">
        <v>31</v>
      </c>
      <c r="I75" s="128">
        <v>1801.85</v>
      </c>
      <c r="J75" s="128">
        <v>55857.35</v>
      </c>
      <c r="K75" s="206">
        <v>0</v>
      </c>
      <c r="L75" s="210">
        <f t="shared" si="0"/>
        <v>1801.85</v>
      </c>
      <c r="M75" s="207">
        <f t="shared" si="1"/>
        <v>0</v>
      </c>
      <c r="N75" s="211">
        <f t="shared" si="2"/>
        <v>31</v>
      </c>
      <c r="O75" s="208">
        <f t="shared" si="3"/>
        <v>1801.85</v>
      </c>
      <c r="P75" s="209">
        <f t="shared" si="4"/>
        <v>55857.35</v>
      </c>
      <c r="Q75" s="151"/>
      <c r="R75" s="151"/>
      <c r="S75" s="152"/>
      <c r="T75" s="152"/>
      <c r="U75" s="151"/>
      <c r="V75" s="151"/>
      <c r="W75" s="151"/>
      <c r="AE75" s="177"/>
    </row>
    <row r="76" spans="1:31" s="109" customFormat="1" ht="36" x14ac:dyDescent="0.2">
      <c r="A76" s="97"/>
      <c r="B76" s="116"/>
      <c r="C76" s="123" t="s">
        <v>238</v>
      </c>
      <c r="D76" s="123" t="s">
        <v>127</v>
      </c>
      <c r="E76" s="124" t="s">
        <v>208</v>
      </c>
      <c r="F76" s="125" t="s">
        <v>209</v>
      </c>
      <c r="G76" s="126" t="s">
        <v>138</v>
      </c>
      <c r="H76" s="127">
        <v>1</v>
      </c>
      <c r="I76" s="128">
        <v>1839.99</v>
      </c>
      <c r="J76" s="128">
        <v>1839.99</v>
      </c>
      <c r="K76" s="206">
        <v>0</v>
      </c>
      <c r="L76" s="210">
        <f t="shared" si="0"/>
        <v>1839.99</v>
      </c>
      <c r="M76" s="207">
        <f t="shared" si="1"/>
        <v>0</v>
      </c>
      <c r="N76" s="211">
        <f t="shared" si="2"/>
        <v>1</v>
      </c>
      <c r="O76" s="208">
        <f t="shared" si="3"/>
        <v>1839.99</v>
      </c>
      <c r="P76" s="209">
        <f t="shared" si="4"/>
        <v>1839.99</v>
      </c>
      <c r="Q76" s="151"/>
      <c r="R76" s="151"/>
      <c r="S76" s="152"/>
      <c r="T76" s="152"/>
      <c r="U76" s="148" t="s">
        <v>1109</v>
      </c>
      <c r="V76" s="338" t="s">
        <v>1121</v>
      </c>
      <c r="W76" s="151"/>
      <c r="AE76" s="177"/>
    </row>
    <row r="77" spans="1:31" s="109" customFormat="1" ht="24" x14ac:dyDescent="0.2">
      <c r="A77" s="97"/>
      <c r="B77" s="116"/>
      <c r="C77" s="117" t="s">
        <v>241</v>
      </c>
      <c r="D77" s="117" t="s">
        <v>69</v>
      </c>
      <c r="E77" s="118" t="s">
        <v>334</v>
      </c>
      <c r="F77" s="119" t="s">
        <v>335</v>
      </c>
      <c r="G77" s="120" t="s">
        <v>61</v>
      </c>
      <c r="H77" s="121">
        <v>3.51</v>
      </c>
      <c r="I77" s="122">
        <v>648.4</v>
      </c>
      <c r="J77" s="122">
        <v>2275.88</v>
      </c>
      <c r="K77" s="206">
        <f>3.3-H77</f>
        <v>-0.20999999999999996</v>
      </c>
      <c r="L77" s="210">
        <f t="shared" si="0"/>
        <v>648.4</v>
      </c>
      <c r="M77" s="207">
        <f t="shared" si="1"/>
        <v>-136.16</v>
      </c>
      <c r="N77" s="211">
        <f t="shared" si="2"/>
        <v>3.3</v>
      </c>
      <c r="O77" s="208">
        <f t="shared" si="3"/>
        <v>648.4</v>
      </c>
      <c r="P77" s="209">
        <f t="shared" si="4"/>
        <v>2139.7199999999998</v>
      </c>
      <c r="Q77" s="151"/>
      <c r="R77" s="151"/>
      <c r="S77" s="152"/>
      <c r="T77" s="152"/>
      <c r="U77" s="151"/>
      <c r="V77" s="338"/>
      <c r="W77" s="151"/>
      <c r="AE77" s="177"/>
    </row>
    <row r="78" spans="1:31" s="109" customFormat="1" ht="24" x14ac:dyDescent="0.2">
      <c r="A78" s="97"/>
      <c r="B78" s="116"/>
      <c r="C78" s="123" t="s">
        <v>244</v>
      </c>
      <c r="D78" s="123" t="s">
        <v>127</v>
      </c>
      <c r="E78" s="124" t="s">
        <v>336</v>
      </c>
      <c r="F78" s="125" t="s">
        <v>337</v>
      </c>
      <c r="G78" s="126" t="s">
        <v>61</v>
      </c>
      <c r="H78" s="127">
        <v>3.5630000000000002</v>
      </c>
      <c r="I78" s="128">
        <v>3344.6</v>
      </c>
      <c r="J78" s="128">
        <v>11916.81</v>
      </c>
      <c r="K78" s="206">
        <f>3.3-H78</f>
        <v>-0.26300000000000034</v>
      </c>
      <c r="L78" s="210">
        <f t="shared" si="0"/>
        <v>3344.6</v>
      </c>
      <c r="M78" s="207">
        <f t="shared" si="1"/>
        <v>-879.63</v>
      </c>
      <c r="N78" s="211">
        <f t="shared" si="2"/>
        <v>3.3</v>
      </c>
      <c r="O78" s="208">
        <f t="shared" si="3"/>
        <v>3344.6</v>
      </c>
      <c r="P78" s="209">
        <f t="shared" si="4"/>
        <v>11037.179999999998</v>
      </c>
      <c r="Q78" s="151"/>
      <c r="R78" s="151"/>
      <c r="S78" s="152"/>
      <c r="T78" s="152"/>
      <c r="U78" s="151"/>
      <c r="V78" s="338"/>
      <c r="W78" s="151"/>
      <c r="AE78" s="177"/>
    </row>
    <row r="79" spans="1:31" s="109" customFormat="1" ht="24" x14ac:dyDescent="0.2">
      <c r="A79" s="97"/>
      <c r="B79" s="116"/>
      <c r="C79" s="117" t="s">
        <v>247</v>
      </c>
      <c r="D79" s="117" t="s">
        <v>69</v>
      </c>
      <c r="E79" s="118" t="s">
        <v>211</v>
      </c>
      <c r="F79" s="119" t="s">
        <v>212</v>
      </c>
      <c r="G79" s="120" t="s">
        <v>213</v>
      </c>
      <c r="H79" s="121">
        <v>14</v>
      </c>
      <c r="I79" s="122">
        <v>2564.6799999999998</v>
      </c>
      <c r="J79" s="122">
        <v>35905.519999999997</v>
      </c>
      <c r="K79" s="206">
        <v>0</v>
      </c>
      <c r="L79" s="210">
        <f t="shared" si="0"/>
        <v>2564.6799999999998</v>
      </c>
      <c r="M79" s="207">
        <f t="shared" si="1"/>
        <v>0</v>
      </c>
      <c r="N79" s="211">
        <f t="shared" si="2"/>
        <v>14</v>
      </c>
      <c r="O79" s="208">
        <f t="shared" si="3"/>
        <v>2564.6799999999998</v>
      </c>
      <c r="P79" s="209">
        <f t="shared" si="4"/>
        <v>35905.519999999997</v>
      </c>
      <c r="Q79" s="151"/>
      <c r="R79" s="151"/>
      <c r="S79" s="152"/>
      <c r="T79" s="152"/>
      <c r="U79" s="148" t="s">
        <v>1108</v>
      </c>
      <c r="V79" s="338"/>
      <c r="W79" s="151"/>
      <c r="AC79" s="148" t="s">
        <v>1154</v>
      </c>
      <c r="AE79" s="177" t="s">
        <v>1187</v>
      </c>
    </row>
    <row r="80" spans="1:31" s="109" customFormat="1" ht="24" x14ac:dyDescent="0.2">
      <c r="A80" s="97"/>
      <c r="B80" s="116"/>
      <c r="C80" s="117" t="s">
        <v>250</v>
      </c>
      <c r="D80" s="117" t="s">
        <v>69</v>
      </c>
      <c r="E80" s="118" t="s">
        <v>215</v>
      </c>
      <c r="F80" s="119" t="s">
        <v>216</v>
      </c>
      <c r="G80" s="120" t="s">
        <v>138</v>
      </c>
      <c r="H80" s="121">
        <v>36</v>
      </c>
      <c r="I80" s="122">
        <v>2016.23</v>
      </c>
      <c r="J80" s="122">
        <v>72584.28</v>
      </c>
      <c r="K80" s="206">
        <v>0</v>
      </c>
      <c r="L80" s="210">
        <f t="shared" ref="L80:L113" si="6">I80</f>
        <v>2016.23</v>
      </c>
      <c r="M80" s="207">
        <f t="shared" ref="M80:M113" si="7">ROUND(K80*L80,2)</f>
        <v>0</v>
      </c>
      <c r="N80" s="211">
        <f t="shared" ref="N80:N113" si="8">H80+K80</f>
        <v>36</v>
      </c>
      <c r="O80" s="208">
        <f t="shared" ref="O80:O113" si="9">I80</f>
        <v>2016.23</v>
      </c>
      <c r="P80" s="209">
        <f t="shared" ref="P80:P113" si="10">N80*O80</f>
        <v>72584.28</v>
      </c>
      <c r="Q80" s="151"/>
      <c r="R80" s="151"/>
      <c r="S80" s="152"/>
      <c r="T80" s="152"/>
      <c r="U80" s="151"/>
      <c r="V80" s="151"/>
      <c r="W80" s="151"/>
      <c r="AE80" s="177"/>
    </row>
    <row r="81" spans="1:47" s="109" customFormat="1" ht="24" x14ac:dyDescent="0.2">
      <c r="A81" s="97"/>
      <c r="B81" s="116"/>
      <c r="C81" s="123" t="s">
        <v>253</v>
      </c>
      <c r="D81" s="123" t="s">
        <v>127</v>
      </c>
      <c r="E81" s="124" t="s">
        <v>221</v>
      </c>
      <c r="F81" s="125" t="s">
        <v>222</v>
      </c>
      <c r="G81" s="126" t="s">
        <v>138</v>
      </c>
      <c r="H81" s="127">
        <v>20</v>
      </c>
      <c r="I81" s="128">
        <v>14898.16</v>
      </c>
      <c r="J81" s="128">
        <v>297963.2</v>
      </c>
      <c r="K81" s="206">
        <v>0</v>
      </c>
      <c r="L81" s="210">
        <f t="shared" si="6"/>
        <v>14898.16</v>
      </c>
      <c r="M81" s="207">
        <f t="shared" si="7"/>
        <v>0</v>
      </c>
      <c r="N81" s="211">
        <f t="shared" si="8"/>
        <v>20</v>
      </c>
      <c r="O81" s="208">
        <f t="shared" si="9"/>
        <v>14898.16</v>
      </c>
      <c r="P81" s="209">
        <f t="shared" si="10"/>
        <v>297963.2</v>
      </c>
      <c r="Q81" s="151"/>
      <c r="R81" s="151"/>
      <c r="S81" s="152"/>
      <c r="T81" s="152"/>
      <c r="U81" s="151"/>
      <c r="V81" s="151"/>
      <c r="W81" s="151"/>
      <c r="AE81" s="177"/>
    </row>
    <row r="82" spans="1:47" s="109" customFormat="1" ht="24" x14ac:dyDescent="0.2">
      <c r="A82" s="97"/>
      <c r="B82" s="116"/>
      <c r="C82" s="123" t="s">
        <v>256</v>
      </c>
      <c r="D82" s="123" t="s">
        <v>127</v>
      </c>
      <c r="E82" s="124" t="s">
        <v>338</v>
      </c>
      <c r="F82" s="125" t="s">
        <v>339</v>
      </c>
      <c r="G82" s="126" t="s">
        <v>138</v>
      </c>
      <c r="H82" s="127">
        <v>1</v>
      </c>
      <c r="I82" s="128">
        <v>14898.16</v>
      </c>
      <c r="J82" s="128">
        <v>14898.16</v>
      </c>
      <c r="K82" s="206">
        <v>0</v>
      </c>
      <c r="L82" s="210">
        <f t="shared" si="6"/>
        <v>14898.16</v>
      </c>
      <c r="M82" s="207">
        <f t="shared" si="7"/>
        <v>0</v>
      </c>
      <c r="N82" s="211">
        <f t="shared" si="8"/>
        <v>1</v>
      </c>
      <c r="O82" s="208">
        <f t="shared" si="9"/>
        <v>14898.16</v>
      </c>
      <c r="P82" s="209">
        <f t="shared" si="10"/>
        <v>14898.16</v>
      </c>
      <c r="Q82" s="151"/>
      <c r="R82" s="151"/>
      <c r="S82" s="152"/>
      <c r="T82" s="152"/>
      <c r="U82" s="151"/>
      <c r="V82" s="151"/>
      <c r="W82" s="151"/>
      <c r="AE82" s="177"/>
    </row>
    <row r="83" spans="1:47" s="109" customFormat="1" ht="24" x14ac:dyDescent="0.2">
      <c r="A83" s="97"/>
      <c r="B83" s="116"/>
      <c r="C83" s="123" t="s">
        <v>259</v>
      </c>
      <c r="D83" s="123" t="s">
        <v>127</v>
      </c>
      <c r="E83" s="124" t="s">
        <v>340</v>
      </c>
      <c r="F83" s="125" t="s">
        <v>341</v>
      </c>
      <c r="G83" s="126" t="s">
        <v>138</v>
      </c>
      <c r="H83" s="127">
        <v>1</v>
      </c>
      <c r="I83" s="128">
        <v>17596.990000000002</v>
      </c>
      <c r="J83" s="128">
        <v>17596.990000000002</v>
      </c>
      <c r="K83" s="206">
        <v>0</v>
      </c>
      <c r="L83" s="210">
        <f t="shared" si="6"/>
        <v>17596.990000000002</v>
      </c>
      <c r="M83" s="207">
        <f t="shared" si="7"/>
        <v>0</v>
      </c>
      <c r="N83" s="211">
        <f t="shared" si="8"/>
        <v>1</v>
      </c>
      <c r="O83" s="208">
        <f t="shared" si="9"/>
        <v>17596.990000000002</v>
      </c>
      <c r="P83" s="209">
        <f t="shared" si="10"/>
        <v>17596.990000000002</v>
      </c>
      <c r="Q83" s="151"/>
      <c r="R83" s="151"/>
      <c r="S83" s="152"/>
      <c r="T83" s="152"/>
      <c r="U83" s="151"/>
      <c r="V83" s="151"/>
      <c r="W83" s="151"/>
      <c r="AE83" s="177"/>
    </row>
    <row r="84" spans="1:47" s="109" customFormat="1" ht="24" x14ac:dyDescent="0.2">
      <c r="A84" s="97"/>
      <c r="B84" s="116"/>
      <c r="C84" s="123" t="s">
        <v>262</v>
      </c>
      <c r="D84" s="123" t="s">
        <v>127</v>
      </c>
      <c r="E84" s="124" t="s">
        <v>224</v>
      </c>
      <c r="F84" s="125" t="s">
        <v>225</v>
      </c>
      <c r="G84" s="126" t="s">
        <v>138</v>
      </c>
      <c r="H84" s="127">
        <v>22</v>
      </c>
      <c r="I84" s="128">
        <v>1530.92</v>
      </c>
      <c r="J84" s="128">
        <v>33680.239999999998</v>
      </c>
      <c r="K84" s="206">
        <v>0</v>
      </c>
      <c r="L84" s="210">
        <f t="shared" si="6"/>
        <v>1530.92</v>
      </c>
      <c r="M84" s="207">
        <f t="shared" si="7"/>
        <v>0</v>
      </c>
      <c r="N84" s="211">
        <f t="shared" si="8"/>
        <v>22</v>
      </c>
      <c r="O84" s="208">
        <f t="shared" si="9"/>
        <v>1530.92</v>
      </c>
      <c r="P84" s="209">
        <f t="shared" si="10"/>
        <v>33680.240000000005</v>
      </c>
      <c r="Q84" s="151"/>
      <c r="R84" s="151"/>
      <c r="S84" s="152"/>
      <c r="T84" s="152"/>
      <c r="U84" s="151"/>
      <c r="V84" s="151"/>
      <c r="W84" s="151"/>
      <c r="AE84" s="177"/>
    </row>
    <row r="85" spans="1:47" s="109" customFormat="1" ht="24" x14ac:dyDescent="0.2">
      <c r="A85" s="97"/>
      <c r="B85" s="116"/>
      <c r="C85" s="123" t="s">
        <v>265</v>
      </c>
      <c r="D85" s="123" t="s">
        <v>127</v>
      </c>
      <c r="E85" s="124" t="s">
        <v>227</v>
      </c>
      <c r="F85" s="125" t="s">
        <v>228</v>
      </c>
      <c r="G85" s="126" t="s">
        <v>138</v>
      </c>
      <c r="H85" s="127">
        <v>4</v>
      </c>
      <c r="I85" s="128">
        <v>775.98</v>
      </c>
      <c r="J85" s="128">
        <v>3103.92</v>
      </c>
      <c r="K85" s="206">
        <v>0</v>
      </c>
      <c r="L85" s="210">
        <f t="shared" si="6"/>
        <v>775.98</v>
      </c>
      <c r="M85" s="207">
        <f t="shared" si="7"/>
        <v>0</v>
      </c>
      <c r="N85" s="211">
        <f t="shared" si="8"/>
        <v>4</v>
      </c>
      <c r="O85" s="208">
        <f t="shared" si="9"/>
        <v>775.98</v>
      </c>
      <c r="P85" s="209">
        <f t="shared" si="10"/>
        <v>3103.92</v>
      </c>
      <c r="Q85" s="151"/>
      <c r="R85" s="151"/>
      <c r="S85" s="152"/>
      <c r="T85" s="152"/>
      <c r="U85" s="151"/>
      <c r="V85" s="151"/>
      <c r="W85" s="151"/>
      <c r="AE85" s="177"/>
    </row>
    <row r="86" spans="1:47" s="109" customFormat="1" ht="24" x14ac:dyDescent="0.2">
      <c r="A86" s="97"/>
      <c r="B86" s="116"/>
      <c r="C86" s="123" t="s">
        <v>269</v>
      </c>
      <c r="D86" s="123" t="s">
        <v>127</v>
      </c>
      <c r="E86" s="124" t="s">
        <v>230</v>
      </c>
      <c r="F86" s="125" t="s">
        <v>231</v>
      </c>
      <c r="G86" s="126" t="s">
        <v>138</v>
      </c>
      <c r="H86" s="127">
        <v>19</v>
      </c>
      <c r="I86" s="128">
        <v>1202.1099999999999</v>
      </c>
      <c r="J86" s="128">
        <v>22840.09</v>
      </c>
      <c r="K86" s="206">
        <v>0</v>
      </c>
      <c r="L86" s="210">
        <f t="shared" si="6"/>
        <v>1202.1099999999999</v>
      </c>
      <c r="M86" s="207">
        <f t="shared" si="7"/>
        <v>0</v>
      </c>
      <c r="N86" s="211">
        <f t="shared" si="8"/>
        <v>19</v>
      </c>
      <c r="O86" s="208">
        <f t="shared" si="9"/>
        <v>1202.1099999999999</v>
      </c>
      <c r="P86" s="209">
        <f t="shared" si="10"/>
        <v>22840.089999999997</v>
      </c>
      <c r="Q86" s="151"/>
      <c r="R86" s="151"/>
      <c r="S86" s="152"/>
      <c r="T86" s="152"/>
      <c r="U86" s="151"/>
      <c r="V86" s="151"/>
      <c r="W86" s="151"/>
      <c r="AE86" s="177"/>
    </row>
    <row r="87" spans="1:47" s="109" customFormat="1" ht="24" x14ac:dyDescent="0.2">
      <c r="A87" s="97"/>
      <c r="B87" s="116"/>
      <c r="C87" s="123" t="s">
        <v>272</v>
      </c>
      <c r="D87" s="123" t="s">
        <v>127</v>
      </c>
      <c r="E87" s="124" t="s">
        <v>233</v>
      </c>
      <c r="F87" s="125" t="s">
        <v>310</v>
      </c>
      <c r="G87" s="126" t="s">
        <v>138</v>
      </c>
      <c r="H87" s="127">
        <v>7</v>
      </c>
      <c r="I87" s="128">
        <v>2648.85</v>
      </c>
      <c r="J87" s="128">
        <v>18541.95</v>
      </c>
      <c r="K87" s="206">
        <v>0</v>
      </c>
      <c r="L87" s="210">
        <f t="shared" si="6"/>
        <v>2648.85</v>
      </c>
      <c r="M87" s="207">
        <f t="shared" si="7"/>
        <v>0</v>
      </c>
      <c r="N87" s="211">
        <f t="shared" si="8"/>
        <v>7</v>
      </c>
      <c r="O87" s="208">
        <f t="shared" si="9"/>
        <v>2648.85</v>
      </c>
      <c r="P87" s="209">
        <f t="shared" si="10"/>
        <v>18541.95</v>
      </c>
      <c r="Q87" s="151"/>
      <c r="R87" s="151"/>
      <c r="S87" s="152"/>
      <c r="T87" s="152"/>
      <c r="U87" s="151"/>
      <c r="V87" s="151"/>
      <c r="W87" s="151"/>
      <c r="AE87" s="177"/>
    </row>
    <row r="88" spans="1:47" s="109" customFormat="1" ht="24" x14ac:dyDescent="0.2">
      <c r="A88" s="97"/>
      <c r="B88" s="116"/>
      <c r="C88" s="123" t="s">
        <v>275</v>
      </c>
      <c r="D88" s="123" t="s">
        <v>127</v>
      </c>
      <c r="E88" s="124" t="s">
        <v>236</v>
      </c>
      <c r="F88" s="125" t="s">
        <v>237</v>
      </c>
      <c r="G88" s="126" t="s">
        <v>138</v>
      </c>
      <c r="H88" s="127">
        <v>52</v>
      </c>
      <c r="I88" s="128">
        <v>211.75</v>
      </c>
      <c r="J88" s="128">
        <v>11011</v>
      </c>
      <c r="K88" s="206">
        <v>0</v>
      </c>
      <c r="L88" s="210">
        <f t="shared" si="6"/>
        <v>211.75</v>
      </c>
      <c r="M88" s="207">
        <f t="shared" si="7"/>
        <v>0</v>
      </c>
      <c r="N88" s="211">
        <f t="shared" si="8"/>
        <v>52</v>
      </c>
      <c r="O88" s="208">
        <f t="shared" si="9"/>
        <v>211.75</v>
      </c>
      <c r="P88" s="209">
        <f t="shared" si="10"/>
        <v>11011</v>
      </c>
      <c r="Q88" s="151"/>
      <c r="R88" s="151"/>
      <c r="S88" s="152"/>
      <c r="T88" s="152"/>
      <c r="U88" s="151"/>
      <c r="V88" s="151"/>
      <c r="W88" s="151"/>
      <c r="AE88" s="177"/>
    </row>
    <row r="89" spans="1:47" s="109" customFormat="1" ht="36" x14ac:dyDescent="0.2">
      <c r="A89" s="97"/>
      <c r="B89" s="116"/>
      <c r="C89" s="117" t="s">
        <v>278</v>
      </c>
      <c r="D89" s="117" t="s">
        <v>69</v>
      </c>
      <c r="E89" s="118" t="s">
        <v>239</v>
      </c>
      <c r="F89" s="119" t="s">
        <v>240</v>
      </c>
      <c r="G89" s="120" t="s">
        <v>138</v>
      </c>
      <c r="H89" s="121">
        <v>22</v>
      </c>
      <c r="I89" s="122">
        <v>5935.59</v>
      </c>
      <c r="J89" s="122">
        <v>130582.98</v>
      </c>
      <c r="K89" s="206">
        <v>0</v>
      </c>
      <c r="L89" s="210">
        <f t="shared" si="6"/>
        <v>5935.59</v>
      </c>
      <c r="M89" s="207">
        <f t="shared" si="7"/>
        <v>0</v>
      </c>
      <c r="N89" s="211">
        <f t="shared" si="8"/>
        <v>22</v>
      </c>
      <c r="O89" s="208">
        <f t="shared" si="9"/>
        <v>5935.59</v>
      </c>
      <c r="P89" s="209">
        <f t="shared" si="10"/>
        <v>130582.98000000001</v>
      </c>
      <c r="Q89" s="151"/>
      <c r="R89" s="151"/>
      <c r="S89" s="152"/>
      <c r="T89" s="152"/>
      <c r="U89" s="151"/>
      <c r="V89" s="151"/>
      <c r="W89" s="151"/>
      <c r="AE89" s="177"/>
    </row>
    <row r="90" spans="1:47" s="109" customFormat="1" ht="24" x14ac:dyDescent="0.2">
      <c r="A90" s="97"/>
      <c r="B90" s="116"/>
      <c r="C90" s="117" t="s">
        <v>283</v>
      </c>
      <c r="D90" s="117" t="s">
        <v>69</v>
      </c>
      <c r="E90" s="118" t="s">
        <v>242</v>
      </c>
      <c r="F90" s="119" t="s">
        <v>243</v>
      </c>
      <c r="G90" s="120" t="s">
        <v>138</v>
      </c>
      <c r="H90" s="121">
        <v>22</v>
      </c>
      <c r="I90" s="122">
        <v>485.32</v>
      </c>
      <c r="J90" s="122">
        <v>10677.04</v>
      </c>
      <c r="K90" s="206">
        <v>0</v>
      </c>
      <c r="L90" s="210">
        <f t="shared" si="6"/>
        <v>485.32</v>
      </c>
      <c r="M90" s="207">
        <f t="shared" si="7"/>
        <v>0</v>
      </c>
      <c r="N90" s="211">
        <f t="shared" si="8"/>
        <v>22</v>
      </c>
      <c r="O90" s="208">
        <f t="shared" si="9"/>
        <v>485.32</v>
      </c>
      <c r="P90" s="209">
        <f t="shared" si="10"/>
        <v>10677.039999999999</v>
      </c>
      <c r="Q90" s="151"/>
      <c r="R90" s="151"/>
      <c r="S90" s="152"/>
      <c r="T90" s="152"/>
      <c r="U90" s="151"/>
      <c r="V90" s="151"/>
      <c r="W90" s="151"/>
      <c r="AE90" s="177"/>
    </row>
    <row r="91" spans="1:47" s="109" customFormat="1" ht="24" x14ac:dyDescent="0.2">
      <c r="A91" s="97"/>
      <c r="B91" s="116"/>
      <c r="C91" s="123" t="s">
        <v>286</v>
      </c>
      <c r="D91" s="123" t="s">
        <v>127</v>
      </c>
      <c r="E91" s="124" t="s">
        <v>245</v>
      </c>
      <c r="F91" s="125" t="s">
        <v>246</v>
      </c>
      <c r="G91" s="126" t="s">
        <v>138</v>
      </c>
      <c r="H91" s="127">
        <v>19</v>
      </c>
      <c r="I91" s="128">
        <v>6510.34</v>
      </c>
      <c r="J91" s="128">
        <v>123696.46</v>
      </c>
      <c r="K91" s="206">
        <v>0</v>
      </c>
      <c r="L91" s="210">
        <f t="shared" si="6"/>
        <v>6510.34</v>
      </c>
      <c r="M91" s="207">
        <f t="shared" si="7"/>
        <v>0</v>
      </c>
      <c r="N91" s="211">
        <f t="shared" si="8"/>
        <v>19</v>
      </c>
      <c r="O91" s="208">
        <f t="shared" si="9"/>
        <v>6510.34</v>
      </c>
      <c r="P91" s="209">
        <f t="shared" si="10"/>
        <v>123696.46</v>
      </c>
      <c r="Q91" s="151"/>
      <c r="R91" s="151"/>
      <c r="S91" s="152"/>
      <c r="T91" s="152"/>
      <c r="U91" s="151"/>
      <c r="V91" s="151"/>
      <c r="W91" s="151"/>
      <c r="AE91" s="177"/>
    </row>
    <row r="92" spans="1:47" s="109" customFormat="1" ht="24" x14ac:dyDescent="0.2">
      <c r="A92" s="97"/>
      <c r="B92" s="116"/>
      <c r="C92" s="123" t="s">
        <v>289</v>
      </c>
      <c r="D92" s="123" t="s">
        <v>127</v>
      </c>
      <c r="E92" s="124" t="s">
        <v>248</v>
      </c>
      <c r="F92" s="125" t="s">
        <v>249</v>
      </c>
      <c r="G92" s="126" t="s">
        <v>138</v>
      </c>
      <c r="H92" s="127">
        <v>2</v>
      </c>
      <c r="I92" s="128">
        <v>6510.34</v>
      </c>
      <c r="J92" s="128">
        <v>13020.68</v>
      </c>
      <c r="K92" s="206">
        <v>0</v>
      </c>
      <c r="L92" s="210">
        <f t="shared" si="6"/>
        <v>6510.34</v>
      </c>
      <c r="M92" s="207">
        <f t="shared" si="7"/>
        <v>0</v>
      </c>
      <c r="N92" s="211">
        <f t="shared" si="8"/>
        <v>2</v>
      </c>
      <c r="O92" s="208">
        <f t="shared" si="9"/>
        <v>6510.34</v>
      </c>
      <c r="P92" s="209">
        <f t="shared" si="10"/>
        <v>13020.68</v>
      </c>
      <c r="Q92" s="151"/>
      <c r="R92" s="151"/>
      <c r="S92" s="152"/>
      <c r="T92" s="152"/>
      <c r="U92" s="151"/>
      <c r="V92" s="151"/>
      <c r="W92" s="151"/>
      <c r="AE92" s="177"/>
    </row>
    <row r="93" spans="1:47" s="109" customFormat="1" ht="24" x14ac:dyDescent="0.2">
      <c r="A93" s="97"/>
      <c r="B93" s="116"/>
      <c r="C93" s="123" t="s">
        <v>293</v>
      </c>
      <c r="D93" s="123" t="s">
        <v>127</v>
      </c>
      <c r="E93" s="124" t="s">
        <v>251</v>
      </c>
      <c r="F93" s="125" t="s">
        <v>252</v>
      </c>
      <c r="G93" s="126" t="s">
        <v>138</v>
      </c>
      <c r="H93" s="127">
        <v>1</v>
      </c>
      <c r="I93" s="128">
        <v>6510.34</v>
      </c>
      <c r="J93" s="128">
        <v>6510.34</v>
      </c>
      <c r="K93" s="206">
        <v>0</v>
      </c>
      <c r="L93" s="210">
        <f t="shared" si="6"/>
        <v>6510.34</v>
      </c>
      <c r="M93" s="207">
        <f t="shared" si="7"/>
        <v>0</v>
      </c>
      <c r="N93" s="211">
        <f t="shared" si="8"/>
        <v>1</v>
      </c>
      <c r="O93" s="208">
        <f t="shared" si="9"/>
        <v>6510.34</v>
      </c>
      <c r="P93" s="209">
        <f t="shared" si="10"/>
        <v>6510.34</v>
      </c>
      <c r="Q93" s="151"/>
      <c r="R93" s="151"/>
      <c r="S93" s="152"/>
      <c r="T93" s="152"/>
      <c r="U93" s="151"/>
      <c r="V93" s="151"/>
      <c r="W93" s="151"/>
      <c r="AE93" s="177"/>
    </row>
    <row r="94" spans="1:47" s="109" customFormat="1" ht="24" x14ac:dyDescent="0.2">
      <c r="A94" s="97"/>
      <c r="B94" s="116"/>
      <c r="C94" s="117" t="s">
        <v>342</v>
      </c>
      <c r="D94" s="117" t="s">
        <v>69</v>
      </c>
      <c r="E94" s="118" t="s">
        <v>254</v>
      </c>
      <c r="F94" s="119" t="s">
        <v>255</v>
      </c>
      <c r="G94" s="120" t="s">
        <v>62</v>
      </c>
      <c r="H94" s="121">
        <v>12.77</v>
      </c>
      <c r="I94" s="122">
        <v>3059.28</v>
      </c>
      <c r="J94" s="122">
        <v>39067.01</v>
      </c>
      <c r="K94" s="206">
        <v>0</v>
      </c>
      <c r="L94" s="210">
        <f t="shared" si="6"/>
        <v>3059.28</v>
      </c>
      <c r="M94" s="207">
        <f t="shared" si="7"/>
        <v>0</v>
      </c>
      <c r="N94" s="211">
        <f t="shared" si="8"/>
        <v>12.77</v>
      </c>
      <c r="O94" s="208">
        <f t="shared" si="9"/>
        <v>3059.28</v>
      </c>
      <c r="P94" s="209">
        <f t="shared" si="10"/>
        <v>39067.005600000004</v>
      </c>
      <c r="Q94" s="151"/>
      <c r="R94" s="151"/>
      <c r="S94" s="152"/>
      <c r="T94" s="152"/>
      <c r="U94" s="151"/>
      <c r="V94" s="151"/>
      <c r="W94" s="151"/>
      <c r="X94" s="151"/>
      <c r="Y94" s="151"/>
      <c r="Z94" s="151"/>
      <c r="AA94" s="151"/>
      <c r="AB94" s="151"/>
      <c r="AC94" s="151"/>
      <c r="AE94" s="177"/>
      <c r="AF94" s="151"/>
      <c r="AG94" s="151"/>
      <c r="AH94" s="151"/>
      <c r="AI94" s="151"/>
      <c r="AJ94" s="151"/>
      <c r="AK94" s="151"/>
      <c r="AL94" s="151"/>
      <c r="AM94" s="151"/>
      <c r="AN94" s="151"/>
      <c r="AO94" s="151"/>
      <c r="AP94" s="151"/>
      <c r="AQ94" s="151"/>
      <c r="AR94" s="151"/>
      <c r="AS94" s="151"/>
      <c r="AT94" s="151"/>
      <c r="AU94" s="151"/>
    </row>
    <row r="95" spans="1:47" s="109" customFormat="1" ht="48" x14ac:dyDescent="0.2">
      <c r="A95" s="97"/>
      <c r="B95" s="116"/>
      <c r="C95" s="117" t="s">
        <v>343</v>
      </c>
      <c r="D95" s="117" t="s">
        <v>69</v>
      </c>
      <c r="E95" s="118" t="s">
        <v>257</v>
      </c>
      <c r="F95" s="119" t="s">
        <v>258</v>
      </c>
      <c r="G95" s="120" t="s">
        <v>138</v>
      </c>
      <c r="H95" s="121">
        <v>1</v>
      </c>
      <c r="I95" s="122">
        <v>35621.4</v>
      </c>
      <c r="J95" s="122">
        <v>35621.4</v>
      </c>
      <c r="K95" s="206">
        <v>0</v>
      </c>
      <c r="L95" s="210">
        <f t="shared" si="6"/>
        <v>35621.4</v>
      </c>
      <c r="M95" s="207">
        <f t="shared" si="7"/>
        <v>0</v>
      </c>
      <c r="N95" s="211">
        <f t="shared" si="8"/>
        <v>1</v>
      </c>
      <c r="O95" s="208">
        <f t="shared" si="9"/>
        <v>35621.4</v>
      </c>
      <c r="P95" s="209">
        <f t="shared" si="10"/>
        <v>35621.4</v>
      </c>
      <c r="Q95" s="151"/>
      <c r="R95" s="151"/>
      <c r="S95" s="152"/>
      <c r="T95" s="152"/>
      <c r="U95" s="148" t="s">
        <v>1109</v>
      </c>
      <c r="V95" s="151" t="s">
        <v>1122</v>
      </c>
      <c r="W95" s="151"/>
      <c r="AE95" s="177"/>
    </row>
    <row r="96" spans="1:47" s="109" customFormat="1" ht="12" x14ac:dyDescent="0.2">
      <c r="A96" s="97"/>
      <c r="B96" s="116"/>
      <c r="C96" s="117" t="s">
        <v>344</v>
      </c>
      <c r="D96" s="117" t="s">
        <v>69</v>
      </c>
      <c r="E96" s="118" t="s">
        <v>260</v>
      </c>
      <c r="F96" s="119" t="s">
        <v>261</v>
      </c>
      <c r="G96" s="120" t="s">
        <v>72</v>
      </c>
      <c r="H96" s="121">
        <v>4.5</v>
      </c>
      <c r="I96" s="122">
        <v>442.69</v>
      </c>
      <c r="J96" s="122">
        <v>1992.11</v>
      </c>
      <c r="K96" s="206">
        <v>0</v>
      </c>
      <c r="L96" s="210">
        <f t="shared" si="6"/>
        <v>442.69</v>
      </c>
      <c r="M96" s="207">
        <f t="shared" si="7"/>
        <v>0</v>
      </c>
      <c r="N96" s="211">
        <f t="shared" si="8"/>
        <v>4.5</v>
      </c>
      <c r="O96" s="208">
        <f t="shared" si="9"/>
        <v>442.69</v>
      </c>
      <c r="P96" s="209">
        <f t="shared" si="10"/>
        <v>1992.105</v>
      </c>
      <c r="Q96" s="151"/>
      <c r="R96" s="151"/>
      <c r="S96" s="152"/>
      <c r="T96" s="152"/>
      <c r="U96" s="148" t="s">
        <v>1109</v>
      </c>
      <c r="V96" s="151"/>
      <c r="W96" s="151"/>
      <c r="AE96" s="177"/>
    </row>
    <row r="97" spans="1:31" s="109" customFormat="1" ht="24" x14ac:dyDescent="0.2">
      <c r="A97" s="97"/>
      <c r="B97" s="116"/>
      <c r="C97" s="117" t="s">
        <v>345</v>
      </c>
      <c r="D97" s="117" t="s">
        <v>69</v>
      </c>
      <c r="E97" s="118" t="s">
        <v>263</v>
      </c>
      <c r="F97" s="119" t="s">
        <v>264</v>
      </c>
      <c r="G97" s="120" t="s">
        <v>62</v>
      </c>
      <c r="H97" s="121">
        <v>0.9</v>
      </c>
      <c r="I97" s="122">
        <v>3186.85</v>
      </c>
      <c r="J97" s="122">
        <v>2868.17</v>
      </c>
      <c r="K97" s="206">
        <v>0</v>
      </c>
      <c r="L97" s="210">
        <f t="shared" si="6"/>
        <v>3186.85</v>
      </c>
      <c r="M97" s="207">
        <f t="shared" si="7"/>
        <v>0</v>
      </c>
      <c r="N97" s="211">
        <f t="shared" si="8"/>
        <v>0.9</v>
      </c>
      <c r="O97" s="208">
        <f t="shared" si="9"/>
        <v>3186.85</v>
      </c>
      <c r="P97" s="209">
        <f t="shared" si="10"/>
        <v>2868.165</v>
      </c>
      <c r="Q97" s="151"/>
      <c r="R97" s="151"/>
      <c r="S97" s="152"/>
      <c r="T97" s="152"/>
      <c r="U97" s="148" t="s">
        <v>1109</v>
      </c>
      <c r="V97" s="151"/>
      <c r="W97" s="151"/>
      <c r="AE97" s="177"/>
    </row>
    <row r="98" spans="1:31" s="109" customFormat="1" ht="12" x14ac:dyDescent="0.2">
      <c r="A98" s="97"/>
      <c r="B98" s="116"/>
      <c r="C98" s="117" t="s">
        <v>346</v>
      </c>
      <c r="D98" s="117" t="s">
        <v>69</v>
      </c>
      <c r="E98" s="118" t="s">
        <v>266</v>
      </c>
      <c r="F98" s="119" t="s">
        <v>267</v>
      </c>
      <c r="G98" s="120" t="s">
        <v>61</v>
      </c>
      <c r="H98" s="121">
        <v>686.43</v>
      </c>
      <c r="I98" s="122">
        <v>9.2100000000000009</v>
      </c>
      <c r="J98" s="122">
        <v>6322.02</v>
      </c>
      <c r="K98" s="206">
        <f>686.3-H98</f>
        <v>-0.12999999999999545</v>
      </c>
      <c r="L98" s="210">
        <f t="shared" si="6"/>
        <v>9.2100000000000009</v>
      </c>
      <c r="M98" s="207">
        <f t="shared" si="7"/>
        <v>-1.2</v>
      </c>
      <c r="N98" s="211">
        <f t="shared" si="8"/>
        <v>686.3</v>
      </c>
      <c r="O98" s="208">
        <f t="shared" si="9"/>
        <v>9.2100000000000009</v>
      </c>
      <c r="P98" s="209">
        <f t="shared" si="10"/>
        <v>6320.8230000000003</v>
      </c>
      <c r="Q98" s="151"/>
      <c r="R98" s="151"/>
      <c r="S98" s="152"/>
      <c r="T98" s="152"/>
      <c r="U98" s="151"/>
      <c r="V98" s="151"/>
      <c r="W98" s="151"/>
      <c r="AE98" s="177"/>
    </row>
    <row r="99" spans="1:31" s="110" customFormat="1" ht="12.75" x14ac:dyDescent="0.2">
      <c r="C99" s="245"/>
      <c r="D99" s="246" t="s">
        <v>3</v>
      </c>
      <c r="E99" s="247" t="s">
        <v>93</v>
      </c>
      <c r="F99" s="247" t="s">
        <v>268</v>
      </c>
      <c r="G99" s="245"/>
      <c r="H99" s="245"/>
      <c r="I99" s="245"/>
      <c r="J99" s="248">
        <v>340402.87999999995</v>
      </c>
      <c r="K99" s="249"/>
      <c r="L99" s="250"/>
      <c r="M99" s="241">
        <f>SUM(M100:M105)</f>
        <v>0</v>
      </c>
      <c r="N99" s="242"/>
      <c r="O99" s="243"/>
      <c r="P99" s="241">
        <f>SUM(P100:P105)</f>
        <v>340402.8873</v>
      </c>
      <c r="Q99" s="153"/>
      <c r="R99" s="153"/>
      <c r="S99" s="180"/>
      <c r="T99" s="180"/>
      <c r="U99" s="153"/>
      <c r="V99" s="153"/>
      <c r="W99" s="153"/>
      <c r="AD99" s="109"/>
      <c r="AE99" s="177"/>
    </row>
    <row r="100" spans="1:31" s="109" customFormat="1" ht="48" x14ac:dyDescent="0.2">
      <c r="A100" s="97"/>
      <c r="B100" s="116"/>
      <c r="C100" s="117" t="s">
        <v>347</v>
      </c>
      <c r="D100" s="117" t="s">
        <v>69</v>
      </c>
      <c r="E100" s="118" t="s">
        <v>270</v>
      </c>
      <c r="F100" s="119" t="s">
        <v>271</v>
      </c>
      <c r="G100" s="120" t="s">
        <v>61</v>
      </c>
      <c r="H100" s="121">
        <v>845.17</v>
      </c>
      <c r="I100" s="122">
        <v>87.65</v>
      </c>
      <c r="J100" s="122">
        <v>74079.149999999994</v>
      </c>
      <c r="K100" s="206">
        <v>0</v>
      </c>
      <c r="L100" s="210">
        <f t="shared" si="6"/>
        <v>87.65</v>
      </c>
      <c r="M100" s="207">
        <f t="shared" si="7"/>
        <v>0</v>
      </c>
      <c r="N100" s="211">
        <f t="shared" si="8"/>
        <v>845.17</v>
      </c>
      <c r="O100" s="208">
        <f t="shared" si="9"/>
        <v>87.65</v>
      </c>
      <c r="P100" s="209">
        <f t="shared" si="10"/>
        <v>74079.150500000003</v>
      </c>
      <c r="Q100" s="151"/>
      <c r="R100" s="151"/>
      <c r="S100" s="152"/>
      <c r="T100" s="152"/>
      <c r="U100" s="151"/>
      <c r="V100" s="151"/>
      <c r="W100" s="151"/>
      <c r="AE100" s="177"/>
    </row>
    <row r="101" spans="1:31" s="109" customFormat="1" ht="36" x14ac:dyDescent="0.2">
      <c r="A101" s="97"/>
      <c r="B101" s="116"/>
      <c r="C101" s="117" t="s">
        <v>348</v>
      </c>
      <c r="D101" s="117" t="s">
        <v>69</v>
      </c>
      <c r="E101" s="118" t="s">
        <v>273</v>
      </c>
      <c r="F101" s="119" t="s">
        <v>274</v>
      </c>
      <c r="G101" s="120" t="s">
        <v>61</v>
      </c>
      <c r="H101" s="121">
        <v>1473.19</v>
      </c>
      <c r="I101" s="122">
        <v>32.22</v>
      </c>
      <c r="J101" s="122">
        <v>47466.18</v>
      </c>
      <c r="K101" s="206">
        <v>0</v>
      </c>
      <c r="L101" s="210">
        <f t="shared" si="6"/>
        <v>32.22</v>
      </c>
      <c r="M101" s="207">
        <f t="shared" si="7"/>
        <v>0</v>
      </c>
      <c r="N101" s="211">
        <f t="shared" si="8"/>
        <v>1473.19</v>
      </c>
      <c r="O101" s="208">
        <f t="shared" si="9"/>
        <v>32.22</v>
      </c>
      <c r="P101" s="209">
        <f t="shared" si="10"/>
        <v>47466.181799999998</v>
      </c>
      <c r="Q101" s="151"/>
      <c r="R101" s="151"/>
      <c r="S101" s="152"/>
      <c r="T101" s="152"/>
      <c r="U101" s="151"/>
      <c r="V101" s="151"/>
      <c r="W101" s="151"/>
      <c r="AE101" s="177"/>
    </row>
    <row r="102" spans="1:31" s="109" customFormat="1" ht="36" x14ac:dyDescent="0.2">
      <c r="A102" s="97"/>
      <c r="B102" s="116"/>
      <c r="C102" s="117" t="s">
        <v>349</v>
      </c>
      <c r="D102" s="117" t="s">
        <v>69</v>
      </c>
      <c r="E102" s="118" t="s">
        <v>350</v>
      </c>
      <c r="F102" s="119" t="s">
        <v>351</v>
      </c>
      <c r="G102" s="120" t="s">
        <v>61</v>
      </c>
      <c r="H102" s="121">
        <v>636.62</v>
      </c>
      <c r="I102" s="122">
        <v>32.22</v>
      </c>
      <c r="J102" s="122">
        <v>20511.900000000001</v>
      </c>
      <c r="K102" s="206">
        <v>0</v>
      </c>
      <c r="L102" s="210">
        <f t="shared" si="6"/>
        <v>32.22</v>
      </c>
      <c r="M102" s="207">
        <f t="shared" si="7"/>
        <v>0</v>
      </c>
      <c r="N102" s="211">
        <f t="shared" si="8"/>
        <v>636.62</v>
      </c>
      <c r="O102" s="208">
        <f t="shared" si="9"/>
        <v>32.22</v>
      </c>
      <c r="P102" s="209">
        <f t="shared" si="10"/>
        <v>20511.896399999998</v>
      </c>
      <c r="Q102" s="151"/>
      <c r="R102" s="151"/>
      <c r="S102" s="152"/>
      <c r="T102" s="152"/>
      <c r="U102" s="151"/>
      <c r="V102" s="151"/>
      <c r="W102" s="151"/>
      <c r="AE102" s="177"/>
    </row>
    <row r="103" spans="1:31" s="109" customFormat="1" ht="24" x14ac:dyDescent="0.2">
      <c r="A103" s="97"/>
      <c r="B103" s="116"/>
      <c r="C103" s="117" t="s">
        <v>352</v>
      </c>
      <c r="D103" s="117" t="s">
        <v>69</v>
      </c>
      <c r="E103" s="118" t="s">
        <v>276</v>
      </c>
      <c r="F103" s="119" t="s">
        <v>277</v>
      </c>
      <c r="G103" s="120" t="s">
        <v>61</v>
      </c>
      <c r="H103" s="121">
        <v>1473.19</v>
      </c>
      <c r="I103" s="122">
        <v>72.34</v>
      </c>
      <c r="J103" s="122">
        <v>106570.56</v>
      </c>
      <c r="K103" s="206">
        <v>0</v>
      </c>
      <c r="L103" s="210">
        <f t="shared" si="6"/>
        <v>72.34</v>
      </c>
      <c r="M103" s="207">
        <f t="shared" si="7"/>
        <v>0</v>
      </c>
      <c r="N103" s="211">
        <f t="shared" si="8"/>
        <v>1473.19</v>
      </c>
      <c r="O103" s="208">
        <f t="shared" si="9"/>
        <v>72.34</v>
      </c>
      <c r="P103" s="209">
        <f t="shared" si="10"/>
        <v>106570.56460000001</v>
      </c>
      <c r="Q103" s="151"/>
      <c r="R103" s="151"/>
      <c r="S103" s="152"/>
      <c r="T103" s="152"/>
      <c r="U103" s="151"/>
      <c r="V103" s="151"/>
      <c r="W103" s="151"/>
      <c r="AE103" s="177"/>
    </row>
    <row r="104" spans="1:31" s="109" customFormat="1" ht="24" x14ac:dyDescent="0.2">
      <c r="A104" s="97"/>
      <c r="B104" s="116"/>
      <c r="C104" s="117" t="s">
        <v>353</v>
      </c>
      <c r="D104" s="117" t="s">
        <v>69</v>
      </c>
      <c r="E104" s="118" t="s">
        <v>354</v>
      </c>
      <c r="F104" s="119" t="s">
        <v>355</v>
      </c>
      <c r="G104" s="120" t="s">
        <v>61</v>
      </c>
      <c r="H104" s="121">
        <v>636.62</v>
      </c>
      <c r="I104" s="122">
        <v>94.7</v>
      </c>
      <c r="J104" s="122">
        <v>60287.91</v>
      </c>
      <c r="K104" s="206">
        <v>0</v>
      </c>
      <c r="L104" s="210">
        <f t="shared" si="6"/>
        <v>94.7</v>
      </c>
      <c r="M104" s="207">
        <f t="shared" si="7"/>
        <v>0</v>
      </c>
      <c r="N104" s="211">
        <f t="shared" si="8"/>
        <v>636.62</v>
      </c>
      <c r="O104" s="208">
        <f t="shared" si="9"/>
        <v>94.7</v>
      </c>
      <c r="P104" s="209">
        <f t="shared" si="10"/>
        <v>60287.914000000004</v>
      </c>
      <c r="Q104" s="151"/>
      <c r="R104" s="151"/>
      <c r="S104" s="152"/>
      <c r="T104" s="152"/>
      <c r="U104" s="151"/>
      <c r="V104" s="151"/>
      <c r="W104" s="151"/>
      <c r="AE104" s="177"/>
    </row>
    <row r="105" spans="1:31" s="109" customFormat="1" ht="48" x14ac:dyDescent="0.2">
      <c r="A105" s="97"/>
      <c r="B105" s="116"/>
      <c r="C105" s="117" t="s">
        <v>356</v>
      </c>
      <c r="D105" s="117" t="s">
        <v>69</v>
      </c>
      <c r="E105" s="118" t="s">
        <v>279</v>
      </c>
      <c r="F105" s="119" t="s">
        <v>280</v>
      </c>
      <c r="G105" s="120" t="s">
        <v>138</v>
      </c>
      <c r="H105" s="121">
        <v>19</v>
      </c>
      <c r="I105" s="122">
        <v>1657.22</v>
      </c>
      <c r="J105" s="122">
        <v>31487.18</v>
      </c>
      <c r="K105" s="206">
        <v>0</v>
      </c>
      <c r="L105" s="210">
        <f t="shared" si="6"/>
        <v>1657.22</v>
      </c>
      <c r="M105" s="207">
        <f t="shared" si="7"/>
        <v>0</v>
      </c>
      <c r="N105" s="211">
        <f t="shared" si="8"/>
        <v>19</v>
      </c>
      <c r="O105" s="208">
        <f t="shared" si="9"/>
        <v>1657.22</v>
      </c>
      <c r="P105" s="209">
        <f t="shared" si="10"/>
        <v>31487.18</v>
      </c>
      <c r="Q105" s="151"/>
      <c r="R105" s="151"/>
      <c r="S105" s="152"/>
      <c r="T105" s="152"/>
      <c r="U105" s="151"/>
      <c r="V105" s="151"/>
      <c r="W105" s="151"/>
      <c r="AE105" s="177"/>
    </row>
    <row r="106" spans="1:31" s="110" customFormat="1" ht="12.75" x14ac:dyDescent="0.2">
      <c r="C106" s="245"/>
      <c r="D106" s="246" t="s">
        <v>3</v>
      </c>
      <c r="E106" s="247" t="s">
        <v>281</v>
      </c>
      <c r="F106" s="247" t="s">
        <v>282</v>
      </c>
      <c r="G106" s="245"/>
      <c r="H106" s="245"/>
      <c r="I106" s="245"/>
      <c r="J106" s="248">
        <v>302253.16000000003</v>
      </c>
      <c r="K106" s="249"/>
      <c r="L106" s="250"/>
      <c r="M106" s="241">
        <f>SUM(M107:M111)</f>
        <v>-42.08</v>
      </c>
      <c r="N106" s="242"/>
      <c r="O106" s="243"/>
      <c r="P106" s="241">
        <f>SUM(P107:P111)</f>
        <v>302211.09305999998</v>
      </c>
      <c r="Q106" s="153"/>
      <c r="R106" s="153"/>
      <c r="S106" s="180"/>
      <c r="T106" s="180"/>
      <c r="U106" s="153"/>
      <c r="V106" s="153"/>
      <c r="W106" s="153"/>
      <c r="AD106" s="109"/>
      <c r="AE106" s="177"/>
    </row>
    <row r="107" spans="1:31" s="109" customFormat="1" ht="36" x14ac:dyDescent="0.2">
      <c r="A107" s="97"/>
      <c r="B107" s="116"/>
      <c r="C107" s="117" t="s">
        <v>357</v>
      </c>
      <c r="D107" s="117" t="s">
        <v>69</v>
      </c>
      <c r="E107" s="118" t="s">
        <v>284</v>
      </c>
      <c r="F107" s="119" t="s">
        <v>285</v>
      </c>
      <c r="G107" s="120" t="s">
        <v>120</v>
      </c>
      <c r="H107" s="121">
        <v>668.26</v>
      </c>
      <c r="I107" s="122">
        <v>168.05</v>
      </c>
      <c r="J107" s="122">
        <v>112301.09</v>
      </c>
      <c r="K107" s="206">
        <f t="shared" ref="K107" si="11">ROUND(686.3/686.43*H107-H107,2)</f>
        <v>-0.13</v>
      </c>
      <c r="L107" s="210">
        <f t="shared" si="6"/>
        <v>168.05</v>
      </c>
      <c r="M107" s="207">
        <f t="shared" si="7"/>
        <v>-21.85</v>
      </c>
      <c r="N107" s="211">
        <f t="shared" si="8"/>
        <v>668.13</v>
      </c>
      <c r="O107" s="208">
        <f t="shared" si="9"/>
        <v>168.05</v>
      </c>
      <c r="P107" s="209">
        <f t="shared" si="10"/>
        <v>112279.24650000001</v>
      </c>
      <c r="Q107" s="151"/>
      <c r="R107" s="151"/>
      <c r="S107" s="152"/>
      <c r="T107" s="152"/>
      <c r="U107" s="151"/>
      <c r="V107" s="151"/>
      <c r="W107" s="151"/>
      <c r="AE107" s="177"/>
    </row>
    <row r="108" spans="1:31" s="109" customFormat="1" ht="48" x14ac:dyDescent="0.2">
      <c r="A108" s="97"/>
      <c r="B108" s="116"/>
      <c r="C108" s="117" t="s">
        <v>358</v>
      </c>
      <c r="D108" s="117" t="s">
        <v>69</v>
      </c>
      <c r="E108" s="118" t="s">
        <v>287</v>
      </c>
      <c r="F108" s="119" t="s">
        <v>288</v>
      </c>
      <c r="G108" s="120" t="s">
        <v>120</v>
      </c>
      <c r="H108" s="121">
        <v>301.476</v>
      </c>
      <c r="I108" s="122">
        <v>257.77999999999997</v>
      </c>
      <c r="J108" s="122">
        <v>77714.48</v>
      </c>
      <c r="K108" s="206">
        <v>0</v>
      </c>
      <c r="L108" s="210">
        <f t="shared" si="6"/>
        <v>257.77999999999997</v>
      </c>
      <c r="M108" s="207">
        <f t="shared" si="7"/>
        <v>0</v>
      </c>
      <c r="N108" s="211">
        <f t="shared" si="8"/>
        <v>301.476</v>
      </c>
      <c r="O108" s="208">
        <f t="shared" si="9"/>
        <v>257.77999999999997</v>
      </c>
      <c r="P108" s="209">
        <f t="shared" si="10"/>
        <v>77714.483279999986</v>
      </c>
      <c r="Q108" s="151"/>
      <c r="R108" s="151"/>
      <c r="S108" s="152"/>
      <c r="T108" s="152"/>
      <c r="U108" s="148" t="s">
        <v>1104</v>
      </c>
      <c r="V108" s="151"/>
      <c r="W108" s="151"/>
      <c r="Z108" s="148" t="s">
        <v>1104</v>
      </c>
      <c r="AE108" s="177"/>
    </row>
    <row r="109" spans="1:31" s="109" customFormat="1" ht="36" x14ac:dyDescent="0.2">
      <c r="A109" s="97"/>
      <c r="B109" s="116"/>
      <c r="C109" s="117" t="s">
        <v>359</v>
      </c>
      <c r="D109" s="117" t="s">
        <v>69</v>
      </c>
      <c r="E109" s="118" t="s">
        <v>290</v>
      </c>
      <c r="F109" s="119" t="s">
        <v>119</v>
      </c>
      <c r="G109" s="120" t="s">
        <v>120</v>
      </c>
      <c r="H109" s="121">
        <v>366.78399999999999</v>
      </c>
      <c r="I109" s="122">
        <v>154.66999999999999</v>
      </c>
      <c r="J109" s="122">
        <v>56730.48</v>
      </c>
      <c r="K109" s="206">
        <f t="shared" ref="K109:K111" si="12">ROUND(686.3/686.43*H109-H109,2)</f>
        <v>-7.0000000000000007E-2</v>
      </c>
      <c r="L109" s="210">
        <f t="shared" si="6"/>
        <v>154.66999999999999</v>
      </c>
      <c r="M109" s="207">
        <f t="shared" si="7"/>
        <v>-10.83</v>
      </c>
      <c r="N109" s="211">
        <f t="shared" si="8"/>
        <v>366.714</v>
      </c>
      <c r="O109" s="208">
        <f t="shared" si="9"/>
        <v>154.66999999999999</v>
      </c>
      <c r="P109" s="209">
        <f t="shared" si="10"/>
        <v>56719.654379999993</v>
      </c>
      <c r="Q109" s="151"/>
      <c r="R109" s="151"/>
      <c r="S109" s="152"/>
      <c r="T109" s="152"/>
      <c r="U109" s="151"/>
      <c r="V109" s="151"/>
      <c r="W109" s="151"/>
      <c r="Z109" s="148" t="s">
        <v>1104</v>
      </c>
      <c r="AE109" s="177"/>
    </row>
    <row r="110" spans="1:31" s="109" customFormat="1" ht="36" x14ac:dyDescent="0.2">
      <c r="A110" s="97"/>
      <c r="B110" s="116"/>
      <c r="C110" s="117" t="s">
        <v>360</v>
      </c>
      <c r="D110" s="117" t="s">
        <v>69</v>
      </c>
      <c r="E110" s="118" t="s">
        <v>361</v>
      </c>
      <c r="F110" s="119" t="s">
        <v>362</v>
      </c>
      <c r="G110" s="120" t="s">
        <v>120</v>
      </c>
      <c r="H110" s="121">
        <v>236.30099999999999</v>
      </c>
      <c r="I110" s="122">
        <v>80.23</v>
      </c>
      <c r="J110" s="122">
        <v>18958.43</v>
      </c>
      <c r="K110" s="206">
        <f t="shared" si="12"/>
        <v>-0.04</v>
      </c>
      <c r="L110" s="210">
        <f t="shared" si="6"/>
        <v>80.23</v>
      </c>
      <c r="M110" s="207">
        <f t="shared" si="7"/>
        <v>-3.21</v>
      </c>
      <c r="N110" s="211">
        <f t="shared" si="8"/>
        <v>236.261</v>
      </c>
      <c r="O110" s="208">
        <f t="shared" si="9"/>
        <v>80.23</v>
      </c>
      <c r="P110" s="209">
        <f t="shared" si="10"/>
        <v>18955.22003</v>
      </c>
      <c r="Q110" s="151"/>
      <c r="R110" s="151"/>
      <c r="S110" s="152"/>
      <c r="T110" s="152"/>
      <c r="U110" s="151"/>
      <c r="V110" s="151"/>
      <c r="W110" s="151"/>
      <c r="AE110" s="177"/>
    </row>
    <row r="111" spans="1:31" s="109" customFormat="1" ht="36" x14ac:dyDescent="0.2">
      <c r="A111" s="97"/>
      <c r="B111" s="116"/>
      <c r="C111" s="117" t="s">
        <v>363</v>
      </c>
      <c r="D111" s="117" t="s">
        <v>69</v>
      </c>
      <c r="E111" s="118" t="s">
        <v>364</v>
      </c>
      <c r="F111" s="119" t="s">
        <v>365</v>
      </c>
      <c r="G111" s="120" t="s">
        <v>120</v>
      </c>
      <c r="H111" s="121">
        <v>236.30099999999999</v>
      </c>
      <c r="I111" s="122">
        <v>154.66999999999999</v>
      </c>
      <c r="J111" s="122">
        <v>36548.68</v>
      </c>
      <c r="K111" s="206">
        <f t="shared" si="12"/>
        <v>-0.04</v>
      </c>
      <c r="L111" s="210">
        <f t="shared" si="6"/>
        <v>154.66999999999999</v>
      </c>
      <c r="M111" s="207">
        <f t="shared" si="7"/>
        <v>-6.19</v>
      </c>
      <c r="N111" s="211">
        <f t="shared" si="8"/>
        <v>236.261</v>
      </c>
      <c r="O111" s="208">
        <f t="shared" si="9"/>
        <v>154.66999999999999</v>
      </c>
      <c r="P111" s="209">
        <f t="shared" si="10"/>
        <v>36542.488869999994</v>
      </c>
      <c r="Q111" s="151"/>
      <c r="R111" s="151"/>
      <c r="S111" s="152"/>
      <c r="T111" s="152"/>
      <c r="U111" s="148" t="s">
        <v>1104</v>
      </c>
      <c r="V111" s="151"/>
      <c r="W111" s="151"/>
      <c r="AE111" s="177"/>
    </row>
    <row r="112" spans="1:31" s="110" customFormat="1" ht="12.75" x14ac:dyDescent="0.2">
      <c r="C112" s="245"/>
      <c r="D112" s="246" t="s">
        <v>3</v>
      </c>
      <c r="E112" s="247" t="s">
        <v>291</v>
      </c>
      <c r="F112" s="247" t="s">
        <v>292</v>
      </c>
      <c r="G112" s="245"/>
      <c r="H112" s="245"/>
      <c r="I112" s="245"/>
      <c r="J112" s="248">
        <v>25075.49</v>
      </c>
      <c r="K112" s="249"/>
      <c r="L112" s="250"/>
      <c r="M112" s="241">
        <f>M113</f>
        <v>-4.58</v>
      </c>
      <c r="N112" s="242"/>
      <c r="O112" s="243"/>
      <c r="P112" s="241">
        <f>P113</f>
        <v>25070.909459999999</v>
      </c>
      <c r="Q112" s="153"/>
      <c r="R112" s="153"/>
      <c r="S112" s="180"/>
      <c r="T112" s="180"/>
      <c r="U112" s="153"/>
      <c r="V112" s="153"/>
      <c r="W112" s="153"/>
      <c r="AD112" s="109"/>
      <c r="AE112" s="177"/>
    </row>
    <row r="113" spans="1:32" s="109" customFormat="1" ht="36" x14ac:dyDescent="0.2">
      <c r="A113" s="97"/>
      <c r="B113" s="116"/>
      <c r="C113" s="117" t="s">
        <v>366</v>
      </c>
      <c r="D113" s="117" t="s">
        <v>69</v>
      </c>
      <c r="E113" s="118" t="s">
        <v>294</v>
      </c>
      <c r="F113" s="119" t="s">
        <v>295</v>
      </c>
      <c r="G113" s="120" t="s">
        <v>120</v>
      </c>
      <c r="H113" s="121">
        <v>219.15299999999999</v>
      </c>
      <c r="I113" s="122">
        <v>114.42</v>
      </c>
      <c r="J113" s="122">
        <v>25075.49</v>
      </c>
      <c r="K113" s="206">
        <f t="shared" ref="K113" si="13">ROUND(686.3/686.43*H113-H113,2)</f>
        <v>-0.04</v>
      </c>
      <c r="L113" s="210">
        <f t="shared" si="6"/>
        <v>114.42</v>
      </c>
      <c r="M113" s="207">
        <f t="shared" si="7"/>
        <v>-4.58</v>
      </c>
      <c r="N113" s="211">
        <f t="shared" si="8"/>
        <v>219.113</v>
      </c>
      <c r="O113" s="208">
        <f t="shared" si="9"/>
        <v>114.42</v>
      </c>
      <c r="P113" s="209">
        <f t="shared" si="10"/>
        <v>25070.909459999999</v>
      </c>
      <c r="Q113" s="151"/>
      <c r="R113" s="151"/>
      <c r="S113" s="152"/>
      <c r="T113" s="152"/>
      <c r="U113" s="151"/>
      <c r="V113" s="151"/>
      <c r="W113" s="151"/>
      <c r="AE113" s="177"/>
    </row>
    <row r="115" spans="1:32" ht="12.75" x14ac:dyDescent="0.2">
      <c r="D115" s="89"/>
      <c r="E115" s="141" t="str">
        <f>CONCATENATE("CELKEM ",C12)</f>
        <v>CELKEM 03 - SO 01.C - Stoka A</v>
      </c>
      <c r="F115" s="90"/>
      <c r="G115" s="90"/>
      <c r="H115" s="91"/>
      <c r="I115" s="90"/>
      <c r="J115" s="260">
        <f t="shared" ref="J115" si="14">J112+J106+J99+J67+J56+J49+J47+J14</f>
        <v>6931440.4800000004</v>
      </c>
      <c r="K115" s="260"/>
      <c r="L115" s="260"/>
      <c r="M115" s="260">
        <f>M112+M106+M99+M67+M56+M49+M47+M14</f>
        <v>-1391.3</v>
      </c>
      <c r="N115" s="260"/>
      <c r="O115" s="260"/>
      <c r="P115" s="260">
        <f t="shared" ref="P115:AF115" si="15">P112+P106+P99+P67+P56+P49+P47+P14</f>
        <v>6930049.1428388376</v>
      </c>
      <c r="Q115" s="260" t="e">
        <f t="shared" si="15"/>
        <v>#VALUE!</v>
      </c>
      <c r="R115" s="260">
        <f t="shared" si="15"/>
        <v>0</v>
      </c>
      <c r="S115" s="260">
        <f t="shared" si="15"/>
        <v>0</v>
      </c>
      <c r="T115" s="260">
        <f t="shared" si="15"/>
        <v>0</v>
      </c>
      <c r="U115" s="260">
        <f t="shared" si="15"/>
        <v>0</v>
      </c>
      <c r="V115" s="260">
        <f t="shared" si="15"/>
        <v>0</v>
      </c>
      <c r="W115" s="260">
        <f t="shared" si="15"/>
        <v>0</v>
      </c>
      <c r="X115" s="260">
        <f t="shared" si="15"/>
        <v>0</v>
      </c>
      <c r="Y115" s="260">
        <f t="shared" si="15"/>
        <v>0</v>
      </c>
      <c r="Z115" s="260">
        <f t="shared" si="15"/>
        <v>0</v>
      </c>
      <c r="AA115" s="260">
        <f t="shared" si="15"/>
        <v>0</v>
      </c>
      <c r="AB115" s="260">
        <f t="shared" si="15"/>
        <v>0</v>
      </c>
      <c r="AC115" s="260">
        <f t="shared" si="15"/>
        <v>0</v>
      </c>
      <c r="AD115" s="260">
        <f t="shared" si="15"/>
        <v>0</v>
      </c>
      <c r="AE115" s="260">
        <f t="shared" si="15"/>
        <v>0</v>
      </c>
      <c r="AF115" s="260">
        <f t="shared" si="15"/>
        <v>0</v>
      </c>
    </row>
    <row r="116" spans="1:32" ht="14.25" x14ac:dyDescent="0.2">
      <c r="E116" s="58"/>
      <c r="I116" s="95"/>
      <c r="J116" s="196"/>
      <c r="M116" s="186"/>
      <c r="O116" s="58"/>
    </row>
    <row r="117" spans="1:32" ht="14.25" x14ac:dyDescent="0.2">
      <c r="E117" s="58"/>
      <c r="F117" s="58"/>
      <c r="H117" s="96"/>
      <c r="J117" s="161"/>
      <c r="K117" s="62"/>
      <c r="L117" s="62"/>
      <c r="O117" s="58"/>
    </row>
  </sheetData>
  <protectedRanges>
    <protectedRange password="CCAA" sqref="O8 K8" name="Oblast1_1_1_1"/>
    <protectedRange password="CCAA" sqref="D9:H10" name="Oblast1_2_1"/>
  </protectedRanges>
  <autoFilter ref="C10:P113" xr:uid="{8803139F-10A5-4F35-8A80-5967D390925D}"/>
  <mergeCells count="15">
    <mergeCell ref="M8:N8"/>
    <mergeCell ref="K9:M9"/>
    <mergeCell ref="N9:P9"/>
    <mergeCell ref="J8:K8"/>
    <mergeCell ref="V76:V79"/>
    <mergeCell ref="T68:U69"/>
    <mergeCell ref="R12:R14"/>
    <mergeCell ref="V70:V73"/>
    <mergeCell ref="AD42:AD46"/>
    <mergeCell ref="AD37:AD38"/>
    <mergeCell ref="X36:X38"/>
    <mergeCell ref="W37:W38"/>
    <mergeCell ref="R68:R69"/>
    <mergeCell ref="AC37:AC38"/>
    <mergeCell ref="AC42:AC46"/>
  </mergeCells>
  <pageMargins left="0.39370078740157483" right="0.39370078740157483" top="0.39370078740157483" bottom="0.39370078740157483" header="0" footer="0"/>
  <pageSetup paperSize="9" scale="49" fitToHeight="0" orientation="portrait" r:id="rId1"/>
  <headerFooter>
    <oddFooter>&amp;CStrana &amp;P z &amp;N</oddFooter>
  </headerFooter>
  <rowBreaks count="1" manualBreakCount="1">
    <brk id="55" min="1" max="31" man="1"/>
  </row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AC92"/>
  <sheetViews>
    <sheetView showGridLines="0" view="pageBreakPreview" topLeftCell="A66" zoomScale="85" zoomScaleNormal="90" zoomScaleSheetLayoutView="85" workbookViewId="0">
      <selection activeCell="J90" sqref="J90:M90"/>
    </sheetView>
  </sheetViews>
  <sheetFormatPr defaultColWidth="14.6640625" defaultRowHeight="11.25" x14ac:dyDescent="0.2"/>
  <cols>
    <col min="1" max="2" width="14.6640625" style="60"/>
    <col min="3" max="3" width="5.5" style="60" customWidth="1"/>
    <col min="4" max="4" width="5.83203125" style="60" customWidth="1"/>
    <col min="5" max="5" width="12.1640625" style="60" customWidth="1"/>
    <col min="6" max="6" width="58.5" style="60" customWidth="1"/>
    <col min="7" max="7" width="6.5" style="60" customWidth="1"/>
    <col min="8" max="8" width="14.83203125" style="60" bestFit="1" customWidth="1"/>
    <col min="9" max="9" width="17.5" style="60" customWidth="1"/>
    <col min="10" max="10" width="21.83203125" style="60" bestFit="1" customWidth="1"/>
    <col min="11" max="11" width="10.83203125" style="60" customWidth="1"/>
    <col min="12" max="12" width="10.5" style="60" bestFit="1" customWidth="1"/>
    <col min="13" max="13" width="16.83203125" style="60" bestFit="1" customWidth="1"/>
    <col min="14" max="14" width="12.83203125" style="60" bestFit="1" customWidth="1"/>
    <col min="15" max="15" width="11.33203125" style="60" bestFit="1" customWidth="1"/>
    <col min="16" max="16" width="19.33203125" style="60" bestFit="1" customWidth="1"/>
    <col min="17" max="18" width="23.83203125" style="60" bestFit="1" customWidth="1"/>
    <col min="19" max="19" width="26.1640625" style="60" bestFit="1" customWidth="1"/>
    <col min="20" max="21" width="23.83203125" style="60" bestFit="1" customWidth="1"/>
    <col min="22" max="22" width="8.83203125" style="60" bestFit="1" customWidth="1"/>
    <col min="23" max="23" width="14.6640625" style="60"/>
    <col min="24" max="24" width="20.1640625" style="60" bestFit="1" customWidth="1"/>
    <col min="25" max="25" width="8.83203125" style="60" bestFit="1" customWidth="1"/>
    <col min="26" max="26" width="14.6640625" style="60"/>
    <col min="27" max="27" width="13.6640625" style="60" bestFit="1" customWidth="1"/>
    <col min="28" max="28" width="12.83203125" style="60" bestFit="1" customWidth="1"/>
    <col min="29" max="29" width="13.33203125" style="60" bestFit="1" customWidth="1"/>
    <col min="30" max="16384" width="14.6640625" style="60"/>
  </cols>
  <sheetData>
    <row r="1" spans="1:28" ht="15" x14ac:dyDescent="0.2">
      <c r="F1" s="3"/>
      <c r="G1" s="4"/>
      <c r="H1" s="1"/>
      <c r="J1" s="61"/>
      <c r="K1" s="62"/>
    </row>
    <row r="2" spans="1:28" s="1" customFormat="1" ht="15.75" x14ac:dyDescent="0.25">
      <c r="E2" s="2"/>
      <c r="F2" s="3" t="s">
        <v>979</v>
      </c>
      <c r="G2" s="4" t="s">
        <v>1058</v>
      </c>
      <c r="I2" s="5"/>
      <c r="J2" s="63"/>
      <c r="K2" s="5"/>
      <c r="L2" s="6"/>
      <c r="M2" s="7"/>
      <c r="N2" s="6"/>
      <c r="O2" s="10"/>
      <c r="P2" s="11"/>
    </row>
    <row r="3" spans="1:28" s="1" customFormat="1" ht="15.75" x14ac:dyDescent="0.25">
      <c r="E3" s="2"/>
      <c r="F3" s="3" t="s">
        <v>980</v>
      </c>
      <c r="G3" s="4" t="str">
        <f>+'Rekapitulace stavby'!D2</f>
        <v>ÚHERCE, výstavba kanalizace - UZNATELNÉ NÁKLADY - doměrky</v>
      </c>
      <c r="H3" s="2"/>
      <c r="I3" s="5"/>
      <c r="J3" s="63"/>
      <c r="K3" s="5"/>
      <c r="L3" s="6"/>
      <c r="M3" s="7"/>
      <c r="N3" s="6"/>
      <c r="O3" s="10"/>
      <c r="P3" s="11"/>
    </row>
    <row r="4" spans="1:28" s="2" customFormat="1" ht="15.75" x14ac:dyDescent="0.25">
      <c r="F4" s="12" t="s">
        <v>981</v>
      </c>
      <c r="G4" s="13" t="str">
        <f>'[1]VRN 01'!G5</f>
        <v>VRI/SOD/2020/Ži</v>
      </c>
      <c r="I4" s="5"/>
      <c r="J4" s="65"/>
      <c r="K4" s="5"/>
      <c r="L4" s="14"/>
      <c r="M4" s="15"/>
      <c r="N4" s="14"/>
      <c r="O4" s="18"/>
      <c r="P4" s="19"/>
    </row>
    <row r="5" spans="1:28" s="2" customFormat="1" ht="15.75" x14ac:dyDescent="0.25">
      <c r="F5" s="12" t="s">
        <v>983</v>
      </c>
      <c r="G5" s="13" t="s">
        <v>1001</v>
      </c>
      <c r="I5" s="5"/>
      <c r="J5" s="65"/>
      <c r="K5" s="5"/>
      <c r="L5" s="14"/>
      <c r="M5" s="15"/>
      <c r="N5" s="14"/>
      <c r="O5" s="18"/>
      <c r="P5" s="19"/>
    </row>
    <row r="6" spans="1:28" s="2" customFormat="1" ht="15.75" x14ac:dyDescent="0.25">
      <c r="F6" s="3" t="s">
        <v>984</v>
      </c>
      <c r="G6" s="13" t="str">
        <f>'[1]VRN 01'!G7</f>
        <v>Vododvody a kanalizace Mladá Boleslav, a.s.</v>
      </c>
      <c r="I6" s="5"/>
      <c r="J6" s="65"/>
      <c r="K6" s="5"/>
      <c r="L6" s="14"/>
      <c r="M6" s="15"/>
      <c r="N6" s="14"/>
      <c r="O6" s="18"/>
      <c r="P6" s="19"/>
    </row>
    <row r="7" spans="1:28" s="2" customFormat="1" ht="15.75" x14ac:dyDescent="0.25">
      <c r="F7" s="3" t="s">
        <v>986</v>
      </c>
      <c r="G7" s="20" t="str">
        <f>'[1]VRN 01'!G8</f>
        <v>VCES a.s.</v>
      </c>
      <c r="H7" s="67"/>
      <c r="I7" s="5"/>
      <c r="J7" s="65"/>
      <c r="K7" s="5"/>
      <c r="L7" s="14"/>
      <c r="M7" s="15"/>
      <c r="N7" s="14"/>
      <c r="O7" s="18"/>
      <c r="P7" s="19"/>
    </row>
    <row r="8" spans="1:28" s="68" customFormat="1" ht="12.75" x14ac:dyDescent="0.2">
      <c r="D8" s="69"/>
      <c r="F8" s="3"/>
      <c r="G8" s="20"/>
      <c r="H8" s="67"/>
      <c r="I8" s="326" t="s">
        <v>1262</v>
      </c>
      <c r="J8" s="326"/>
      <c r="K8" s="70"/>
      <c r="L8" s="71"/>
      <c r="M8" s="330"/>
      <c r="N8" s="330"/>
      <c r="O8" s="72"/>
      <c r="P8" s="73"/>
    </row>
    <row r="9" spans="1:28" s="75" customFormat="1" ht="12.75" x14ac:dyDescent="0.2">
      <c r="C9" s="76"/>
      <c r="D9" s="77"/>
      <c r="E9" s="77"/>
      <c r="F9" s="77"/>
      <c r="G9" s="77"/>
      <c r="H9" s="77"/>
      <c r="I9" s="78"/>
      <c r="J9" s="79"/>
      <c r="K9" s="332" t="s">
        <v>1266</v>
      </c>
      <c r="L9" s="332"/>
      <c r="M9" s="332"/>
      <c r="N9" s="333" t="s">
        <v>1267</v>
      </c>
      <c r="O9" s="333"/>
      <c r="P9" s="334"/>
    </row>
    <row r="10" spans="1:28" s="75" customFormat="1" ht="12.75" x14ac:dyDescent="0.2">
      <c r="C10" s="80"/>
      <c r="D10" s="81" t="s">
        <v>997</v>
      </c>
      <c r="E10" s="81" t="s">
        <v>976</v>
      </c>
      <c r="F10" s="81" t="s">
        <v>977</v>
      </c>
      <c r="G10" s="81" t="s">
        <v>64</v>
      </c>
      <c r="H10" s="82" t="s">
        <v>65</v>
      </c>
      <c r="I10" s="83" t="s">
        <v>998</v>
      </c>
      <c r="J10" s="84" t="s">
        <v>978</v>
      </c>
      <c r="K10" s="218" t="s">
        <v>999</v>
      </c>
      <c r="L10" s="219" t="s">
        <v>1260</v>
      </c>
      <c r="M10" s="220" t="s">
        <v>978</v>
      </c>
      <c r="N10" s="221" t="s">
        <v>1264</v>
      </c>
      <c r="O10" s="222" t="s">
        <v>1260</v>
      </c>
      <c r="P10" s="223" t="s">
        <v>978</v>
      </c>
      <c r="Q10" s="157" t="s">
        <v>1012</v>
      </c>
      <c r="R10" s="157" t="s">
        <v>1019</v>
      </c>
      <c r="S10" s="157" t="s">
        <v>1037</v>
      </c>
      <c r="T10" s="157" t="s">
        <v>1019</v>
      </c>
      <c r="U10" s="157" t="s">
        <v>1083</v>
      </c>
      <c r="X10" s="157" t="s">
        <v>1132</v>
      </c>
      <c r="AA10" s="157" t="s">
        <v>1150</v>
      </c>
      <c r="AB10" s="157" t="s">
        <v>1186</v>
      </c>
    </row>
    <row r="11" spans="1:28" s="109" customFormat="1" x14ac:dyDescent="0.2">
      <c r="A11" s="97"/>
      <c r="B11" s="97"/>
      <c r="C11" s="97"/>
      <c r="D11" s="97"/>
      <c r="E11" s="97"/>
      <c r="F11" s="97"/>
      <c r="G11" s="97"/>
      <c r="H11" s="97"/>
      <c r="I11" s="97"/>
      <c r="J11" s="97"/>
      <c r="K11" s="212"/>
      <c r="L11" s="212"/>
      <c r="M11" s="214"/>
    </row>
    <row r="12" spans="1:28" s="109" customFormat="1" ht="15.75" x14ac:dyDescent="0.25">
      <c r="A12" s="97"/>
      <c r="B12" s="97"/>
      <c r="C12" s="98" t="s">
        <v>372</v>
      </c>
      <c r="D12" s="97"/>
      <c r="E12" s="97"/>
      <c r="F12" s="97"/>
      <c r="G12" s="97"/>
      <c r="H12" s="97"/>
      <c r="I12" s="97"/>
      <c r="J12" s="99">
        <v>1966137.9400000011</v>
      </c>
      <c r="K12" s="212"/>
      <c r="L12" s="212"/>
      <c r="M12" s="214"/>
    </row>
    <row r="13" spans="1:28" s="110" customFormat="1" ht="15" x14ac:dyDescent="0.2">
      <c r="D13" s="111" t="s">
        <v>3</v>
      </c>
      <c r="E13" s="112" t="s">
        <v>66</v>
      </c>
      <c r="F13" s="112" t="s">
        <v>67</v>
      </c>
      <c r="J13" s="113">
        <v>1966137.9400000011</v>
      </c>
      <c r="K13" s="213"/>
      <c r="L13" s="213"/>
      <c r="M13" s="213"/>
    </row>
    <row r="14" spans="1:28" s="110" customFormat="1" ht="12.75" x14ac:dyDescent="0.2">
      <c r="C14" s="252"/>
      <c r="D14" s="253" t="s">
        <v>3</v>
      </c>
      <c r="E14" s="254" t="s">
        <v>7</v>
      </c>
      <c r="F14" s="254" t="s">
        <v>68</v>
      </c>
      <c r="G14" s="252"/>
      <c r="H14" s="252"/>
      <c r="I14" s="252"/>
      <c r="J14" s="255">
        <v>754699.96999999986</v>
      </c>
      <c r="K14" s="252"/>
      <c r="L14" s="252"/>
      <c r="M14" s="259">
        <f>SUM(M15:M38)</f>
        <v>258.54999999999995</v>
      </c>
      <c r="N14" s="252"/>
      <c r="O14" s="252"/>
      <c r="P14" s="259">
        <f>SUM(P15:P38)</f>
        <v>754958.4800000001</v>
      </c>
      <c r="Q14" s="180"/>
      <c r="T14" s="176" t="s">
        <v>1064</v>
      </c>
    </row>
    <row r="15" spans="1:28" s="109" customFormat="1" ht="48" x14ac:dyDescent="0.2">
      <c r="A15" s="97"/>
      <c r="B15" s="116"/>
      <c r="C15" s="117" t="s">
        <v>7</v>
      </c>
      <c r="D15" s="117" t="s">
        <v>69</v>
      </c>
      <c r="E15" s="118" t="s">
        <v>77</v>
      </c>
      <c r="F15" s="119" t="s">
        <v>78</v>
      </c>
      <c r="G15" s="120" t="s">
        <v>72</v>
      </c>
      <c r="H15" s="121">
        <v>24.959</v>
      </c>
      <c r="I15" s="122">
        <v>21.04</v>
      </c>
      <c r="J15" s="122">
        <v>525.14</v>
      </c>
      <c r="K15" s="206">
        <v>0</v>
      </c>
      <c r="L15" s="210">
        <f>I15</f>
        <v>21.04</v>
      </c>
      <c r="M15" s="207">
        <f>ROUND(K15*L15,2)</f>
        <v>0</v>
      </c>
      <c r="N15" s="211">
        <f>H15+K15</f>
        <v>24.959</v>
      </c>
      <c r="O15" s="208">
        <f>I15</f>
        <v>21.04</v>
      </c>
      <c r="P15" s="209">
        <f>ROUND(N15*O15,2)</f>
        <v>525.14</v>
      </c>
    </row>
    <row r="16" spans="1:28" s="109" customFormat="1" ht="60" x14ac:dyDescent="0.2">
      <c r="A16" s="97"/>
      <c r="B16" s="116"/>
      <c r="C16" s="117" t="s">
        <v>8</v>
      </c>
      <c r="D16" s="117" t="s">
        <v>69</v>
      </c>
      <c r="E16" s="118" t="s">
        <v>79</v>
      </c>
      <c r="F16" s="119" t="s">
        <v>80</v>
      </c>
      <c r="G16" s="120" t="s">
        <v>72</v>
      </c>
      <c r="H16" s="121">
        <v>214.423</v>
      </c>
      <c r="I16" s="122">
        <v>26.3</v>
      </c>
      <c r="J16" s="122">
        <v>5639.32</v>
      </c>
      <c r="K16" s="206">
        <v>0</v>
      </c>
      <c r="L16" s="210">
        <f t="shared" ref="L16:L79" si="0">I16</f>
        <v>26.3</v>
      </c>
      <c r="M16" s="207">
        <f t="shared" ref="M16:M79" si="1">ROUND(K16*L16,2)</f>
        <v>0</v>
      </c>
      <c r="N16" s="211">
        <f t="shared" ref="N16:N79" si="2">H16+K16</f>
        <v>214.423</v>
      </c>
      <c r="O16" s="208">
        <f t="shared" ref="O16:O79" si="3">I16</f>
        <v>26.3</v>
      </c>
      <c r="P16" s="209">
        <f t="shared" ref="P16:P79" si="4">ROUND(N16*O16,2)</f>
        <v>5639.32</v>
      </c>
    </row>
    <row r="17" spans="1:22" s="109" customFormat="1" ht="60" x14ac:dyDescent="0.2">
      <c r="A17" s="97"/>
      <c r="B17" s="116"/>
      <c r="C17" s="117" t="s">
        <v>76</v>
      </c>
      <c r="D17" s="117" t="s">
        <v>69</v>
      </c>
      <c r="E17" s="118" t="s">
        <v>74</v>
      </c>
      <c r="F17" s="119" t="s">
        <v>75</v>
      </c>
      <c r="G17" s="120" t="s">
        <v>72</v>
      </c>
      <c r="H17" s="121">
        <v>209.803</v>
      </c>
      <c r="I17" s="122">
        <v>40.770000000000003</v>
      </c>
      <c r="J17" s="122">
        <v>8553.67</v>
      </c>
      <c r="K17" s="206">
        <v>0</v>
      </c>
      <c r="L17" s="210">
        <f t="shared" si="0"/>
        <v>40.770000000000003</v>
      </c>
      <c r="M17" s="207">
        <f t="shared" si="1"/>
        <v>0</v>
      </c>
      <c r="N17" s="211">
        <f t="shared" si="2"/>
        <v>209.803</v>
      </c>
      <c r="O17" s="208">
        <f t="shared" si="3"/>
        <v>40.770000000000003</v>
      </c>
      <c r="P17" s="209">
        <f t="shared" si="4"/>
        <v>8553.67</v>
      </c>
    </row>
    <row r="18" spans="1:22" s="109" customFormat="1" ht="48" x14ac:dyDescent="0.2">
      <c r="A18" s="97"/>
      <c r="B18" s="116"/>
      <c r="C18" s="117" t="s">
        <v>73</v>
      </c>
      <c r="D18" s="117" t="s">
        <v>69</v>
      </c>
      <c r="E18" s="118" t="s">
        <v>314</v>
      </c>
      <c r="F18" s="119" t="s">
        <v>315</v>
      </c>
      <c r="G18" s="120" t="s">
        <v>72</v>
      </c>
      <c r="H18" s="121">
        <v>4.62</v>
      </c>
      <c r="I18" s="122">
        <v>519.33000000000004</v>
      </c>
      <c r="J18" s="122">
        <v>2399.3000000000002</v>
      </c>
      <c r="K18" s="206">
        <v>0</v>
      </c>
      <c r="L18" s="210">
        <f t="shared" si="0"/>
        <v>519.33000000000004</v>
      </c>
      <c r="M18" s="207">
        <f t="shared" si="1"/>
        <v>0</v>
      </c>
      <c r="N18" s="211">
        <f t="shared" si="2"/>
        <v>4.62</v>
      </c>
      <c r="O18" s="208">
        <f t="shared" si="3"/>
        <v>519.33000000000004</v>
      </c>
      <c r="P18" s="209">
        <f t="shared" si="4"/>
        <v>2399.3000000000002</v>
      </c>
    </row>
    <row r="19" spans="1:22" s="109" customFormat="1" ht="48" x14ac:dyDescent="0.2">
      <c r="A19" s="97"/>
      <c r="B19" s="116"/>
      <c r="C19" s="117" t="s">
        <v>81</v>
      </c>
      <c r="D19" s="117" t="s">
        <v>69</v>
      </c>
      <c r="E19" s="118" t="s">
        <v>82</v>
      </c>
      <c r="F19" s="119" t="s">
        <v>83</v>
      </c>
      <c r="G19" s="120" t="s">
        <v>72</v>
      </c>
      <c r="H19" s="121">
        <v>209.803</v>
      </c>
      <c r="I19" s="122">
        <v>39.46</v>
      </c>
      <c r="J19" s="122">
        <v>8278.83</v>
      </c>
      <c r="K19" s="206">
        <v>0</v>
      </c>
      <c r="L19" s="210">
        <f t="shared" si="0"/>
        <v>39.46</v>
      </c>
      <c r="M19" s="207">
        <f t="shared" si="1"/>
        <v>0</v>
      </c>
      <c r="N19" s="211">
        <f t="shared" si="2"/>
        <v>209.803</v>
      </c>
      <c r="O19" s="208">
        <f t="shared" si="3"/>
        <v>39.46</v>
      </c>
      <c r="P19" s="209">
        <f t="shared" si="4"/>
        <v>8278.83</v>
      </c>
    </row>
    <row r="20" spans="1:22" s="109" customFormat="1" ht="48" x14ac:dyDescent="0.2">
      <c r="A20" s="97"/>
      <c r="B20" s="116"/>
      <c r="C20" s="117" t="s">
        <v>84</v>
      </c>
      <c r="D20" s="117" t="s">
        <v>69</v>
      </c>
      <c r="E20" s="118" t="s">
        <v>316</v>
      </c>
      <c r="F20" s="119" t="s">
        <v>317</v>
      </c>
      <c r="G20" s="120" t="s">
        <v>72</v>
      </c>
      <c r="H20" s="121">
        <v>4.62</v>
      </c>
      <c r="I20" s="122">
        <v>77.599999999999994</v>
      </c>
      <c r="J20" s="122">
        <v>358.51</v>
      </c>
      <c r="K20" s="206">
        <v>0</v>
      </c>
      <c r="L20" s="210">
        <f t="shared" si="0"/>
        <v>77.599999999999994</v>
      </c>
      <c r="M20" s="207">
        <f t="shared" si="1"/>
        <v>0</v>
      </c>
      <c r="N20" s="211">
        <f t="shared" si="2"/>
        <v>4.62</v>
      </c>
      <c r="O20" s="208">
        <f t="shared" si="3"/>
        <v>77.599999999999994</v>
      </c>
      <c r="P20" s="209">
        <f t="shared" si="4"/>
        <v>358.51</v>
      </c>
    </row>
    <row r="21" spans="1:22" s="109" customFormat="1" ht="48" x14ac:dyDescent="0.2">
      <c r="A21" s="97"/>
      <c r="B21" s="116"/>
      <c r="C21" s="117" t="s">
        <v>87</v>
      </c>
      <c r="D21" s="117" t="s">
        <v>69</v>
      </c>
      <c r="E21" s="118" t="s">
        <v>85</v>
      </c>
      <c r="F21" s="119" t="s">
        <v>86</v>
      </c>
      <c r="G21" s="120" t="s">
        <v>72</v>
      </c>
      <c r="H21" s="121">
        <v>333.06099999999998</v>
      </c>
      <c r="I21" s="122">
        <v>55.24</v>
      </c>
      <c r="J21" s="122">
        <v>18398.29</v>
      </c>
      <c r="K21" s="206">
        <v>0</v>
      </c>
      <c r="L21" s="210">
        <f t="shared" si="0"/>
        <v>55.24</v>
      </c>
      <c r="M21" s="207">
        <f t="shared" si="1"/>
        <v>0</v>
      </c>
      <c r="N21" s="211">
        <f t="shared" si="2"/>
        <v>333.06099999999998</v>
      </c>
      <c r="O21" s="208">
        <f t="shared" si="3"/>
        <v>55.24</v>
      </c>
      <c r="P21" s="209">
        <f t="shared" si="4"/>
        <v>18398.29</v>
      </c>
    </row>
    <row r="22" spans="1:22" s="109" customFormat="1" ht="84" x14ac:dyDescent="0.2">
      <c r="A22" s="97"/>
      <c r="B22" s="116"/>
      <c r="C22" s="117" t="s">
        <v>90</v>
      </c>
      <c r="D22" s="117" t="s">
        <v>69</v>
      </c>
      <c r="E22" s="118" t="s">
        <v>88</v>
      </c>
      <c r="F22" s="119" t="s">
        <v>89</v>
      </c>
      <c r="G22" s="120" t="s">
        <v>61</v>
      </c>
      <c r="H22" s="121">
        <v>13.2</v>
      </c>
      <c r="I22" s="122">
        <v>170.98</v>
      </c>
      <c r="J22" s="122">
        <v>2256.94</v>
      </c>
      <c r="K22" s="206">
        <f>ROUND(217.7/217.62*H22-H22,2)</f>
        <v>0</v>
      </c>
      <c r="L22" s="210">
        <f t="shared" si="0"/>
        <v>170.98</v>
      </c>
      <c r="M22" s="207">
        <f t="shared" si="1"/>
        <v>0</v>
      </c>
      <c r="N22" s="211">
        <f t="shared" si="2"/>
        <v>13.2</v>
      </c>
      <c r="O22" s="208">
        <f t="shared" si="3"/>
        <v>170.98</v>
      </c>
      <c r="P22" s="209">
        <f t="shared" si="4"/>
        <v>2256.94</v>
      </c>
    </row>
    <row r="23" spans="1:22" s="109" customFormat="1" ht="84" x14ac:dyDescent="0.2">
      <c r="A23" s="97"/>
      <c r="B23" s="116"/>
      <c r="C23" s="117" t="s">
        <v>93</v>
      </c>
      <c r="D23" s="117" t="s">
        <v>69</v>
      </c>
      <c r="E23" s="118" t="s">
        <v>91</v>
      </c>
      <c r="F23" s="119" t="s">
        <v>92</v>
      </c>
      <c r="G23" s="120" t="s">
        <v>61</v>
      </c>
      <c r="H23" s="121">
        <v>5.5</v>
      </c>
      <c r="I23" s="122">
        <v>147.30000000000001</v>
      </c>
      <c r="J23" s="122">
        <v>810.15</v>
      </c>
      <c r="K23" s="206">
        <f t="shared" ref="K23:K40" si="5">ROUND(217.7/217.62*H23-H23,2)</f>
        <v>0</v>
      </c>
      <c r="L23" s="210">
        <f t="shared" si="0"/>
        <v>147.30000000000001</v>
      </c>
      <c r="M23" s="207">
        <f t="shared" si="1"/>
        <v>0</v>
      </c>
      <c r="N23" s="211">
        <f t="shared" si="2"/>
        <v>5.5</v>
      </c>
      <c r="O23" s="208">
        <f t="shared" si="3"/>
        <v>147.30000000000001</v>
      </c>
      <c r="P23" s="209">
        <f t="shared" si="4"/>
        <v>810.15</v>
      </c>
    </row>
    <row r="24" spans="1:22" s="109" customFormat="1" ht="36" x14ac:dyDescent="0.2">
      <c r="A24" s="97"/>
      <c r="B24" s="116"/>
      <c r="C24" s="117" t="s">
        <v>26</v>
      </c>
      <c r="D24" s="117" t="s">
        <v>69</v>
      </c>
      <c r="E24" s="118" t="s">
        <v>94</v>
      </c>
      <c r="F24" s="119" t="s">
        <v>95</v>
      </c>
      <c r="G24" s="120" t="s">
        <v>62</v>
      </c>
      <c r="H24" s="121">
        <v>65.930000000000007</v>
      </c>
      <c r="I24" s="122">
        <v>257.77999999999997</v>
      </c>
      <c r="J24" s="122">
        <v>16995.439999999999</v>
      </c>
      <c r="K24" s="206">
        <f t="shared" si="5"/>
        <v>0.02</v>
      </c>
      <c r="L24" s="210">
        <f t="shared" si="0"/>
        <v>257.77999999999997</v>
      </c>
      <c r="M24" s="207">
        <f t="shared" si="1"/>
        <v>5.16</v>
      </c>
      <c r="N24" s="211">
        <f t="shared" si="2"/>
        <v>65.95</v>
      </c>
      <c r="O24" s="208">
        <f t="shared" si="3"/>
        <v>257.77999999999997</v>
      </c>
      <c r="P24" s="209">
        <f t="shared" si="4"/>
        <v>17000.59</v>
      </c>
    </row>
    <row r="25" spans="1:22" s="109" customFormat="1" ht="36" x14ac:dyDescent="0.2">
      <c r="A25" s="97"/>
      <c r="B25" s="116"/>
      <c r="C25" s="117" t="s">
        <v>28</v>
      </c>
      <c r="D25" s="117" t="s">
        <v>69</v>
      </c>
      <c r="E25" s="118" t="s">
        <v>96</v>
      </c>
      <c r="F25" s="119" t="s">
        <v>97</v>
      </c>
      <c r="G25" s="120" t="s">
        <v>62</v>
      </c>
      <c r="H25" s="121">
        <v>93.62</v>
      </c>
      <c r="I25" s="122">
        <v>234.11</v>
      </c>
      <c r="J25" s="122">
        <v>21917.38</v>
      </c>
      <c r="K25" s="206">
        <f t="shared" si="5"/>
        <v>0.03</v>
      </c>
      <c r="L25" s="210">
        <f t="shared" si="0"/>
        <v>234.11</v>
      </c>
      <c r="M25" s="207">
        <f t="shared" si="1"/>
        <v>7.02</v>
      </c>
      <c r="N25" s="211">
        <f t="shared" si="2"/>
        <v>93.65</v>
      </c>
      <c r="O25" s="208">
        <f t="shared" si="3"/>
        <v>234.11</v>
      </c>
      <c r="P25" s="209">
        <f t="shared" si="4"/>
        <v>21924.400000000001</v>
      </c>
    </row>
    <row r="26" spans="1:22" s="109" customFormat="1" ht="36" x14ac:dyDescent="0.2">
      <c r="A26" s="97"/>
      <c r="B26" s="116"/>
      <c r="C26" s="117" t="s">
        <v>30</v>
      </c>
      <c r="D26" s="117" t="s">
        <v>69</v>
      </c>
      <c r="E26" s="118" t="s">
        <v>98</v>
      </c>
      <c r="F26" s="119" t="s">
        <v>99</v>
      </c>
      <c r="G26" s="120" t="s">
        <v>62</v>
      </c>
      <c r="H26" s="121">
        <v>176.24</v>
      </c>
      <c r="I26" s="122">
        <v>257.77999999999997</v>
      </c>
      <c r="J26" s="122">
        <v>45431.15</v>
      </c>
      <c r="K26" s="206">
        <f t="shared" si="5"/>
        <v>0.06</v>
      </c>
      <c r="L26" s="210">
        <f t="shared" si="0"/>
        <v>257.77999999999997</v>
      </c>
      <c r="M26" s="207">
        <f t="shared" si="1"/>
        <v>15.47</v>
      </c>
      <c r="N26" s="211">
        <f t="shared" si="2"/>
        <v>176.3</v>
      </c>
      <c r="O26" s="208">
        <f t="shared" si="3"/>
        <v>257.77999999999997</v>
      </c>
      <c r="P26" s="209">
        <f t="shared" si="4"/>
        <v>45446.61</v>
      </c>
    </row>
    <row r="27" spans="1:22" s="109" customFormat="1" ht="36" x14ac:dyDescent="0.2">
      <c r="A27" s="97"/>
      <c r="B27" s="116"/>
      <c r="C27" s="117" t="s">
        <v>32</v>
      </c>
      <c r="D27" s="117" t="s">
        <v>69</v>
      </c>
      <c r="E27" s="118" t="s">
        <v>100</v>
      </c>
      <c r="F27" s="119" t="s">
        <v>101</v>
      </c>
      <c r="G27" s="120" t="s">
        <v>62</v>
      </c>
      <c r="H27" s="121">
        <v>198.24</v>
      </c>
      <c r="I27" s="122">
        <v>315.64999999999998</v>
      </c>
      <c r="J27" s="122">
        <v>62574.46</v>
      </c>
      <c r="K27" s="206">
        <f t="shared" si="5"/>
        <v>7.0000000000000007E-2</v>
      </c>
      <c r="L27" s="210">
        <f t="shared" si="0"/>
        <v>315.64999999999998</v>
      </c>
      <c r="M27" s="207">
        <f t="shared" si="1"/>
        <v>22.1</v>
      </c>
      <c r="N27" s="211">
        <f t="shared" si="2"/>
        <v>198.31</v>
      </c>
      <c r="O27" s="208">
        <f t="shared" si="3"/>
        <v>315.64999999999998</v>
      </c>
      <c r="P27" s="209">
        <f t="shared" si="4"/>
        <v>62596.55</v>
      </c>
    </row>
    <row r="28" spans="1:22" s="109" customFormat="1" ht="36" x14ac:dyDescent="0.2">
      <c r="A28" s="97"/>
      <c r="B28" s="116"/>
      <c r="C28" s="117" t="s">
        <v>34</v>
      </c>
      <c r="D28" s="117" t="s">
        <v>69</v>
      </c>
      <c r="E28" s="118" t="s">
        <v>102</v>
      </c>
      <c r="F28" s="119" t="s">
        <v>103</v>
      </c>
      <c r="G28" s="120" t="s">
        <v>72</v>
      </c>
      <c r="H28" s="121">
        <v>1017.24</v>
      </c>
      <c r="I28" s="122">
        <v>69.709999999999994</v>
      </c>
      <c r="J28" s="122">
        <v>70911.8</v>
      </c>
      <c r="K28" s="206">
        <f t="shared" si="5"/>
        <v>0.37</v>
      </c>
      <c r="L28" s="210">
        <f t="shared" si="0"/>
        <v>69.709999999999994</v>
      </c>
      <c r="M28" s="207">
        <f t="shared" si="1"/>
        <v>25.79</v>
      </c>
      <c r="N28" s="211">
        <f t="shared" si="2"/>
        <v>1017.61</v>
      </c>
      <c r="O28" s="208">
        <f t="shared" si="3"/>
        <v>69.709999999999994</v>
      </c>
      <c r="P28" s="209">
        <f t="shared" si="4"/>
        <v>70937.59</v>
      </c>
    </row>
    <row r="29" spans="1:22" s="109" customFormat="1" ht="36" x14ac:dyDescent="0.2">
      <c r="A29" s="97"/>
      <c r="B29" s="116"/>
      <c r="C29" s="117" t="s">
        <v>1</v>
      </c>
      <c r="D29" s="117" t="s">
        <v>69</v>
      </c>
      <c r="E29" s="118" t="s">
        <v>104</v>
      </c>
      <c r="F29" s="119" t="s">
        <v>105</v>
      </c>
      <c r="G29" s="120" t="s">
        <v>72</v>
      </c>
      <c r="H29" s="121">
        <v>1017.24</v>
      </c>
      <c r="I29" s="122">
        <v>80.23</v>
      </c>
      <c r="J29" s="122">
        <v>81613.17</v>
      </c>
      <c r="K29" s="206">
        <f t="shared" si="5"/>
        <v>0.37</v>
      </c>
      <c r="L29" s="210">
        <f t="shared" si="0"/>
        <v>80.23</v>
      </c>
      <c r="M29" s="207">
        <f t="shared" si="1"/>
        <v>29.69</v>
      </c>
      <c r="N29" s="211">
        <f t="shared" si="2"/>
        <v>1017.61</v>
      </c>
      <c r="O29" s="208">
        <f t="shared" si="3"/>
        <v>80.23</v>
      </c>
      <c r="P29" s="209">
        <f t="shared" si="4"/>
        <v>81642.850000000006</v>
      </c>
    </row>
    <row r="30" spans="1:22" s="109" customFormat="1" ht="48" x14ac:dyDescent="0.2">
      <c r="A30" s="97"/>
      <c r="B30" s="116"/>
      <c r="C30" s="117" t="s">
        <v>37</v>
      </c>
      <c r="D30" s="117" t="s">
        <v>69</v>
      </c>
      <c r="E30" s="118" t="s">
        <v>106</v>
      </c>
      <c r="F30" s="119" t="s">
        <v>107</v>
      </c>
      <c r="G30" s="120" t="s">
        <v>62</v>
      </c>
      <c r="H30" s="121">
        <v>280.86599999999999</v>
      </c>
      <c r="I30" s="122">
        <v>13.15</v>
      </c>
      <c r="J30" s="122">
        <v>3693.39</v>
      </c>
      <c r="K30" s="206">
        <f t="shared" si="5"/>
        <v>0.1</v>
      </c>
      <c r="L30" s="210">
        <f t="shared" si="0"/>
        <v>13.15</v>
      </c>
      <c r="M30" s="207">
        <f t="shared" si="1"/>
        <v>1.32</v>
      </c>
      <c r="N30" s="211">
        <f t="shared" si="2"/>
        <v>280.96600000000001</v>
      </c>
      <c r="O30" s="208">
        <f t="shared" si="3"/>
        <v>13.15</v>
      </c>
      <c r="P30" s="209">
        <f t="shared" si="4"/>
        <v>3694.7</v>
      </c>
    </row>
    <row r="31" spans="1:22" s="109" customFormat="1" ht="48" x14ac:dyDescent="0.2">
      <c r="A31" s="97"/>
      <c r="B31" s="116"/>
      <c r="C31" s="117" t="s">
        <v>39</v>
      </c>
      <c r="D31" s="117" t="s">
        <v>69</v>
      </c>
      <c r="E31" s="118" t="s">
        <v>108</v>
      </c>
      <c r="F31" s="119" t="s">
        <v>109</v>
      </c>
      <c r="G31" s="120" t="s">
        <v>62</v>
      </c>
      <c r="H31" s="121">
        <v>756.11</v>
      </c>
      <c r="I31" s="122">
        <v>185.5</v>
      </c>
      <c r="J31" s="122">
        <v>140258.41</v>
      </c>
      <c r="K31" s="206">
        <f t="shared" si="5"/>
        <v>0.28000000000000003</v>
      </c>
      <c r="L31" s="210">
        <f t="shared" si="0"/>
        <v>185.5</v>
      </c>
      <c r="M31" s="207">
        <f t="shared" si="1"/>
        <v>51.94</v>
      </c>
      <c r="N31" s="211">
        <f t="shared" si="2"/>
        <v>756.39</v>
      </c>
      <c r="O31" s="208">
        <f t="shared" si="3"/>
        <v>185.5</v>
      </c>
      <c r="P31" s="209">
        <f t="shared" si="4"/>
        <v>140310.35</v>
      </c>
    </row>
    <row r="32" spans="1:22" s="109" customFormat="1" ht="24" x14ac:dyDescent="0.2">
      <c r="A32" s="97"/>
      <c r="B32" s="116"/>
      <c r="C32" s="117" t="s">
        <v>41</v>
      </c>
      <c r="D32" s="117" t="s">
        <v>69</v>
      </c>
      <c r="E32" s="118" t="s">
        <v>110</v>
      </c>
      <c r="F32" s="119" t="s">
        <v>111</v>
      </c>
      <c r="G32" s="120" t="s">
        <v>62</v>
      </c>
      <c r="H32" s="121">
        <v>468.11</v>
      </c>
      <c r="I32" s="122">
        <v>44.72</v>
      </c>
      <c r="J32" s="122">
        <v>20933.88</v>
      </c>
      <c r="K32" s="206">
        <f t="shared" si="5"/>
        <v>0.17</v>
      </c>
      <c r="L32" s="210">
        <f t="shared" si="0"/>
        <v>44.72</v>
      </c>
      <c r="M32" s="207">
        <f t="shared" si="1"/>
        <v>7.6</v>
      </c>
      <c r="N32" s="211">
        <f t="shared" si="2"/>
        <v>468.28000000000003</v>
      </c>
      <c r="O32" s="208">
        <f t="shared" si="3"/>
        <v>44.72</v>
      </c>
      <c r="P32" s="209">
        <f t="shared" si="4"/>
        <v>20941.48</v>
      </c>
      <c r="U32" s="150" t="s">
        <v>1086</v>
      </c>
      <c r="V32" s="109" t="s">
        <v>1008</v>
      </c>
    </row>
    <row r="33" spans="1:22" s="109" customFormat="1" ht="48" x14ac:dyDescent="0.2">
      <c r="A33" s="97"/>
      <c r="B33" s="116"/>
      <c r="C33" s="117" t="s">
        <v>114</v>
      </c>
      <c r="D33" s="117" t="s">
        <v>69</v>
      </c>
      <c r="E33" s="118" t="s">
        <v>112</v>
      </c>
      <c r="F33" s="119" t="s">
        <v>113</v>
      </c>
      <c r="G33" s="120" t="s">
        <v>62</v>
      </c>
      <c r="H33" s="121">
        <v>178.1</v>
      </c>
      <c r="I33" s="122">
        <v>247.39</v>
      </c>
      <c r="J33" s="122">
        <v>44060.160000000003</v>
      </c>
      <c r="K33" s="206">
        <f t="shared" si="5"/>
        <v>7.0000000000000007E-2</v>
      </c>
      <c r="L33" s="210">
        <f t="shared" si="0"/>
        <v>247.39</v>
      </c>
      <c r="M33" s="207">
        <f t="shared" si="1"/>
        <v>17.32</v>
      </c>
      <c r="N33" s="211">
        <f t="shared" si="2"/>
        <v>178.17</v>
      </c>
      <c r="O33" s="208">
        <f t="shared" si="3"/>
        <v>247.39</v>
      </c>
      <c r="P33" s="209">
        <f t="shared" si="4"/>
        <v>44077.48</v>
      </c>
      <c r="U33" s="150" t="s">
        <v>1086</v>
      </c>
      <c r="V33" s="109" t="s">
        <v>1008</v>
      </c>
    </row>
    <row r="34" spans="1:22" s="109" customFormat="1" ht="12" x14ac:dyDescent="0.2">
      <c r="A34" s="97"/>
      <c r="B34" s="116"/>
      <c r="C34" s="117" t="s">
        <v>117</v>
      </c>
      <c r="D34" s="117" t="s">
        <v>69</v>
      </c>
      <c r="E34" s="118" t="s">
        <v>115</v>
      </c>
      <c r="F34" s="119" t="s">
        <v>116</v>
      </c>
      <c r="G34" s="120" t="s">
        <v>62</v>
      </c>
      <c r="H34" s="121">
        <v>178.1</v>
      </c>
      <c r="I34" s="122">
        <v>11.84</v>
      </c>
      <c r="J34" s="122">
        <v>2108.6999999999998</v>
      </c>
      <c r="K34" s="206">
        <f t="shared" si="5"/>
        <v>7.0000000000000007E-2</v>
      </c>
      <c r="L34" s="210">
        <f t="shared" si="0"/>
        <v>11.84</v>
      </c>
      <c r="M34" s="207">
        <f t="shared" si="1"/>
        <v>0.83</v>
      </c>
      <c r="N34" s="211">
        <f t="shared" si="2"/>
        <v>178.17</v>
      </c>
      <c r="O34" s="208">
        <f t="shared" si="3"/>
        <v>11.84</v>
      </c>
      <c r="P34" s="209">
        <f t="shared" si="4"/>
        <v>2109.5300000000002</v>
      </c>
      <c r="U34" s="150" t="s">
        <v>1086</v>
      </c>
      <c r="V34" s="109" t="s">
        <v>1008</v>
      </c>
    </row>
    <row r="35" spans="1:22" s="109" customFormat="1" ht="36" x14ac:dyDescent="0.2">
      <c r="A35" s="97"/>
      <c r="B35" s="116"/>
      <c r="C35" s="117" t="s">
        <v>0</v>
      </c>
      <c r="D35" s="117" t="s">
        <v>69</v>
      </c>
      <c r="E35" s="118" t="s">
        <v>118</v>
      </c>
      <c r="F35" s="119" t="s">
        <v>119</v>
      </c>
      <c r="G35" s="120" t="s">
        <v>120</v>
      </c>
      <c r="H35" s="121">
        <v>284.63099999999997</v>
      </c>
      <c r="I35" s="122">
        <v>116</v>
      </c>
      <c r="J35" s="122">
        <v>33017.199999999997</v>
      </c>
      <c r="K35" s="206">
        <f t="shared" si="5"/>
        <v>0.1</v>
      </c>
      <c r="L35" s="210">
        <f t="shared" si="0"/>
        <v>116</v>
      </c>
      <c r="M35" s="207">
        <f t="shared" si="1"/>
        <v>11.6</v>
      </c>
      <c r="N35" s="211">
        <f t="shared" si="2"/>
        <v>284.73099999999999</v>
      </c>
      <c r="O35" s="208">
        <f t="shared" si="3"/>
        <v>116</v>
      </c>
      <c r="P35" s="209">
        <f t="shared" si="4"/>
        <v>33028.800000000003</v>
      </c>
      <c r="U35" s="150" t="s">
        <v>1087</v>
      </c>
      <c r="V35" s="109" t="s">
        <v>1008</v>
      </c>
    </row>
    <row r="36" spans="1:22" s="109" customFormat="1" ht="36" x14ac:dyDescent="0.2">
      <c r="A36" s="97"/>
      <c r="B36" s="116"/>
      <c r="C36" s="117" t="s">
        <v>123</v>
      </c>
      <c r="D36" s="117" t="s">
        <v>69</v>
      </c>
      <c r="E36" s="118" t="s">
        <v>121</v>
      </c>
      <c r="F36" s="119" t="s">
        <v>122</v>
      </c>
      <c r="G36" s="120" t="s">
        <v>62</v>
      </c>
      <c r="H36" s="121">
        <v>288</v>
      </c>
      <c r="I36" s="122">
        <v>286.72000000000003</v>
      </c>
      <c r="J36" s="122">
        <v>82575.360000000001</v>
      </c>
      <c r="K36" s="206">
        <f t="shared" si="5"/>
        <v>0.11</v>
      </c>
      <c r="L36" s="210">
        <f t="shared" si="0"/>
        <v>286.72000000000003</v>
      </c>
      <c r="M36" s="207">
        <f t="shared" si="1"/>
        <v>31.54</v>
      </c>
      <c r="N36" s="211">
        <f t="shared" si="2"/>
        <v>288.11</v>
      </c>
      <c r="O36" s="208">
        <f t="shared" si="3"/>
        <v>286.72000000000003</v>
      </c>
      <c r="P36" s="209">
        <f t="shared" si="4"/>
        <v>82606.899999999994</v>
      </c>
    </row>
    <row r="37" spans="1:22" s="109" customFormat="1" ht="48" x14ac:dyDescent="0.2">
      <c r="A37" s="97"/>
      <c r="B37" s="116"/>
      <c r="C37" s="117" t="s">
        <v>126</v>
      </c>
      <c r="D37" s="117" t="s">
        <v>69</v>
      </c>
      <c r="E37" s="118" t="s">
        <v>124</v>
      </c>
      <c r="F37" s="119" t="s">
        <v>125</v>
      </c>
      <c r="G37" s="120" t="s">
        <v>62</v>
      </c>
      <c r="H37" s="121">
        <v>123.01</v>
      </c>
      <c r="I37" s="122">
        <v>318.27999999999997</v>
      </c>
      <c r="J37" s="122">
        <v>39151.620000000003</v>
      </c>
      <c r="K37" s="206">
        <f t="shared" si="5"/>
        <v>0.05</v>
      </c>
      <c r="L37" s="210">
        <f t="shared" si="0"/>
        <v>318.27999999999997</v>
      </c>
      <c r="M37" s="207">
        <f t="shared" si="1"/>
        <v>15.91</v>
      </c>
      <c r="N37" s="211">
        <f t="shared" si="2"/>
        <v>123.06</v>
      </c>
      <c r="O37" s="208">
        <f t="shared" si="3"/>
        <v>318.27999999999997</v>
      </c>
      <c r="P37" s="209">
        <f t="shared" si="4"/>
        <v>39167.54</v>
      </c>
    </row>
    <row r="38" spans="1:22" s="109" customFormat="1" ht="12" x14ac:dyDescent="0.2">
      <c r="A38" s="97"/>
      <c r="B38" s="116"/>
      <c r="C38" s="123" t="s">
        <v>131</v>
      </c>
      <c r="D38" s="123" t="s">
        <v>127</v>
      </c>
      <c r="E38" s="124" t="s">
        <v>128</v>
      </c>
      <c r="F38" s="125" t="s">
        <v>129</v>
      </c>
      <c r="G38" s="126" t="s">
        <v>120</v>
      </c>
      <c r="H38" s="127">
        <v>221.41800000000001</v>
      </c>
      <c r="I38" s="128">
        <v>190.76</v>
      </c>
      <c r="J38" s="128">
        <v>42237.7</v>
      </c>
      <c r="K38" s="206">
        <f t="shared" si="5"/>
        <v>0.08</v>
      </c>
      <c r="L38" s="210">
        <f t="shared" si="0"/>
        <v>190.76</v>
      </c>
      <c r="M38" s="207">
        <f t="shared" si="1"/>
        <v>15.26</v>
      </c>
      <c r="N38" s="211">
        <f t="shared" si="2"/>
        <v>221.49800000000002</v>
      </c>
      <c r="O38" s="208">
        <f t="shared" si="3"/>
        <v>190.76</v>
      </c>
      <c r="P38" s="209">
        <f t="shared" si="4"/>
        <v>42252.959999999999</v>
      </c>
    </row>
    <row r="39" spans="1:22" s="110" customFormat="1" ht="12.75" x14ac:dyDescent="0.2">
      <c r="C39" s="245"/>
      <c r="D39" s="246" t="s">
        <v>3</v>
      </c>
      <c r="E39" s="247" t="s">
        <v>76</v>
      </c>
      <c r="F39" s="247" t="s">
        <v>130</v>
      </c>
      <c r="G39" s="245"/>
      <c r="H39" s="245"/>
      <c r="I39" s="245"/>
      <c r="J39" s="248">
        <v>7155.35</v>
      </c>
      <c r="K39" s="249"/>
      <c r="L39" s="250"/>
      <c r="M39" s="241">
        <f>M40</f>
        <v>2.63</v>
      </c>
      <c r="N39" s="242"/>
      <c r="O39" s="243"/>
      <c r="P39" s="241">
        <f>P40</f>
        <v>7157.98</v>
      </c>
      <c r="S39" s="109"/>
    </row>
    <row r="40" spans="1:22" s="109" customFormat="1" ht="12" x14ac:dyDescent="0.2">
      <c r="A40" s="97"/>
      <c r="B40" s="116"/>
      <c r="C40" s="117" t="s">
        <v>135</v>
      </c>
      <c r="D40" s="117" t="s">
        <v>69</v>
      </c>
      <c r="E40" s="118" t="s">
        <v>132</v>
      </c>
      <c r="F40" s="119" t="s">
        <v>133</v>
      </c>
      <c r="G40" s="120" t="s">
        <v>61</v>
      </c>
      <c r="H40" s="121">
        <v>217.62</v>
      </c>
      <c r="I40" s="122">
        <v>32.880000000000003</v>
      </c>
      <c r="J40" s="122">
        <v>7155.35</v>
      </c>
      <c r="K40" s="206">
        <f t="shared" si="5"/>
        <v>0.08</v>
      </c>
      <c r="L40" s="210">
        <f t="shared" si="0"/>
        <v>32.880000000000003</v>
      </c>
      <c r="M40" s="207">
        <f t="shared" si="1"/>
        <v>2.63</v>
      </c>
      <c r="N40" s="211">
        <f t="shared" si="2"/>
        <v>217.70000000000002</v>
      </c>
      <c r="O40" s="208">
        <f t="shared" si="3"/>
        <v>32.880000000000003</v>
      </c>
      <c r="P40" s="209">
        <f t="shared" si="4"/>
        <v>7157.98</v>
      </c>
    </row>
    <row r="41" spans="1:22" s="110" customFormat="1" ht="12.75" x14ac:dyDescent="0.2">
      <c r="C41" s="245"/>
      <c r="D41" s="246" t="s">
        <v>3</v>
      </c>
      <c r="E41" s="247" t="s">
        <v>73</v>
      </c>
      <c r="F41" s="247" t="s">
        <v>134</v>
      </c>
      <c r="G41" s="245"/>
      <c r="H41" s="245"/>
      <c r="I41" s="245"/>
      <c r="J41" s="248">
        <v>3595.84</v>
      </c>
      <c r="K41" s="249"/>
      <c r="L41" s="250"/>
      <c r="M41" s="241">
        <f>SUM(M42:M44)</f>
        <v>0</v>
      </c>
      <c r="N41" s="242"/>
      <c r="O41" s="243"/>
      <c r="P41" s="241">
        <f>SUM(P42:P44)</f>
        <v>3595.84</v>
      </c>
      <c r="S41" s="109"/>
    </row>
    <row r="42" spans="1:22" s="109" customFormat="1" ht="24" x14ac:dyDescent="0.2">
      <c r="A42" s="97"/>
      <c r="B42" s="116"/>
      <c r="C42" s="117" t="s">
        <v>139</v>
      </c>
      <c r="D42" s="117" t="s">
        <v>69</v>
      </c>
      <c r="E42" s="118" t="s">
        <v>136</v>
      </c>
      <c r="F42" s="119" t="s">
        <v>137</v>
      </c>
      <c r="G42" s="120" t="s">
        <v>138</v>
      </c>
      <c r="H42" s="121">
        <v>8</v>
      </c>
      <c r="I42" s="122">
        <v>122.32</v>
      </c>
      <c r="J42" s="122">
        <v>978.56</v>
      </c>
      <c r="K42" s="206">
        <v>0</v>
      </c>
      <c r="L42" s="210">
        <f t="shared" si="0"/>
        <v>122.32</v>
      </c>
      <c r="M42" s="207">
        <f t="shared" si="1"/>
        <v>0</v>
      </c>
      <c r="N42" s="211">
        <f t="shared" si="2"/>
        <v>8</v>
      </c>
      <c r="O42" s="208">
        <f t="shared" si="3"/>
        <v>122.32</v>
      </c>
      <c r="P42" s="209">
        <f t="shared" si="4"/>
        <v>978.56</v>
      </c>
    </row>
    <row r="43" spans="1:22" s="109" customFormat="1" ht="12" x14ac:dyDescent="0.2">
      <c r="A43" s="97"/>
      <c r="B43" s="116"/>
      <c r="C43" s="123" t="s">
        <v>142</v>
      </c>
      <c r="D43" s="123" t="s">
        <v>127</v>
      </c>
      <c r="E43" s="124" t="s">
        <v>140</v>
      </c>
      <c r="F43" s="125" t="s">
        <v>141</v>
      </c>
      <c r="G43" s="126" t="s">
        <v>138</v>
      </c>
      <c r="H43" s="127">
        <v>2</v>
      </c>
      <c r="I43" s="128">
        <v>270.94</v>
      </c>
      <c r="J43" s="128">
        <v>541.88</v>
      </c>
      <c r="K43" s="206">
        <v>0</v>
      </c>
      <c r="L43" s="210">
        <f t="shared" si="0"/>
        <v>270.94</v>
      </c>
      <c r="M43" s="207">
        <f t="shared" si="1"/>
        <v>0</v>
      </c>
      <c r="N43" s="211">
        <f t="shared" si="2"/>
        <v>2</v>
      </c>
      <c r="O43" s="208">
        <f t="shared" si="3"/>
        <v>270.94</v>
      </c>
      <c r="P43" s="209">
        <f t="shared" si="4"/>
        <v>541.88</v>
      </c>
    </row>
    <row r="44" spans="1:22" s="109" customFormat="1" ht="12" x14ac:dyDescent="0.2">
      <c r="A44" s="97"/>
      <c r="B44" s="116"/>
      <c r="C44" s="123" t="s">
        <v>145</v>
      </c>
      <c r="D44" s="123" t="s">
        <v>127</v>
      </c>
      <c r="E44" s="124" t="s">
        <v>146</v>
      </c>
      <c r="F44" s="125" t="s">
        <v>147</v>
      </c>
      <c r="G44" s="126" t="s">
        <v>138</v>
      </c>
      <c r="H44" s="127">
        <v>6</v>
      </c>
      <c r="I44" s="128">
        <v>345.9</v>
      </c>
      <c r="J44" s="128">
        <v>2075.4</v>
      </c>
      <c r="K44" s="206">
        <v>0</v>
      </c>
      <c r="L44" s="210">
        <f t="shared" si="0"/>
        <v>345.9</v>
      </c>
      <c r="M44" s="207">
        <f t="shared" si="1"/>
        <v>0</v>
      </c>
      <c r="N44" s="211">
        <f t="shared" si="2"/>
        <v>6</v>
      </c>
      <c r="O44" s="208">
        <f t="shared" si="3"/>
        <v>345.9</v>
      </c>
      <c r="P44" s="209">
        <f t="shared" si="4"/>
        <v>2075.4</v>
      </c>
    </row>
    <row r="45" spans="1:22" s="110" customFormat="1" ht="12.75" x14ac:dyDescent="0.2">
      <c r="C45" s="245"/>
      <c r="D45" s="246" t="s">
        <v>3</v>
      </c>
      <c r="E45" s="247" t="s">
        <v>81</v>
      </c>
      <c r="F45" s="247" t="s">
        <v>154</v>
      </c>
      <c r="G45" s="245"/>
      <c r="H45" s="245"/>
      <c r="I45" s="245"/>
      <c r="J45" s="241">
        <f t="shared" ref="J45" si="6">SUM(J46:J55)</f>
        <v>343254.39</v>
      </c>
      <c r="K45" s="241"/>
      <c r="L45" s="241"/>
      <c r="M45" s="241">
        <f>SUM(M46:M55)</f>
        <v>0</v>
      </c>
      <c r="N45" s="242"/>
      <c r="O45" s="243"/>
      <c r="P45" s="241">
        <f>SUM(P46:P55)</f>
        <v>343254.39</v>
      </c>
      <c r="S45" s="109"/>
    </row>
    <row r="46" spans="1:22" s="109" customFormat="1" ht="24" x14ac:dyDescent="0.2">
      <c r="A46" s="97"/>
      <c r="B46" s="116"/>
      <c r="C46" s="117" t="s">
        <v>148</v>
      </c>
      <c r="D46" s="117" t="s">
        <v>69</v>
      </c>
      <c r="E46" s="118" t="s">
        <v>156</v>
      </c>
      <c r="F46" s="119" t="s">
        <v>157</v>
      </c>
      <c r="G46" s="120" t="s">
        <v>72</v>
      </c>
      <c r="H46" s="121">
        <v>209.803</v>
      </c>
      <c r="I46" s="122">
        <v>319.88</v>
      </c>
      <c r="J46" s="122">
        <v>67111.78</v>
      </c>
      <c r="K46" s="206">
        <v>0</v>
      </c>
      <c r="L46" s="210">
        <f t="shared" si="0"/>
        <v>319.88</v>
      </c>
      <c r="M46" s="207">
        <f t="shared" si="1"/>
        <v>0</v>
      </c>
      <c r="N46" s="211">
        <f t="shared" si="2"/>
        <v>209.803</v>
      </c>
      <c r="O46" s="208">
        <f t="shared" si="3"/>
        <v>319.88</v>
      </c>
      <c r="P46" s="209">
        <f t="shared" si="4"/>
        <v>67111.78</v>
      </c>
      <c r="Q46" s="148"/>
    </row>
    <row r="47" spans="1:22" s="109" customFormat="1" ht="24" x14ac:dyDescent="0.2">
      <c r="A47" s="97"/>
      <c r="B47" s="116"/>
      <c r="C47" s="117" t="s">
        <v>151</v>
      </c>
      <c r="D47" s="117" t="s">
        <v>69</v>
      </c>
      <c r="E47" s="118" t="s">
        <v>159</v>
      </c>
      <c r="F47" s="119" t="s">
        <v>160</v>
      </c>
      <c r="G47" s="120" t="s">
        <v>72</v>
      </c>
      <c r="H47" s="121">
        <v>24.959</v>
      </c>
      <c r="I47" s="122">
        <v>251.97</v>
      </c>
      <c r="J47" s="122">
        <v>6288.92</v>
      </c>
      <c r="K47" s="206">
        <v>0</v>
      </c>
      <c r="L47" s="210">
        <f t="shared" si="0"/>
        <v>251.97</v>
      </c>
      <c r="M47" s="207">
        <f t="shared" si="1"/>
        <v>0</v>
      </c>
      <c r="N47" s="211">
        <f t="shared" si="2"/>
        <v>24.959</v>
      </c>
      <c r="O47" s="208">
        <f t="shared" si="3"/>
        <v>251.97</v>
      </c>
      <c r="P47" s="209">
        <f t="shared" si="4"/>
        <v>6288.92</v>
      </c>
    </row>
    <row r="48" spans="1:22" s="109" customFormat="1" ht="24" x14ac:dyDescent="0.2">
      <c r="A48" s="97"/>
      <c r="B48" s="116"/>
      <c r="C48" s="117" t="s">
        <v>155</v>
      </c>
      <c r="D48" s="117" t="s">
        <v>69</v>
      </c>
      <c r="E48" s="118" t="s">
        <v>162</v>
      </c>
      <c r="F48" s="119" t="s">
        <v>163</v>
      </c>
      <c r="G48" s="120" t="s">
        <v>72</v>
      </c>
      <c r="H48" s="121">
        <v>214.423</v>
      </c>
      <c r="I48" s="122">
        <v>155.66999999999999</v>
      </c>
      <c r="J48" s="122">
        <v>33379.230000000003</v>
      </c>
      <c r="K48" s="206">
        <v>0</v>
      </c>
      <c r="L48" s="210">
        <f t="shared" si="0"/>
        <v>155.66999999999999</v>
      </c>
      <c r="M48" s="207">
        <f t="shared" si="1"/>
        <v>0</v>
      </c>
      <c r="N48" s="211">
        <f t="shared" si="2"/>
        <v>214.423</v>
      </c>
      <c r="O48" s="208">
        <f t="shared" si="3"/>
        <v>155.66999999999999</v>
      </c>
      <c r="P48" s="209">
        <f t="shared" si="4"/>
        <v>33379.230000000003</v>
      </c>
      <c r="R48" s="150" t="s">
        <v>1024</v>
      </c>
      <c r="S48" s="109" t="s">
        <v>1033</v>
      </c>
    </row>
    <row r="49" spans="1:29" s="109" customFormat="1" ht="36" x14ac:dyDescent="0.2">
      <c r="A49" s="97"/>
      <c r="B49" s="116"/>
      <c r="C49" s="117" t="s">
        <v>158</v>
      </c>
      <c r="D49" s="117" t="s">
        <v>69</v>
      </c>
      <c r="E49" s="118" t="s">
        <v>325</v>
      </c>
      <c r="F49" s="119" t="s">
        <v>326</v>
      </c>
      <c r="G49" s="120" t="s">
        <v>72</v>
      </c>
      <c r="H49" s="121">
        <v>4.62</v>
      </c>
      <c r="I49" s="122">
        <v>420.19</v>
      </c>
      <c r="J49" s="122">
        <v>1941.28</v>
      </c>
      <c r="K49" s="206">
        <v>0</v>
      </c>
      <c r="L49" s="210">
        <f t="shared" si="0"/>
        <v>420.19</v>
      </c>
      <c r="M49" s="207">
        <f t="shared" si="1"/>
        <v>0</v>
      </c>
      <c r="N49" s="211">
        <f t="shared" si="2"/>
        <v>4.62</v>
      </c>
      <c r="O49" s="208">
        <f t="shared" si="3"/>
        <v>420.19</v>
      </c>
      <c r="P49" s="209">
        <f t="shared" si="4"/>
        <v>1941.28</v>
      </c>
    </row>
    <row r="50" spans="1:29" s="109" customFormat="1" ht="36" x14ac:dyDescent="0.2">
      <c r="A50" s="97"/>
      <c r="B50" s="116"/>
      <c r="C50" s="117" t="s">
        <v>161</v>
      </c>
      <c r="D50" s="117" t="s">
        <v>69</v>
      </c>
      <c r="E50" s="118" t="s">
        <v>327</v>
      </c>
      <c r="F50" s="119" t="s">
        <v>328</v>
      </c>
      <c r="G50" s="120" t="s">
        <v>72</v>
      </c>
      <c r="H50" s="121">
        <v>4.62</v>
      </c>
      <c r="I50" s="122">
        <v>315.11</v>
      </c>
      <c r="J50" s="122">
        <v>1455.81</v>
      </c>
      <c r="K50" s="206">
        <v>0</v>
      </c>
      <c r="L50" s="210">
        <f t="shared" si="0"/>
        <v>315.11</v>
      </c>
      <c r="M50" s="207">
        <f t="shared" si="1"/>
        <v>0</v>
      </c>
      <c r="N50" s="211">
        <f t="shared" si="2"/>
        <v>4.62</v>
      </c>
      <c r="O50" s="208">
        <f t="shared" si="3"/>
        <v>315.11</v>
      </c>
      <c r="P50" s="209">
        <f t="shared" si="4"/>
        <v>1455.81</v>
      </c>
      <c r="Q50" s="178"/>
    </row>
    <row r="51" spans="1:29" s="109" customFormat="1" ht="24" x14ac:dyDescent="0.2">
      <c r="A51" s="97"/>
      <c r="B51" s="116"/>
      <c r="C51" s="117" t="s">
        <v>164</v>
      </c>
      <c r="D51" s="117" t="s">
        <v>69</v>
      </c>
      <c r="E51" s="118" t="s">
        <v>168</v>
      </c>
      <c r="F51" s="119" t="s">
        <v>169</v>
      </c>
      <c r="G51" s="120" t="s">
        <v>72</v>
      </c>
      <c r="H51" s="121">
        <v>333.06099999999998</v>
      </c>
      <c r="I51" s="122">
        <v>18.04</v>
      </c>
      <c r="J51" s="122">
        <v>6008.42</v>
      </c>
      <c r="K51" s="206">
        <v>0</v>
      </c>
      <c r="L51" s="210">
        <f t="shared" si="0"/>
        <v>18.04</v>
      </c>
      <c r="M51" s="207">
        <f t="shared" si="1"/>
        <v>0</v>
      </c>
      <c r="N51" s="211">
        <f t="shared" si="2"/>
        <v>333.06099999999998</v>
      </c>
      <c r="O51" s="208">
        <f t="shared" si="3"/>
        <v>18.04</v>
      </c>
      <c r="P51" s="209">
        <f t="shared" si="4"/>
        <v>6008.42</v>
      </c>
    </row>
    <row r="52" spans="1:29" s="109" customFormat="1" ht="36" x14ac:dyDescent="0.2">
      <c r="A52" s="97"/>
      <c r="B52" s="116"/>
      <c r="C52" s="117" t="s">
        <v>167</v>
      </c>
      <c r="D52" s="117" t="s">
        <v>69</v>
      </c>
      <c r="E52" s="118" t="s">
        <v>171</v>
      </c>
      <c r="F52" s="119" t="s">
        <v>172</v>
      </c>
      <c r="G52" s="120" t="s">
        <v>72</v>
      </c>
      <c r="H52" s="121">
        <v>324.24099999999999</v>
      </c>
      <c r="I52" s="122">
        <v>396.71</v>
      </c>
      <c r="J52" s="122">
        <v>128629.65</v>
      </c>
      <c r="K52" s="206">
        <v>0</v>
      </c>
      <c r="L52" s="210">
        <f t="shared" si="0"/>
        <v>396.71</v>
      </c>
      <c r="M52" s="207">
        <f t="shared" si="1"/>
        <v>0</v>
      </c>
      <c r="N52" s="211">
        <f t="shared" si="2"/>
        <v>324.24099999999999</v>
      </c>
      <c r="O52" s="208">
        <f t="shared" si="3"/>
        <v>396.71</v>
      </c>
      <c r="P52" s="209">
        <f t="shared" si="4"/>
        <v>128629.65</v>
      </c>
    </row>
    <row r="53" spans="1:29" s="109" customFormat="1" ht="36" x14ac:dyDescent="0.2">
      <c r="A53" s="97"/>
      <c r="B53" s="116"/>
      <c r="C53" s="117" t="s">
        <v>170</v>
      </c>
      <c r="D53" s="117" t="s">
        <v>69</v>
      </c>
      <c r="E53" s="118" t="s">
        <v>329</v>
      </c>
      <c r="F53" s="119" t="s">
        <v>330</v>
      </c>
      <c r="G53" s="120" t="s">
        <v>72</v>
      </c>
      <c r="H53" s="121">
        <v>8.82</v>
      </c>
      <c r="I53" s="122">
        <v>396.71</v>
      </c>
      <c r="J53" s="122">
        <v>3498.98</v>
      </c>
      <c r="K53" s="206">
        <v>0</v>
      </c>
      <c r="L53" s="210">
        <f t="shared" si="0"/>
        <v>396.71</v>
      </c>
      <c r="M53" s="207">
        <f t="shared" si="1"/>
        <v>0</v>
      </c>
      <c r="N53" s="211">
        <f t="shared" si="2"/>
        <v>8.82</v>
      </c>
      <c r="O53" s="208">
        <f t="shared" si="3"/>
        <v>396.71</v>
      </c>
      <c r="P53" s="209">
        <f t="shared" si="4"/>
        <v>3498.98</v>
      </c>
    </row>
    <row r="54" spans="1:29" s="109" customFormat="1" ht="36" x14ac:dyDescent="0.2">
      <c r="A54" s="97"/>
      <c r="B54" s="116"/>
      <c r="C54" s="117" t="s">
        <v>173</v>
      </c>
      <c r="D54" s="117" t="s">
        <v>69</v>
      </c>
      <c r="E54" s="118" t="s">
        <v>174</v>
      </c>
      <c r="F54" s="119" t="s">
        <v>175</v>
      </c>
      <c r="G54" s="120" t="s">
        <v>72</v>
      </c>
      <c r="H54" s="121">
        <v>209.803</v>
      </c>
      <c r="I54" s="122">
        <v>443.02</v>
      </c>
      <c r="J54" s="122">
        <v>92946.93</v>
      </c>
      <c r="K54" s="206">
        <v>0</v>
      </c>
      <c r="L54" s="210">
        <f t="shared" si="0"/>
        <v>443.02</v>
      </c>
      <c r="M54" s="207">
        <f t="shared" si="1"/>
        <v>0</v>
      </c>
      <c r="N54" s="211">
        <f t="shared" si="2"/>
        <v>209.803</v>
      </c>
      <c r="O54" s="208">
        <f t="shared" si="3"/>
        <v>443.02</v>
      </c>
      <c r="P54" s="209">
        <f t="shared" si="4"/>
        <v>92946.93</v>
      </c>
    </row>
    <row r="55" spans="1:29" s="109" customFormat="1" ht="36" x14ac:dyDescent="0.2">
      <c r="A55" s="97"/>
      <c r="B55" s="116"/>
      <c r="C55" s="117" t="s">
        <v>176</v>
      </c>
      <c r="D55" s="117" t="s">
        <v>69</v>
      </c>
      <c r="E55" s="118" t="s">
        <v>331</v>
      </c>
      <c r="F55" s="119" t="s">
        <v>332</v>
      </c>
      <c r="G55" s="120" t="s">
        <v>72</v>
      </c>
      <c r="H55" s="121">
        <v>4.62</v>
      </c>
      <c r="I55" s="122">
        <v>431.47</v>
      </c>
      <c r="J55" s="122">
        <v>1993.39</v>
      </c>
      <c r="K55" s="206">
        <v>0</v>
      </c>
      <c r="L55" s="210">
        <f t="shared" si="0"/>
        <v>431.47</v>
      </c>
      <c r="M55" s="207">
        <f t="shared" si="1"/>
        <v>0</v>
      </c>
      <c r="N55" s="211">
        <f t="shared" si="2"/>
        <v>4.62</v>
      </c>
      <c r="O55" s="208">
        <f t="shared" si="3"/>
        <v>431.47</v>
      </c>
      <c r="P55" s="209">
        <f t="shared" si="4"/>
        <v>1993.39</v>
      </c>
    </row>
    <row r="56" spans="1:29" s="110" customFormat="1" ht="12.75" x14ac:dyDescent="0.2">
      <c r="C56" s="245"/>
      <c r="D56" s="246" t="s">
        <v>3</v>
      </c>
      <c r="E56" s="247" t="s">
        <v>90</v>
      </c>
      <c r="F56" s="247" t="s">
        <v>182</v>
      </c>
      <c r="G56" s="245"/>
      <c r="H56" s="245"/>
      <c r="I56" s="245"/>
      <c r="J56" s="241">
        <f t="shared" ref="J56" si="7">SUM(J57:J73)</f>
        <v>654489.36999999988</v>
      </c>
      <c r="K56" s="241"/>
      <c r="L56" s="241"/>
      <c r="M56" s="241">
        <f>SUM(M57:M73)</f>
        <v>160.33000000000001</v>
      </c>
      <c r="N56" s="242"/>
      <c r="O56" s="243"/>
      <c r="P56" s="241">
        <f>SUM(P57:P73)</f>
        <v>654649.69999999984</v>
      </c>
      <c r="S56" s="109"/>
    </row>
    <row r="57" spans="1:29" s="109" customFormat="1" ht="24" x14ac:dyDescent="0.2">
      <c r="A57" s="97"/>
      <c r="B57" s="116"/>
      <c r="C57" s="117" t="s">
        <v>179</v>
      </c>
      <c r="D57" s="117" t="s">
        <v>69</v>
      </c>
      <c r="E57" s="118" t="s">
        <v>184</v>
      </c>
      <c r="F57" s="119" t="s">
        <v>185</v>
      </c>
      <c r="G57" s="120" t="s">
        <v>61</v>
      </c>
      <c r="H57" s="121">
        <v>217.62</v>
      </c>
      <c r="I57" s="122">
        <v>552.39</v>
      </c>
      <c r="J57" s="122">
        <v>120211.11</v>
      </c>
      <c r="K57" s="206">
        <v>0.08</v>
      </c>
      <c r="L57" s="210">
        <f t="shared" si="0"/>
        <v>552.39</v>
      </c>
      <c r="M57" s="207">
        <f t="shared" si="1"/>
        <v>44.19</v>
      </c>
      <c r="N57" s="211">
        <f t="shared" si="2"/>
        <v>217.70000000000002</v>
      </c>
      <c r="O57" s="208">
        <f t="shared" si="3"/>
        <v>552.39</v>
      </c>
      <c r="P57" s="209">
        <f t="shared" si="4"/>
        <v>120255.3</v>
      </c>
    </row>
    <row r="58" spans="1:29" s="109" customFormat="1" ht="24" x14ac:dyDescent="0.2">
      <c r="A58" s="97"/>
      <c r="B58" s="116"/>
      <c r="C58" s="123" t="s">
        <v>183</v>
      </c>
      <c r="D58" s="123" t="s">
        <v>127</v>
      </c>
      <c r="E58" s="124" t="s">
        <v>187</v>
      </c>
      <c r="F58" s="125" t="s">
        <v>188</v>
      </c>
      <c r="G58" s="126" t="s">
        <v>61</v>
      </c>
      <c r="H58" s="127">
        <v>220.88399999999999</v>
      </c>
      <c r="I58" s="128">
        <v>1060.07</v>
      </c>
      <c r="J58" s="128">
        <v>234152.5</v>
      </c>
      <c r="K58" s="206">
        <f>ROUND(H58/H57*K57,2)</f>
        <v>0.08</v>
      </c>
      <c r="L58" s="210">
        <f t="shared" si="0"/>
        <v>1060.07</v>
      </c>
      <c r="M58" s="207">
        <f t="shared" si="1"/>
        <v>84.81</v>
      </c>
      <c r="N58" s="211">
        <f t="shared" si="2"/>
        <v>220.964</v>
      </c>
      <c r="O58" s="208">
        <f t="shared" si="3"/>
        <v>1060.07</v>
      </c>
      <c r="P58" s="209">
        <f t="shared" si="4"/>
        <v>234237.31</v>
      </c>
    </row>
    <row r="59" spans="1:29" s="109" customFormat="1" ht="36" x14ac:dyDescent="0.2">
      <c r="A59" s="97"/>
      <c r="B59" s="116"/>
      <c r="C59" s="117" t="s">
        <v>186</v>
      </c>
      <c r="D59" s="117" t="s">
        <v>69</v>
      </c>
      <c r="E59" s="118" t="s">
        <v>202</v>
      </c>
      <c r="F59" s="119" t="s">
        <v>203</v>
      </c>
      <c r="G59" s="120" t="s">
        <v>138</v>
      </c>
      <c r="H59" s="121">
        <v>13</v>
      </c>
      <c r="I59" s="122">
        <v>260.41000000000003</v>
      </c>
      <c r="J59" s="122">
        <v>3385.33</v>
      </c>
      <c r="K59" s="206">
        <v>0</v>
      </c>
      <c r="L59" s="210">
        <f t="shared" si="0"/>
        <v>260.41000000000003</v>
      </c>
      <c r="M59" s="207">
        <f t="shared" si="1"/>
        <v>0</v>
      </c>
      <c r="N59" s="211">
        <f t="shared" si="2"/>
        <v>13</v>
      </c>
      <c r="O59" s="208">
        <f t="shared" si="3"/>
        <v>260.41000000000003</v>
      </c>
      <c r="P59" s="209">
        <f t="shared" si="4"/>
        <v>3385.33</v>
      </c>
    </row>
    <row r="60" spans="1:29" s="109" customFormat="1" ht="24" x14ac:dyDescent="0.2">
      <c r="A60" s="97"/>
      <c r="B60" s="116"/>
      <c r="C60" s="123" t="s">
        <v>189</v>
      </c>
      <c r="D60" s="123" t="s">
        <v>127</v>
      </c>
      <c r="E60" s="124" t="s">
        <v>205</v>
      </c>
      <c r="F60" s="125" t="s">
        <v>206</v>
      </c>
      <c r="G60" s="126" t="s">
        <v>138</v>
      </c>
      <c r="H60" s="127">
        <v>13</v>
      </c>
      <c r="I60" s="128">
        <v>1801.85</v>
      </c>
      <c r="J60" s="128">
        <v>23424.05</v>
      </c>
      <c r="K60" s="206">
        <v>0</v>
      </c>
      <c r="L60" s="210">
        <f t="shared" si="0"/>
        <v>1801.85</v>
      </c>
      <c r="M60" s="207">
        <f t="shared" si="1"/>
        <v>0</v>
      </c>
      <c r="N60" s="211">
        <f t="shared" si="2"/>
        <v>13</v>
      </c>
      <c r="O60" s="208">
        <f t="shared" si="3"/>
        <v>1801.85</v>
      </c>
      <c r="P60" s="209">
        <f t="shared" si="4"/>
        <v>23424.05</v>
      </c>
    </row>
    <row r="61" spans="1:29" s="109" customFormat="1" ht="24" x14ac:dyDescent="0.2">
      <c r="A61" s="97"/>
      <c r="B61" s="116"/>
      <c r="C61" s="117" t="s">
        <v>192</v>
      </c>
      <c r="D61" s="117" t="s">
        <v>69</v>
      </c>
      <c r="E61" s="118" t="s">
        <v>211</v>
      </c>
      <c r="F61" s="119" t="s">
        <v>212</v>
      </c>
      <c r="G61" s="120" t="s">
        <v>213</v>
      </c>
      <c r="H61" s="121">
        <v>4</v>
      </c>
      <c r="I61" s="122">
        <v>2564.6799999999998</v>
      </c>
      <c r="J61" s="122">
        <v>10258.719999999999</v>
      </c>
      <c r="K61" s="206">
        <f t="shared" ref="K61" si="8">ROUND(217.7/217.62*H61-H61,2)</f>
        <v>0</v>
      </c>
      <c r="L61" s="210">
        <f t="shared" si="0"/>
        <v>2564.6799999999998</v>
      </c>
      <c r="M61" s="207">
        <f t="shared" si="1"/>
        <v>0</v>
      </c>
      <c r="N61" s="211">
        <f t="shared" si="2"/>
        <v>4</v>
      </c>
      <c r="O61" s="208">
        <f t="shared" si="3"/>
        <v>2564.6799999999998</v>
      </c>
      <c r="P61" s="209">
        <f t="shared" si="4"/>
        <v>10258.719999999999</v>
      </c>
      <c r="AA61" s="148" t="s">
        <v>1155</v>
      </c>
      <c r="AB61" s="148" t="s">
        <v>1189</v>
      </c>
      <c r="AC61" s="109" t="s">
        <v>1201</v>
      </c>
    </row>
    <row r="62" spans="1:29" s="109" customFormat="1" ht="24" x14ac:dyDescent="0.2">
      <c r="A62" s="97"/>
      <c r="B62" s="116"/>
      <c r="C62" s="117" t="s">
        <v>195</v>
      </c>
      <c r="D62" s="117" t="s">
        <v>69</v>
      </c>
      <c r="E62" s="118" t="s">
        <v>215</v>
      </c>
      <c r="F62" s="119" t="s">
        <v>216</v>
      </c>
      <c r="G62" s="120" t="s">
        <v>138</v>
      </c>
      <c r="H62" s="121">
        <v>7</v>
      </c>
      <c r="I62" s="122">
        <v>2016.23</v>
      </c>
      <c r="J62" s="122">
        <v>14113.61</v>
      </c>
      <c r="K62" s="206">
        <v>0</v>
      </c>
      <c r="L62" s="210">
        <f t="shared" si="0"/>
        <v>2016.23</v>
      </c>
      <c r="M62" s="207">
        <f t="shared" si="1"/>
        <v>0</v>
      </c>
      <c r="N62" s="211">
        <f t="shared" si="2"/>
        <v>7</v>
      </c>
      <c r="O62" s="208">
        <f t="shared" si="3"/>
        <v>2016.23</v>
      </c>
      <c r="P62" s="209">
        <f t="shared" si="4"/>
        <v>14113.61</v>
      </c>
    </row>
    <row r="63" spans="1:29" s="109" customFormat="1" ht="24" x14ac:dyDescent="0.2">
      <c r="A63" s="97"/>
      <c r="B63" s="116"/>
      <c r="C63" s="123" t="s">
        <v>198</v>
      </c>
      <c r="D63" s="123" t="s">
        <v>127</v>
      </c>
      <c r="E63" s="124" t="s">
        <v>221</v>
      </c>
      <c r="F63" s="125" t="s">
        <v>222</v>
      </c>
      <c r="G63" s="126" t="s">
        <v>138</v>
      </c>
      <c r="H63" s="127">
        <v>5</v>
      </c>
      <c r="I63" s="128">
        <v>14898.16</v>
      </c>
      <c r="J63" s="128">
        <v>74490.8</v>
      </c>
      <c r="K63" s="206">
        <v>0</v>
      </c>
      <c r="L63" s="210">
        <f t="shared" si="0"/>
        <v>14898.16</v>
      </c>
      <c r="M63" s="207">
        <f t="shared" si="1"/>
        <v>0</v>
      </c>
      <c r="N63" s="211">
        <f t="shared" si="2"/>
        <v>5</v>
      </c>
      <c r="O63" s="208">
        <f t="shared" si="3"/>
        <v>14898.16</v>
      </c>
      <c r="P63" s="209">
        <f t="shared" si="4"/>
        <v>74490.8</v>
      </c>
    </row>
    <row r="64" spans="1:29" s="109" customFormat="1" ht="24" x14ac:dyDescent="0.2">
      <c r="A64" s="97"/>
      <c r="B64" s="116"/>
      <c r="C64" s="123" t="s">
        <v>201</v>
      </c>
      <c r="D64" s="123" t="s">
        <v>127</v>
      </c>
      <c r="E64" s="124" t="s">
        <v>224</v>
      </c>
      <c r="F64" s="125" t="s">
        <v>225</v>
      </c>
      <c r="G64" s="126" t="s">
        <v>138</v>
      </c>
      <c r="H64" s="127">
        <v>5</v>
      </c>
      <c r="I64" s="128">
        <v>1530.92</v>
      </c>
      <c r="J64" s="128">
        <v>7654.6</v>
      </c>
      <c r="K64" s="206">
        <v>0</v>
      </c>
      <c r="L64" s="210">
        <f t="shared" si="0"/>
        <v>1530.92</v>
      </c>
      <c r="M64" s="207">
        <f t="shared" si="1"/>
        <v>0</v>
      </c>
      <c r="N64" s="211">
        <f t="shared" si="2"/>
        <v>5</v>
      </c>
      <c r="O64" s="208">
        <f t="shared" si="3"/>
        <v>1530.92</v>
      </c>
      <c r="P64" s="209">
        <f t="shared" si="4"/>
        <v>7654.6</v>
      </c>
    </row>
    <row r="65" spans="1:19" s="109" customFormat="1" ht="24" x14ac:dyDescent="0.2">
      <c r="A65" s="97"/>
      <c r="B65" s="116"/>
      <c r="C65" s="123" t="s">
        <v>204</v>
      </c>
      <c r="D65" s="123" t="s">
        <v>127</v>
      </c>
      <c r="E65" s="124" t="s">
        <v>227</v>
      </c>
      <c r="F65" s="125" t="s">
        <v>228</v>
      </c>
      <c r="G65" s="126" t="s">
        <v>138</v>
      </c>
      <c r="H65" s="127">
        <v>2</v>
      </c>
      <c r="I65" s="128">
        <v>775.98</v>
      </c>
      <c r="J65" s="128">
        <v>1551.96</v>
      </c>
      <c r="K65" s="206">
        <v>0</v>
      </c>
      <c r="L65" s="210">
        <f t="shared" si="0"/>
        <v>775.98</v>
      </c>
      <c r="M65" s="207">
        <f t="shared" si="1"/>
        <v>0</v>
      </c>
      <c r="N65" s="211">
        <f t="shared" si="2"/>
        <v>2</v>
      </c>
      <c r="O65" s="208">
        <f t="shared" si="3"/>
        <v>775.98</v>
      </c>
      <c r="P65" s="209">
        <f t="shared" si="4"/>
        <v>1551.96</v>
      </c>
    </row>
    <row r="66" spans="1:19" s="109" customFormat="1" ht="24" x14ac:dyDescent="0.2">
      <c r="A66" s="97"/>
      <c r="B66" s="116"/>
      <c r="C66" s="123" t="s">
        <v>207</v>
      </c>
      <c r="D66" s="123" t="s">
        <v>127</v>
      </c>
      <c r="E66" s="124" t="s">
        <v>230</v>
      </c>
      <c r="F66" s="125" t="s">
        <v>231</v>
      </c>
      <c r="G66" s="126" t="s">
        <v>138</v>
      </c>
      <c r="H66" s="127">
        <v>5</v>
      </c>
      <c r="I66" s="128">
        <v>1202.1099999999999</v>
      </c>
      <c r="J66" s="128">
        <v>6010.55</v>
      </c>
      <c r="K66" s="206">
        <v>0</v>
      </c>
      <c r="L66" s="210">
        <f t="shared" si="0"/>
        <v>1202.1099999999999</v>
      </c>
      <c r="M66" s="207">
        <f t="shared" si="1"/>
        <v>0</v>
      </c>
      <c r="N66" s="211">
        <f t="shared" si="2"/>
        <v>5</v>
      </c>
      <c r="O66" s="208">
        <f t="shared" si="3"/>
        <v>1202.1099999999999</v>
      </c>
      <c r="P66" s="209">
        <f t="shared" si="4"/>
        <v>6010.55</v>
      </c>
    </row>
    <row r="67" spans="1:19" s="109" customFormat="1" ht="12" x14ac:dyDescent="0.2">
      <c r="A67" s="97"/>
      <c r="B67" s="116"/>
      <c r="C67" s="123" t="s">
        <v>210</v>
      </c>
      <c r="D67" s="123" t="s">
        <v>127</v>
      </c>
      <c r="E67" s="124" t="s">
        <v>236</v>
      </c>
      <c r="F67" s="125" t="s">
        <v>237</v>
      </c>
      <c r="G67" s="126" t="s">
        <v>138</v>
      </c>
      <c r="H67" s="127">
        <v>12</v>
      </c>
      <c r="I67" s="128">
        <v>211.75</v>
      </c>
      <c r="J67" s="128">
        <v>2541</v>
      </c>
      <c r="K67" s="206">
        <v>0</v>
      </c>
      <c r="L67" s="210">
        <f t="shared" si="0"/>
        <v>211.75</v>
      </c>
      <c r="M67" s="207">
        <f t="shared" si="1"/>
        <v>0</v>
      </c>
      <c r="N67" s="211">
        <f t="shared" si="2"/>
        <v>12</v>
      </c>
      <c r="O67" s="208">
        <f t="shared" si="3"/>
        <v>211.75</v>
      </c>
      <c r="P67" s="209">
        <f t="shared" si="4"/>
        <v>2541</v>
      </c>
    </row>
    <row r="68" spans="1:19" s="109" customFormat="1" ht="36" x14ac:dyDescent="0.2">
      <c r="A68" s="97"/>
      <c r="B68" s="116"/>
      <c r="C68" s="117" t="s">
        <v>214</v>
      </c>
      <c r="D68" s="117" t="s">
        <v>69</v>
      </c>
      <c r="E68" s="118" t="s">
        <v>239</v>
      </c>
      <c r="F68" s="119" t="s">
        <v>240</v>
      </c>
      <c r="G68" s="120" t="s">
        <v>138</v>
      </c>
      <c r="H68" s="121">
        <v>5</v>
      </c>
      <c r="I68" s="122">
        <v>5935.59</v>
      </c>
      <c r="J68" s="122">
        <v>29677.95</v>
      </c>
      <c r="K68" s="206">
        <v>0</v>
      </c>
      <c r="L68" s="210">
        <f t="shared" si="0"/>
        <v>5935.59</v>
      </c>
      <c r="M68" s="207">
        <f t="shared" si="1"/>
        <v>0</v>
      </c>
      <c r="N68" s="211">
        <f t="shared" si="2"/>
        <v>5</v>
      </c>
      <c r="O68" s="208">
        <f t="shared" si="3"/>
        <v>5935.59</v>
      </c>
      <c r="P68" s="209">
        <f t="shared" si="4"/>
        <v>29677.95</v>
      </c>
    </row>
    <row r="69" spans="1:19" s="109" customFormat="1" ht="24" x14ac:dyDescent="0.2">
      <c r="A69" s="97"/>
      <c r="B69" s="116"/>
      <c r="C69" s="117" t="s">
        <v>217</v>
      </c>
      <c r="D69" s="117" t="s">
        <v>69</v>
      </c>
      <c r="E69" s="118" t="s">
        <v>242</v>
      </c>
      <c r="F69" s="119" t="s">
        <v>243</v>
      </c>
      <c r="G69" s="120" t="s">
        <v>138</v>
      </c>
      <c r="H69" s="121">
        <v>5</v>
      </c>
      <c r="I69" s="122">
        <v>485.32</v>
      </c>
      <c r="J69" s="122">
        <v>2426.6</v>
      </c>
      <c r="K69" s="206">
        <v>0</v>
      </c>
      <c r="L69" s="210">
        <f t="shared" si="0"/>
        <v>485.32</v>
      </c>
      <c r="M69" s="207">
        <f t="shared" si="1"/>
        <v>0</v>
      </c>
      <c r="N69" s="211">
        <f t="shared" si="2"/>
        <v>5</v>
      </c>
      <c r="O69" s="208">
        <f t="shared" si="3"/>
        <v>485.32</v>
      </c>
      <c r="P69" s="209">
        <f t="shared" si="4"/>
        <v>2426.6</v>
      </c>
    </row>
    <row r="70" spans="1:19" s="109" customFormat="1" ht="24" x14ac:dyDescent="0.2">
      <c r="A70" s="97"/>
      <c r="B70" s="116"/>
      <c r="C70" s="123" t="s">
        <v>220</v>
      </c>
      <c r="D70" s="123" t="s">
        <v>127</v>
      </c>
      <c r="E70" s="124" t="s">
        <v>245</v>
      </c>
      <c r="F70" s="125" t="s">
        <v>246</v>
      </c>
      <c r="G70" s="126" t="s">
        <v>138</v>
      </c>
      <c r="H70" s="127">
        <v>4</v>
      </c>
      <c r="I70" s="128">
        <v>6510.34</v>
      </c>
      <c r="J70" s="128">
        <v>26041.360000000001</v>
      </c>
      <c r="K70" s="206">
        <v>0</v>
      </c>
      <c r="L70" s="210">
        <f t="shared" si="0"/>
        <v>6510.34</v>
      </c>
      <c r="M70" s="207">
        <f t="shared" si="1"/>
        <v>0</v>
      </c>
      <c r="N70" s="211">
        <f t="shared" si="2"/>
        <v>4</v>
      </c>
      <c r="O70" s="208">
        <f t="shared" si="3"/>
        <v>6510.34</v>
      </c>
      <c r="P70" s="209">
        <f t="shared" si="4"/>
        <v>26041.360000000001</v>
      </c>
    </row>
    <row r="71" spans="1:19" s="109" customFormat="1" ht="12" x14ac:dyDescent="0.2">
      <c r="A71" s="97"/>
      <c r="B71" s="116"/>
      <c r="C71" s="123" t="s">
        <v>223</v>
      </c>
      <c r="D71" s="123" t="s">
        <v>127</v>
      </c>
      <c r="E71" s="124" t="s">
        <v>311</v>
      </c>
      <c r="F71" s="125" t="s">
        <v>312</v>
      </c>
      <c r="G71" s="126" t="s">
        <v>138</v>
      </c>
      <c r="H71" s="127">
        <v>1</v>
      </c>
      <c r="I71" s="128">
        <v>6510.34</v>
      </c>
      <c r="J71" s="128">
        <v>6510.34</v>
      </c>
      <c r="K71" s="206">
        <v>0</v>
      </c>
      <c r="L71" s="210">
        <f t="shared" si="0"/>
        <v>6510.34</v>
      </c>
      <c r="M71" s="207">
        <f t="shared" si="1"/>
        <v>0</v>
      </c>
      <c r="N71" s="211">
        <f t="shared" si="2"/>
        <v>1</v>
      </c>
      <c r="O71" s="208">
        <f t="shared" si="3"/>
        <v>6510.34</v>
      </c>
      <c r="P71" s="209">
        <f t="shared" si="4"/>
        <v>6510.34</v>
      </c>
    </row>
    <row r="72" spans="1:19" s="109" customFormat="1" ht="24" x14ac:dyDescent="0.2">
      <c r="A72" s="97"/>
      <c r="B72" s="116"/>
      <c r="C72" s="117" t="s">
        <v>226</v>
      </c>
      <c r="D72" s="117" t="s">
        <v>69</v>
      </c>
      <c r="E72" s="118" t="s">
        <v>254</v>
      </c>
      <c r="F72" s="119" t="s">
        <v>255</v>
      </c>
      <c r="G72" s="120" t="s">
        <v>62</v>
      </c>
      <c r="H72" s="121">
        <v>29.43</v>
      </c>
      <c r="I72" s="122">
        <v>3059.28</v>
      </c>
      <c r="J72" s="122">
        <v>90034.61</v>
      </c>
      <c r="K72" s="206">
        <f t="shared" ref="K72:K73" si="9">ROUND(217.7/217.62*H72-H72,2)</f>
        <v>0.01</v>
      </c>
      <c r="L72" s="210">
        <f t="shared" si="0"/>
        <v>3059.28</v>
      </c>
      <c r="M72" s="207">
        <f t="shared" si="1"/>
        <v>30.59</v>
      </c>
      <c r="N72" s="211">
        <f t="shared" si="2"/>
        <v>29.44</v>
      </c>
      <c r="O72" s="208">
        <f t="shared" si="3"/>
        <v>3059.28</v>
      </c>
      <c r="P72" s="209">
        <f t="shared" si="4"/>
        <v>90065.2</v>
      </c>
    </row>
    <row r="73" spans="1:19" s="109" customFormat="1" ht="12" x14ac:dyDescent="0.2">
      <c r="A73" s="97"/>
      <c r="B73" s="116"/>
      <c r="C73" s="117" t="s">
        <v>229</v>
      </c>
      <c r="D73" s="117" t="s">
        <v>69</v>
      </c>
      <c r="E73" s="118" t="s">
        <v>266</v>
      </c>
      <c r="F73" s="119" t="s">
        <v>267</v>
      </c>
      <c r="G73" s="120" t="s">
        <v>61</v>
      </c>
      <c r="H73" s="121">
        <v>217.62</v>
      </c>
      <c r="I73" s="122">
        <v>9.2100000000000009</v>
      </c>
      <c r="J73" s="122">
        <v>2004.28</v>
      </c>
      <c r="K73" s="206">
        <f t="shared" si="9"/>
        <v>0.08</v>
      </c>
      <c r="L73" s="210">
        <f t="shared" si="0"/>
        <v>9.2100000000000009</v>
      </c>
      <c r="M73" s="207">
        <f t="shared" si="1"/>
        <v>0.74</v>
      </c>
      <c r="N73" s="211">
        <f t="shared" si="2"/>
        <v>217.70000000000002</v>
      </c>
      <c r="O73" s="208">
        <f t="shared" si="3"/>
        <v>9.2100000000000009</v>
      </c>
      <c r="P73" s="209">
        <f t="shared" si="4"/>
        <v>2005.02</v>
      </c>
    </row>
    <row r="74" spans="1:19" s="110" customFormat="1" ht="12.75" x14ac:dyDescent="0.2">
      <c r="C74" s="245"/>
      <c r="D74" s="246" t="s">
        <v>3</v>
      </c>
      <c r="E74" s="247" t="s">
        <v>93</v>
      </c>
      <c r="F74" s="247" t="s">
        <v>268</v>
      </c>
      <c r="G74" s="245"/>
      <c r="H74" s="245"/>
      <c r="I74" s="245"/>
      <c r="J74" s="241">
        <f t="shared" ref="J74" si="10">SUM(J75:J80)</f>
        <v>124672.42000000001</v>
      </c>
      <c r="K74" s="241"/>
      <c r="L74" s="241"/>
      <c r="M74" s="241">
        <f>SUM(M75:M80)</f>
        <v>0</v>
      </c>
      <c r="N74" s="242"/>
      <c r="O74" s="243"/>
      <c r="P74" s="241">
        <f>SUM(P75:P80)</f>
        <v>124672.42000000001</v>
      </c>
      <c r="S74" s="109"/>
    </row>
    <row r="75" spans="1:19" s="109" customFormat="1" ht="48" x14ac:dyDescent="0.2">
      <c r="A75" s="97"/>
      <c r="B75" s="116"/>
      <c r="C75" s="117" t="s">
        <v>232</v>
      </c>
      <c r="D75" s="117" t="s">
        <v>69</v>
      </c>
      <c r="E75" s="118" t="s">
        <v>270</v>
      </c>
      <c r="F75" s="119" t="s">
        <v>271</v>
      </c>
      <c r="G75" s="120" t="s">
        <v>61</v>
      </c>
      <c r="H75" s="121">
        <v>392.46</v>
      </c>
      <c r="I75" s="122">
        <v>87.65</v>
      </c>
      <c r="J75" s="122">
        <v>34399.120000000003</v>
      </c>
      <c r="K75" s="206">
        <v>0</v>
      </c>
      <c r="L75" s="210">
        <f t="shared" si="0"/>
        <v>87.65</v>
      </c>
      <c r="M75" s="207">
        <f t="shared" si="1"/>
        <v>0</v>
      </c>
      <c r="N75" s="211">
        <f t="shared" si="2"/>
        <v>392.46</v>
      </c>
      <c r="O75" s="208">
        <f t="shared" si="3"/>
        <v>87.65</v>
      </c>
      <c r="P75" s="209">
        <f t="shared" si="4"/>
        <v>34399.120000000003</v>
      </c>
    </row>
    <row r="76" spans="1:19" s="109" customFormat="1" ht="36" x14ac:dyDescent="0.2">
      <c r="A76" s="97"/>
      <c r="B76" s="116"/>
      <c r="C76" s="117" t="s">
        <v>235</v>
      </c>
      <c r="D76" s="117" t="s">
        <v>69</v>
      </c>
      <c r="E76" s="118" t="s">
        <v>273</v>
      </c>
      <c r="F76" s="119" t="s">
        <v>274</v>
      </c>
      <c r="G76" s="120" t="s">
        <v>61</v>
      </c>
      <c r="H76" s="121">
        <v>773.92</v>
      </c>
      <c r="I76" s="122">
        <v>32.22</v>
      </c>
      <c r="J76" s="122">
        <v>24935.7</v>
      </c>
      <c r="K76" s="206">
        <v>0</v>
      </c>
      <c r="L76" s="210">
        <f t="shared" si="0"/>
        <v>32.22</v>
      </c>
      <c r="M76" s="207">
        <f t="shared" si="1"/>
        <v>0</v>
      </c>
      <c r="N76" s="211">
        <f t="shared" si="2"/>
        <v>773.92</v>
      </c>
      <c r="O76" s="208">
        <f t="shared" si="3"/>
        <v>32.22</v>
      </c>
      <c r="P76" s="209">
        <f t="shared" si="4"/>
        <v>24935.7</v>
      </c>
    </row>
    <row r="77" spans="1:19" s="109" customFormat="1" ht="36" x14ac:dyDescent="0.2">
      <c r="A77" s="97"/>
      <c r="B77" s="116"/>
      <c r="C77" s="117" t="s">
        <v>238</v>
      </c>
      <c r="D77" s="117" t="s">
        <v>69</v>
      </c>
      <c r="E77" s="118" t="s">
        <v>350</v>
      </c>
      <c r="F77" s="119" t="s">
        <v>351</v>
      </c>
      <c r="G77" s="120" t="s">
        <v>61</v>
      </c>
      <c r="H77" s="121">
        <v>8.4</v>
      </c>
      <c r="I77" s="122">
        <v>32.22</v>
      </c>
      <c r="J77" s="122">
        <v>270.64999999999998</v>
      </c>
      <c r="K77" s="206">
        <v>0</v>
      </c>
      <c r="L77" s="210">
        <f t="shared" si="0"/>
        <v>32.22</v>
      </c>
      <c r="M77" s="207">
        <f t="shared" si="1"/>
        <v>0</v>
      </c>
      <c r="N77" s="211">
        <f t="shared" si="2"/>
        <v>8.4</v>
      </c>
      <c r="O77" s="208">
        <f t="shared" si="3"/>
        <v>32.22</v>
      </c>
      <c r="P77" s="209">
        <f t="shared" si="4"/>
        <v>270.64999999999998</v>
      </c>
    </row>
    <row r="78" spans="1:19" s="109" customFormat="1" ht="24" x14ac:dyDescent="0.2">
      <c r="A78" s="97"/>
      <c r="B78" s="116"/>
      <c r="C78" s="117" t="s">
        <v>241</v>
      </c>
      <c r="D78" s="117" t="s">
        <v>69</v>
      </c>
      <c r="E78" s="118" t="s">
        <v>276</v>
      </c>
      <c r="F78" s="119" t="s">
        <v>277</v>
      </c>
      <c r="G78" s="120" t="s">
        <v>61</v>
      </c>
      <c r="H78" s="121">
        <v>773.92</v>
      </c>
      <c r="I78" s="122">
        <v>72.34</v>
      </c>
      <c r="J78" s="122">
        <v>55985.37</v>
      </c>
      <c r="K78" s="206">
        <v>0</v>
      </c>
      <c r="L78" s="210">
        <f t="shared" si="0"/>
        <v>72.34</v>
      </c>
      <c r="M78" s="207">
        <f t="shared" si="1"/>
        <v>0</v>
      </c>
      <c r="N78" s="211">
        <f t="shared" si="2"/>
        <v>773.92</v>
      </c>
      <c r="O78" s="208">
        <f t="shared" si="3"/>
        <v>72.34</v>
      </c>
      <c r="P78" s="209">
        <f t="shared" si="4"/>
        <v>55985.37</v>
      </c>
    </row>
    <row r="79" spans="1:19" s="109" customFormat="1" ht="24" x14ac:dyDescent="0.2">
      <c r="A79" s="97"/>
      <c r="B79" s="116"/>
      <c r="C79" s="117" t="s">
        <v>244</v>
      </c>
      <c r="D79" s="117" t="s">
        <v>69</v>
      </c>
      <c r="E79" s="118" t="s">
        <v>354</v>
      </c>
      <c r="F79" s="119" t="s">
        <v>355</v>
      </c>
      <c r="G79" s="120" t="s">
        <v>61</v>
      </c>
      <c r="H79" s="121">
        <v>8.4</v>
      </c>
      <c r="I79" s="122">
        <v>94.7</v>
      </c>
      <c r="J79" s="122">
        <v>795.48</v>
      </c>
      <c r="K79" s="206">
        <v>0</v>
      </c>
      <c r="L79" s="210">
        <f t="shared" si="0"/>
        <v>94.7</v>
      </c>
      <c r="M79" s="207">
        <f t="shared" si="1"/>
        <v>0</v>
      </c>
      <c r="N79" s="211">
        <f t="shared" si="2"/>
        <v>8.4</v>
      </c>
      <c r="O79" s="208">
        <f t="shared" si="3"/>
        <v>94.7</v>
      </c>
      <c r="P79" s="209">
        <f t="shared" si="4"/>
        <v>795.48</v>
      </c>
    </row>
    <row r="80" spans="1:19" s="109" customFormat="1" ht="36" x14ac:dyDescent="0.2">
      <c r="A80" s="97"/>
      <c r="B80" s="116"/>
      <c r="C80" s="117" t="s">
        <v>247</v>
      </c>
      <c r="D80" s="117" t="s">
        <v>69</v>
      </c>
      <c r="E80" s="118" t="s">
        <v>279</v>
      </c>
      <c r="F80" s="119" t="s">
        <v>280</v>
      </c>
      <c r="G80" s="120" t="s">
        <v>138</v>
      </c>
      <c r="H80" s="121">
        <v>5</v>
      </c>
      <c r="I80" s="122">
        <v>1657.22</v>
      </c>
      <c r="J80" s="122">
        <v>8286.1</v>
      </c>
      <c r="K80" s="206">
        <v>0</v>
      </c>
      <c r="L80" s="210">
        <f t="shared" ref="L80:L88" si="11">I80</f>
        <v>1657.22</v>
      </c>
      <c r="M80" s="207">
        <f t="shared" ref="M80:M88" si="12">ROUND(K80*L80,2)</f>
        <v>0</v>
      </c>
      <c r="N80" s="211">
        <f t="shared" ref="N80:N88" si="13">H80+K80</f>
        <v>5</v>
      </c>
      <c r="O80" s="208">
        <f t="shared" ref="O80:O88" si="14">I80</f>
        <v>1657.22</v>
      </c>
      <c r="P80" s="209">
        <f t="shared" ref="P80:P88" si="15">ROUND(N80*O80,2)</f>
        <v>8286.1</v>
      </c>
    </row>
    <row r="81" spans="1:25" s="110" customFormat="1" ht="12.75" x14ac:dyDescent="0.2">
      <c r="C81" s="245"/>
      <c r="D81" s="246" t="s">
        <v>3</v>
      </c>
      <c r="E81" s="247" t="s">
        <v>281</v>
      </c>
      <c r="F81" s="247" t="s">
        <v>282</v>
      </c>
      <c r="G81" s="245"/>
      <c r="H81" s="245"/>
      <c r="I81" s="245"/>
      <c r="J81" s="241">
        <f t="shared" ref="J81" si="16">SUM(J82:J86)</f>
        <v>72227.28</v>
      </c>
      <c r="K81" s="241"/>
      <c r="L81" s="241"/>
      <c r="M81" s="241">
        <f>SUM(M82:M86)</f>
        <v>20.18</v>
      </c>
      <c r="N81" s="242"/>
      <c r="O81" s="243"/>
      <c r="P81" s="241">
        <f>SUM(P82:P86)</f>
        <v>72247.460000000006</v>
      </c>
      <c r="S81" s="109"/>
    </row>
    <row r="82" spans="1:25" s="109" customFormat="1" ht="24" x14ac:dyDescent="0.2">
      <c r="A82" s="97"/>
      <c r="B82" s="116"/>
      <c r="C82" s="117" t="s">
        <v>250</v>
      </c>
      <c r="D82" s="117" t="s">
        <v>69</v>
      </c>
      <c r="E82" s="118" t="s">
        <v>284</v>
      </c>
      <c r="F82" s="119" t="s">
        <v>285</v>
      </c>
      <c r="G82" s="120" t="s">
        <v>120</v>
      </c>
      <c r="H82" s="121">
        <v>223.19800000000001</v>
      </c>
      <c r="I82" s="122">
        <v>136.22999999999999</v>
      </c>
      <c r="J82" s="122">
        <v>30406.26</v>
      </c>
      <c r="K82" s="206">
        <f t="shared" ref="K82" si="17">ROUND(217.7/217.62*H82-H82,2)</f>
        <v>0.08</v>
      </c>
      <c r="L82" s="210">
        <f t="shared" si="11"/>
        <v>136.22999999999999</v>
      </c>
      <c r="M82" s="207">
        <f t="shared" si="12"/>
        <v>10.9</v>
      </c>
      <c r="N82" s="211">
        <f t="shared" si="13"/>
        <v>223.27800000000002</v>
      </c>
      <c r="O82" s="208">
        <f t="shared" si="14"/>
        <v>136.22999999999999</v>
      </c>
      <c r="P82" s="209">
        <f t="shared" si="15"/>
        <v>30417.16</v>
      </c>
    </row>
    <row r="83" spans="1:25" s="109" customFormat="1" ht="36" x14ac:dyDescent="0.2">
      <c r="A83" s="97"/>
      <c r="B83" s="116"/>
      <c r="C83" s="117" t="s">
        <v>253</v>
      </c>
      <c r="D83" s="117" t="s">
        <v>69</v>
      </c>
      <c r="E83" s="118" t="s">
        <v>287</v>
      </c>
      <c r="F83" s="119" t="s">
        <v>288</v>
      </c>
      <c r="G83" s="120" t="s">
        <v>120</v>
      </c>
      <c r="H83" s="121">
        <v>64.209000000000003</v>
      </c>
      <c r="I83" s="122">
        <v>257.77999999999997</v>
      </c>
      <c r="J83" s="122">
        <v>16551.8</v>
      </c>
      <c r="K83" s="206">
        <v>0</v>
      </c>
      <c r="L83" s="210">
        <f t="shared" si="11"/>
        <v>257.77999999999997</v>
      </c>
      <c r="M83" s="207">
        <f t="shared" si="12"/>
        <v>0</v>
      </c>
      <c r="N83" s="211">
        <f t="shared" si="13"/>
        <v>64.209000000000003</v>
      </c>
      <c r="O83" s="208">
        <f t="shared" si="14"/>
        <v>257.77999999999997</v>
      </c>
      <c r="P83" s="209">
        <f t="shared" si="15"/>
        <v>16551.8</v>
      </c>
    </row>
    <row r="84" spans="1:25" s="109" customFormat="1" ht="36" x14ac:dyDescent="0.2">
      <c r="A84" s="97"/>
      <c r="B84" s="116"/>
      <c r="C84" s="117" t="s">
        <v>256</v>
      </c>
      <c r="D84" s="117" t="s">
        <v>69</v>
      </c>
      <c r="E84" s="118" t="s">
        <v>290</v>
      </c>
      <c r="F84" s="119" t="s">
        <v>119</v>
      </c>
      <c r="G84" s="120" t="s">
        <v>120</v>
      </c>
      <c r="H84" s="121">
        <v>158.989</v>
      </c>
      <c r="I84" s="122">
        <v>154.66999999999999</v>
      </c>
      <c r="J84" s="122">
        <v>24590.83</v>
      </c>
      <c r="K84" s="206">
        <f t="shared" ref="K84:K86" si="18">ROUND(217.7/217.62*H84-H84,2)</f>
        <v>0.06</v>
      </c>
      <c r="L84" s="210">
        <f t="shared" si="11"/>
        <v>154.66999999999999</v>
      </c>
      <c r="M84" s="207">
        <f t="shared" si="12"/>
        <v>9.2799999999999994</v>
      </c>
      <c r="N84" s="211">
        <f t="shared" si="13"/>
        <v>159.04900000000001</v>
      </c>
      <c r="O84" s="208">
        <f t="shared" si="14"/>
        <v>154.66999999999999</v>
      </c>
      <c r="P84" s="209">
        <f t="shared" si="15"/>
        <v>24600.11</v>
      </c>
      <c r="X84" s="148" t="s">
        <v>1136</v>
      </c>
      <c r="Y84" s="109" t="s">
        <v>1008</v>
      </c>
    </row>
    <row r="85" spans="1:25" s="109" customFormat="1" ht="24" x14ac:dyDescent="0.2">
      <c r="A85" s="97"/>
      <c r="B85" s="116"/>
      <c r="C85" s="117" t="s">
        <v>259</v>
      </c>
      <c r="D85" s="117" t="s">
        <v>69</v>
      </c>
      <c r="E85" s="118" t="s">
        <v>361</v>
      </c>
      <c r="F85" s="119" t="s">
        <v>362</v>
      </c>
      <c r="G85" s="120" t="s">
        <v>120</v>
      </c>
      <c r="H85" s="121">
        <v>2.8879999999999999</v>
      </c>
      <c r="I85" s="122">
        <v>80.23</v>
      </c>
      <c r="J85" s="122">
        <v>231.7</v>
      </c>
      <c r="K85" s="206">
        <f t="shared" si="18"/>
        <v>0</v>
      </c>
      <c r="L85" s="210">
        <f t="shared" si="11"/>
        <v>80.23</v>
      </c>
      <c r="M85" s="207">
        <f t="shared" si="12"/>
        <v>0</v>
      </c>
      <c r="N85" s="211">
        <f t="shared" si="13"/>
        <v>2.8879999999999999</v>
      </c>
      <c r="O85" s="208">
        <f t="shared" si="14"/>
        <v>80.23</v>
      </c>
      <c r="P85" s="209">
        <f t="shared" si="15"/>
        <v>231.7</v>
      </c>
    </row>
    <row r="86" spans="1:25" s="109" customFormat="1" ht="36" x14ac:dyDescent="0.2">
      <c r="A86" s="97"/>
      <c r="B86" s="116"/>
      <c r="C86" s="117" t="s">
        <v>262</v>
      </c>
      <c r="D86" s="117" t="s">
        <v>69</v>
      </c>
      <c r="E86" s="118" t="s">
        <v>364</v>
      </c>
      <c r="F86" s="119" t="s">
        <v>365</v>
      </c>
      <c r="G86" s="120" t="s">
        <v>120</v>
      </c>
      <c r="H86" s="121">
        <v>2.8879999999999999</v>
      </c>
      <c r="I86" s="122">
        <v>154.66999999999999</v>
      </c>
      <c r="J86" s="122">
        <v>446.69</v>
      </c>
      <c r="K86" s="206">
        <f t="shared" si="18"/>
        <v>0</v>
      </c>
      <c r="L86" s="210">
        <f t="shared" si="11"/>
        <v>154.66999999999999</v>
      </c>
      <c r="M86" s="207">
        <f t="shared" si="12"/>
        <v>0</v>
      </c>
      <c r="N86" s="211">
        <f t="shared" si="13"/>
        <v>2.8879999999999999</v>
      </c>
      <c r="O86" s="208">
        <f t="shared" si="14"/>
        <v>154.66999999999999</v>
      </c>
      <c r="P86" s="209">
        <f t="shared" si="15"/>
        <v>446.69</v>
      </c>
    </row>
    <row r="87" spans="1:25" s="110" customFormat="1" ht="12.75" x14ac:dyDescent="0.2">
      <c r="C87" s="245"/>
      <c r="D87" s="246" t="s">
        <v>3</v>
      </c>
      <c r="E87" s="247" t="s">
        <v>291</v>
      </c>
      <c r="F87" s="247" t="s">
        <v>292</v>
      </c>
      <c r="G87" s="245"/>
      <c r="H87" s="245"/>
      <c r="I87" s="245"/>
      <c r="J87" s="241">
        <f t="shared" ref="J87" si="19">J88</f>
        <v>6043.32</v>
      </c>
      <c r="K87" s="241"/>
      <c r="L87" s="241"/>
      <c r="M87" s="241">
        <f>M88</f>
        <v>2.29</v>
      </c>
      <c r="N87" s="242"/>
      <c r="O87" s="243"/>
      <c r="P87" s="244">
        <f>P88</f>
        <v>6045.61</v>
      </c>
      <c r="S87" s="109"/>
    </row>
    <row r="88" spans="1:25" s="109" customFormat="1" ht="36" x14ac:dyDescent="0.2">
      <c r="A88" s="97"/>
      <c r="B88" s="116"/>
      <c r="C88" s="117" t="s">
        <v>265</v>
      </c>
      <c r="D88" s="117" t="s">
        <v>69</v>
      </c>
      <c r="E88" s="118" t="s">
        <v>294</v>
      </c>
      <c r="F88" s="119" t="s">
        <v>295</v>
      </c>
      <c r="G88" s="120" t="s">
        <v>120</v>
      </c>
      <c r="H88" s="121">
        <v>52.817</v>
      </c>
      <c r="I88" s="122">
        <v>114.42</v>
      </c>
      <c r="J88" s="122">
        <v>6043.32</v>
      </c>
      <c r="K88" s="206">
        <f t="shared" ref="K88" si="20">ROUND(217.7/217.62*H88-H88,2)</f>
        <v>0.02</v>
      </c>
      <c r="L88" s="210">
        <f t="shared" si="11"/>
        <v>114.42</v>
      </c>
      <c r="M88" s="207">
        <f t="shared" si="12"/>
        <v>2.29</v>
      </c>
      <c r="N88" s="211">
        <f t="shared" si="13"/>
        <v>52.837000000000003</v>
      </c>
      <c r="O88" s="208">
        <f t="shared" si="14"/>
        <v>114.42</v>
      </c>
      <c r="P88" s="209">
        <f t="shared" si="15"/>
        <v>6045.61</v>
      </c>
    </row>
    <row r="89" spans="1:25" x14ac:dyDescent="0.2">
      <c r="M89" s="186" t="s">
        <v>1000</v>
      </c>
    </row>
    <row r="90" spans="1:25" ht="12.75" x14ac:dyDescent="0.2">
      <c r="D90" s="89"/>
      <c r="E90" s="141" t="str">
        <f>CONCATENATE("CELKEM ",C12)</f>
        <v>CELKEM 05 - SO 01.E - Stoka A.1.1</v>
      </c>
      <c r="F90" s="90"/>
      <c r="G90" s="90"/>
      <c r="H90" s="91"/>
      <c r="I90" s="90"/>
      <c r="J90" s="92">
        <f>J87+J74+J56+J45+J41+J39+J14+J81</f>
        <v>1966137.9400000002</v>
      </c>
      <c r="K90" s="92"/>
      <c r="L90" s="92"/>
      <c r="M90" s="92">
        <f t="shared" ref="M90:P90" si="21">M87+M74+M56+M45+M41+M39+M14+M81</f>
        <v>443.97999999999996</v>
      </c>
      <c r="N90" s="92"/>
      <c r="O90" s="92"/>
      <c r="P90" s="92">
        <f t="shared" si="21"/>
        <v>1966581.88</v>
      </c>
    </row>
    <row r="91" spans="1:25" x14ac:dyDescent="0.2">
      <c r="I91" s="95"/>
      <c r="M91" s="186" t="s">
        <v>1000</v>
      </c>
    </row>
    <row r="92" spans="1:25" ht="14.25" x14ac:dyDescent="0.2">
      <c r="E92" s="58"/>
      <c r="F92" s="58"/>
      <c r="H92" s="96"/>
      <c r="J92" s="161"/>
      <c r="K92" s="62"/>
      <c r="L92" s="62"/>
      <c r="M92" s="186"/>
      <c r="O92" s="58"/>
    </row>
  </sheetData>
  <protectedRanges>
    <protectedRange password="CCAA" sqref="O8 K8" name="Oblast1_1_1_1"/>
    <protectedRange password="CCAA" sqref="D9:H10" name="Oblast1_2_1"/>
  </protectedRanges>
  <autoFilter ref="C10:P88" xr:uid="{8D400CD1-EDFE-4253-95BC-F6AA8C17A81C}"/>
  <mergeCells count="4">
    <mergeCell ref="K9:M9"/>
    <mergeCell ref="N9:P9"/>
    <mergeCell ref="M8:N8"/>
    <mergeCell ref="I8:J8"/>
  </mergeCells>
  <conditionalFormatting sqref="D3:E7 D1:L1 D2:F2 H2:L7 Q9:GF10 O8:GF8 Q90:GP90 P92:HS92 M1:GE7 K46:P55 J45:P45 J56:P56 K75:P80 J74:P74 J81:P81 J87:P87 K15:P44 K57:P73 K82:P86 K88:P88">
    <cfRule type="cellIs" dxfId="294" priority="91" operator="lessThan">
      <formula>0</formula>
    </cfRule>
  </conditionalFormatting>
  <conditionalFormatting sqref="G4">
    <cfRule type="cellIs" dxfId="293" priority="90" operator="lessThan">
      <formula>0</formula>
    </cfRule>
  </conditionalFormatting>
  <conditionalFormatting sqref="G3">
    <cfRule type="cellIs" dxfId="292" priority="89" operator="lessThan">
      <formula>0</formula>
    </cfRule>
  </conditionalFormatting>
  <conditionalFormatting sqref="D9:J10 D8:E8 H8:I8 K8:L8">
    <cfRule type="cellIs" dxfId="291" priority="88" operator="lessThan">
      <formula>0</formula>
    </cfRule>
  </conditionalFormatting>
  <conditionalFormatting sqref="M8">
    <cfRule type="cellIs" dxfId="290" priority="51" operator="lessThan">
      <formula>0</formula>
    </cfRule>
  </conditionalFormatting>
  <conditionalFormatting sqref="D90 F90:P90">
    <cfRule type="cellIs" dxfId="289" priority="35" operator="lessThan">
      <formula>0</formula>
    </cfRule>
  </conditionalFormatting>
  <conditionalFormatting sqref="K92:L92">
    <cfRule type="cellIs" dxfId="288" priority="26" operator="lessThan">
      <formula>0</formula>
    </cfRule>
  </conditionalFormatting>
  <conditionalFormatting sqref="D92 G92:I92">
    <cfRule type="cellIs" dxfId="287" priority="25" operator="lessThan">
      <formula>0</formula>
    </cfRule>
  </conditionalFormatting>
  <conditionalFormatting sqref="G92:I92 P92 K92:L92">
    <cfRule type="cellIs" dxfId="286" priority="24" operator="lessThan">
      <formula>0</formula>
    </cfRule>
  </conditionalFormatting>
  <conditionalFormatting sqref="G92:I92 K92:L92">
    <cfRule type="cellIs" dxfId="285" priority="23" operator="lessThan">
      <formula>0</formula>
    </cfRule>
  </conditionalFormatting>
  <conditionalFormatting sqref="G92:I92 K92:L92">
    <cfRule type="cellIs" dxfId="284" priority="22" operator="lessThan">
      <formula>0</formula>
    </cfRule>
  </conditionalFormatting>
  <conditionalFormatting sqref="M92:N92">
    <cfRule type="cellIs" dxfId="283" priority="16" operator="lessThan">
      <formula>0</formula>
    </cfRule>
  </conditionalFormatting>
  <conditionalFormatting sqref="E90">
    <cfRule type="cellIs" dxfId="282" priority="8" operator="lessThan">
      <formula>0</formula>
    </cfRule>
  </conditionalFormatting>
  <conditionalFormatting sqref="G2">
    <cfRule type="cellIs" dxfId="281" priority="7" operator="lessThan">
      <formula>0</formula>
    </cfRule>
  </conditionalFormatting>
  <conditionalFormatting sqref="N9">
    <cfRule type="cellIs" dxfId="280" priority="4" operator="lessThan">
      <formula>0</formula>
    </cfRule>
  </conditionalFormatting>
  <conditionalFormatting sqref="K10:L10 K9">
    <cfRule type="cellIs" dxfId="279" priority="3" operator="lessThan">
      <formula>0</formula>
    </cfRule>
  </conditionalFormatting>
  <conditionalFormatting sqref="M10:N10">
    <cfRule type="cellIs" dxfId="278" priority="2" operator="lessThan">
      <formula>0</formula>
    </cfRule>
  </conditionalFormatting>
  <conditionalFormatting sqref="O10:P10">
    <cfRule type="cellIs" dxfId="277" priority="1" operator="lessThan">
      <formula>0</formula>
    </cfRule>
  </conditionalFormatting>
  <pageMargins left="0.39370078740157483" right="0.39370078740157483" top="0.39370078740157483" bottom="0.39370078740157483" header="0" footer="0"/>
  <pageSetup paperSize="9" scale="53" fitToHeight="0" orientation="portrait" r:id="rId1"/>
  <headerFooter>
    <oddFooter>&amp;CStrana &amp;P z &amp;N</oddFooter>
  </headerFooter>
  <rowBreaks count="1" manualBreakCount="1">
    <brk id="54" min="2" max="15" man="1"/>
  </rowBreak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AE99"/>
  <sheetViews>
    <sheetView showGridLines="0" view="pageBreakPreview" zoomScale="85" zoomScaleNormal="85" zoomScaleSheetLayoutView="85" workbookViewId="0">
      <selection activeCell="M96" sqref="M96"/>
    </sheetView>
  </sheetViews>
  <sheetFormatPr defaultColWidth="9.33203125" defaultRowHeight="11.25" x14ac:dyDescent="0.2"/>
  <cols>
    <col min="1" max="1" width="8.33203125" style="60" customWidth="1"/>
    <col min="2" max="2" width="1.6640625" style="60" customWidth="1"/>
    <col min="3" max="3" width="5" style="60" customWidth="1"/>
    <col min="4" max="4" width="3.83203125" style="60" customWidth="1"/>
    <col min="5" max="5" width="12.5" style="60" customWidth="1"/>
    <col min="6" max="6" width="100.1640625" style="60" bestFit="1" customWidth="1"/>
    <col min="7" max="7" width="7.6640625" style="60" customWidth="1"/>
    <col min="8" max="8" width="11.1640625" style="60" customWidth="1"/>
    <col min="9" max="9" width="11" style="60" customWidth="1"/>
    <col min="10" max="10" width="22.33203125" style="60" customWidth="1"/>
    <col min="11" max="11" width="17.6640625" style="60" bestFit="1" customWidth="1"/>
    <col min="12" max="12" width="15.33203125" style="60" bestFit="1" customWidth="1"/>
    <col min="13" max="13" width="17.83203125" style="60" bestFit="1" customWidth="1"/>
    <col min="14" max="14" width="15.33203125" style="60" bestFit="1" customWidth="1"/>
    <col min="15" max="15" width="12.5" style="60" bestFit="1" customWidth="1"/>
    <col min="16" max="16" width="20.83203125" style="60" bestFit="1" customWidth="1"/>
    <col min="17" max="17" width="33.5" style="60" bestFit="1" customWidth="1"/>
    <col min="18" max="18" width="28.33203125" style="60" bestFit="1" customWidth="1"/>
    <col min="19" max="19" width="37.1640625" style="60" bestFit="1" customWidth="1"/>
    <col min="20" max="20" width="27.83203125" style="60" bestFit="1" customWidth="1"/>
    <col min="21" max="21" width="36.83203125" style="60" bestFit="1" customWidth="1"/>
    <col min="22" max="22" width="25" style="60" bestFit="1" customWidth="1"/>
    <col min="23" max="23" width="48.1640625" style="60" bestFit="1" customWidth="1"/>
    <col min="24" max="24" width="0" style="60" hidden="1" customWidth="1"/>
    <col min="25" max="25" width="24.33203125" style="60" bestFit="1" customWidth="1"/>
    <col min="26" max="26" width="10" style="60" bestFit="1" customWidth="1"/>
    <col min="27" max="27" width="20.5" style="60" bestFit="1" customWidth="1"/>
    <col min="28" max="28" width="9" style="60" bestFit="1" customWidth="1"/>
    <col min="29" max="29" width="0" style="60" hidden="1" customWidth="1"/>
    <col min="30" max="30" width="11" style="60" bestFit="1" customWidth="1"/>
    <col min="31" max="31" width="20.5" style="60" hidden="1" customWidth="1"/>
    <col min="32" max="16384" width="9.33203125" style="60"/>
  </cols>
  <sheetData>
    <row r="1" spans="1:30" ht="15" x14ac:dyDescent="0.2">
      <c r="F1" s="3"/>
      <c r="G1" s="4"/>
      <c r="H1" s="1"/>
      <c r="J1" s="61"/>
      <c r="K1" s="62"/>
    </row>
    <row r="2" spans="1:30" s="1" customFormat="1" ht="15.75" x14ac:dyDescent="0.25">
      <c r="E2" s="2"/>
      <c r="F2" s="3" t="s">
        <v>979</v>
      </c>
      <c r="G2" s="4" t="s">
        <v>1058</v>
      </c>
      <c r="I2" s="5"/>
      <c r="J2" s="63"/>
      <c r="K2" s="5"/>
      <c r="L2" s="6"/>
      <c r="M2" s="7"/>
      <c r="N2" s="6"/>
      <c r="O2" s="10"/>
      <c r="P2" s="11"/>
    </row>
    <row r="3" spans="1:30" s="1" customFormat="1" ht="15.75" x14ac:dyDescent="0.25">
      <c r="E3" s="2"/>
      <c r="F3" s="3" t="s">
        <v>980</v>
      </c>
      <c r="G3" s="4" t="str">
        <f>+'Rekapitulace stavby'!D2</f>
        <v>ÚHERCE, výstavba kanalizace - UZNATELNÉ NÁKLADY - doměrky</v>
      </c>
      <c r="H3" s="2"/>
      <c r="I3" s="5"/>
      <c r="J3" s="63"/>
      <c r="K3" s="5"/>
      <c r="L3" s="6"/>
      <c r="M3" s="7"/>
      <c r="N3" s="6"/>
      <c r="O3" s="10"/>
      <c r="P3" s="11"/>
    </row>
    <row r="4" spans="1:30" s="2" customFormat="1" ht="15.75" x14ac:dyDescent="0.25">
      <c r="F4" s="12" t="s">
        <v>981</v>
      </c>
      <c r="G4" s="13" t="str">
        <f>'[1]VRN 01'!G5</f>
        <v>VRI/SOD/2020/Ži</v>
      </c>
      <c r="I4" s="5"/>
      <c r="J4" s="65"/>
      <c r="K4" s="5"/>
      <c r="L4" s="14"/>
      <c r="M4" s="15"/>
      <c r="N4" s="14"/>
      <c r="O4" s="18"/>
      <c r="P4" s="19"/>
    </row>
    <row r="5" spans="1:30" s="2" customFormat="1" ht="15.75" x14ac:dyDescent="0.25">
      <c r="F5" s="12" t="s">
        <v>983</v>
      </c>
      <c r="G5" s="13" t="s">
        <v>1001</v>
      </c>
      <c r="I5" s="5"/>
      <c r="J5" s="65"/>
      <c r="K5" s="5"/>
      <c r="L5" s="14"/>
      <c r="M5" s="15"/>
      <c r="N5" s="14"/>
      <c r="O5" s="18"/>
      <c r="P5" s="19"/>
    </row>
    <row r="6" spans="1:30" s="2" customFormat="1" ht="15.75" x14ac:dyDescent="0.25">
      <c r="F6" s="3" t="s">
        <v>984</v>
      </c>
      <c r="G6" s="13" t="str">
        <f>'[1]VRN 01'!G7</f>
        <v>Vododvody a kanalizace Mladá Boleslav, a.s.</v>
      </c>
      <c r="I6" s="5"/>
      <c r="J6" s="65"/>
      <c r="K6" s="5"/>
      <c r="L6" s="14"/>
      <c r="M6" s="15"/>
      <c r="N6" s="14"/>
      <c r="O6" s="18"/>
      <c r="P6" s="19"/>
    </row>
    <row r="7" spans="1:30" s="2" customFormat="1" ht="15.75" x14ac:dyDescent="0.25">
      <c r="F7" s="3" t="s">
        <v>986</v>
      </c>
      <c r="G7" s="20" t="str">
        <f>'[1]VRN 01'!G8</f>
        <v>VCES a.s.</v>
      </c>
      <c r="H7" s="67"/>
      <c r="I7" s="5"/>
      <c r="J7" s="65"/>
      <c r="K7" s="5"/>
      <c r="L7" s="14"/>
      <c r="M7" s="15"/>
      <c r="N7" s="14"/>
      <c r="O7" s="18"/>
      <c r="P7" s="19"/>
    </row>
    <row r="8" spans="1:30" s="68" customFormat="1" ht="12.75" x14ac:dyDescent="0.2">
      <c r="D8" s="69"/>
      <c r="F8" s="3"/>
      <c r="G8" s="20"/>
      <c r="H8" s="67"/>
      <c r="I8" s="326" t="s">
        <v>1261</v>
      </c>
      <c r="J8" s="326"/>
      <c r="K8" s="326"/>
      <c r="L8" s="71"/>
      <c r="M8" s="330"/>
      <c r="N8" s="330"/>
      <c r="O8" s="72"/>
      <c r="P8" s="73"/>
    </row>
    <row r="9" spans="1:30" s="75" customFormat="1" ht="12.75" x14ac:dyDescent="0.2">
      <c r="C9" s="76"/>
      <c r="D9" s="77"/>
      <c r="E9" s="77"/>
      <c r="F9" s="77"/>
      <c r="G9" s="77"/>
      <c r="H9" s="77"/>
      <c r="I9" s="78"/>
      <c r="J9" s="79"/>
      <c r="K9" s="332" t="s">
        <v>1266</v>
      </c>
      <c r="L9" s="332"/>
      <c r="M9" s="332"/>
      <c r="N9" s="339" t="s">
        <v>1267</v>
      </c>
      <c r="O9" s="339"/>
      <c r="P9" s="340"/>
    </row>
    <row r="10" spans="1:30" s="75" customFormat="1" ht="12.75" x14ac:dyDescent="0.2">
      <c r="C10" s="80"/>
      <c r="D10" s="81" t="s">
        <v>997</v>
      </c>
      <c r="E10" s="81" t="s">
        <v>976</v>
      </c>
      <c r="F10" s="81" t="s">
        <v>977</v>
      </c>
      <c r="G10" s="81" t="s">
        <v>64</v>
      </c>
      <c r="H10" s="82" t="s">
        <v>65</v>
      </c>
      <c r="I10" s="83" t="s">
        <v>998</v>
      </c>
      <c r="J10" s="84" t="s">
        <v>978</v>
      </c>
      <c r="K10" s="218" t="s">
        <v>999</v>
      </c>
      <c r="L10" s="219" t="s">
        <v>1260</v>
      </c>
      <c r="M10" s="220" t="s">
        <v>978</v>
      </c>
      <c r="N10" s="263" t="s">
        <v>1264</v>
      </c>
      <c r="O10" s="264" t="s">
        <v>1260</v>
      </c>
      <c r="P10" s="265" t="s">
        <v>978</v>
      </c>
      <c r="Q10" s="157" t="s">
        <v>1012</v>
      </c>
      <c r="R10" s="157" t="s">
        <v>1019</v>
      </c>
      <c r="S10" s="157" t="s">
        <v>1037</v>
      </c>
      <c r="U10" s="157" t="s">
        <v>1019</v>
      </c>
      <c r="Y10" s="157" t="s">
        <v>1083</v>
      </c>
      <c r="AA10" s="157" t="s">
        <v>1132</v>
      </c>
      <c r="AD10" s="157" t="s">
        <v>1150</v>
      </c>
    </row>
    <row r="11" spans="1:30" s="109" customFormat="1" x14ac:dyDescent="0.2">
      <c r="A11" s="97"/>
      <c r="B11" s="97"/>
      <c r="C11" s="97"/>
      <c r="D11" s="97"/>
      <c r="E11" s="97"/>
      <c r="F11" s="97"/>
      <c r="G11" s="97"/>
      <c r="H11" s="97"/>
      <c r="I11" s="97"/>
      <c r="J11" s="97"/>
      <c r="K11" s="261"/>
      <c r="L11" s="261"/>
      <c r="M11" s="271"/>
      <c r="N11" s="266"/>
      <c r="O11" s="266"/>
      <c r="P11" s="266"/>
    </row>
    <row r="12" spans="1:30" s="109" customFormat="1" ht="15.75" x14ac:dyDescent="0.25">
      <c r="A12" s="97"/>
      <c r="B12" s="97"/>
      <c r="C12" s="98" t="s">
        <v>367</v>
      </c>
      <c r="D12" s="97"/>
      <c r="E12" s="97"/>
      <c r="F12" s="97"/>
      <c r="G12" s="97"/>
      <c r="H12" s="97"/>
      <c r="I12" s="97"/>
      <c r="J12" s="99">
        <v>5179897.74</v>
      </c>
      <c r="K12" s="261"/>
      <c r="L12" s="261"/>
      <c r="M12" s="271"/>
      <c r="N12" s="266"/>
      <c r="O12" s="266"/>
      <c r="P12" s="266"/>
    </row>
    <row r="13" spans="1:30" s="110" customFormat="1" ht="15" x14ac:dyDescent="0.2">
      <c r="D13" s="111" t="s">
        <v>3</v>
      </c>
      <c r="E13" s="112" t="s">
        <v>66</v>
      </c>
      <c r="F13" s="112" t="s">
        <v>67</v>
      </c>
      <c r="J13" s="113">
        <v>5179897.74</v>
      </c>
      <c r="K13" s="262"/>
      <c r="L13" s="262"/>
      <c r="M13" s="262"/>
      <c r="N13" s="267"/>
      <c r="O13" s="267"/>
      <c r="P13" s="267"/>
    </row>
    <row r="14" spans="1:30" s="110" customFormat="1" ht="22.5" x14ac:dyDescent="0.2">
      <c r="C14" s="252"/>
      <c r="D14" s="253" t="s">
        <v>3</v>
      </c>
      <c r="E14" s="254" t="s">
        <v>7</v>
      </c>
      <c r="F14" s="254" t="s">
        <v>68</v>
      </c>
      <c r="G14" s="252"/>
      <c r="H14" s="252"/>
      <c r="I14" s="252"/>
      <c r="J14" s="255">
        <v>2109577.1599999997</v>
      </c>
      <c r="K14" s="252"/>
      <c r="L14" s="252"/>
      <c r="M14" s="258">
        <f>SUM(M15:M39)</f>
        <v>-5820.7703100000008</v>
      </c>
      <c r="N14" s="252"/>
      <c r="O14" s="252"/>
      <c r="P14" s="258">
        <f>SUM(P15:P39)</f>
        <v>2103756.3788299998</v>
      </c>
      <c r="U14" s="190" t="s">
        <v>1063</v>
      </c>
      <c r="V14" s="110" t="s">
        <v>1075</v>
      </c>
      <c r="W14" s="191" t="s">
        <v>1077</v>
      </c>
      <c r="AD14" s="176" t="s">
        <v>1102</v>
      </c>
    </row>
    <row r="15" spans="1:30" s="109" customFormat="1" ht="36" x14ac:dyDescent="0.2">
      <c r="A15" s="97"/>
      <c r="B15" s="116"/>
      <c r="C15" s="117" t="s">
        <v>7</v>
      </c>
      <c r="D15" s="117" t="s">
        <v>69</v>
      </c>
      <c r="E15" s="118" t="s">
        <v>77</v>
      </c>
      <c r="F15" s="119" t="s">
        <v>78</v>
      </c>
      <c r="G15" s="120" t="s">
        <v>72</v>
      </c>
      <c r="H15" s="121">
        <v>44.246000000000002</v>
      </c>
      <c r="I15" s="122">
        <v>21.04</v>
      </c>
      <c r="J15" s="122">
        <v>930.94</v>
      </c>
      <c r="K15" s="272"/>
      <c r="L15" s="273">
        <f>I15</f>
        <v>21.04</v>
      </c>
      <c r="M15" s="274">
        <f>K15*L15</f>
        <v>0</v>
      </c>
      <c r="N15" s="268">
        <f>H15+K15</f>
        <v>44.246000000000002</v>
      </c>
      <c r="O15" s="269">
        <f>I15</f>
        <v>21.04</v>
      </c>
      <c r="P15" s="270">
        <f>N15*O15</f>
        <v>930.93583999999998</v>
      </c>
    </row>
    <row r="16" spans="1:30" s="109" customFormat="1" ht="36" x14ac:dyDescent="0.2">
      <c r="A16" s="97"/>
      <c r="B16" s="116"/>
      <c r="C16" s="117" t="s">
        <v>8</v>
      </c>
      <c r="D16" s="117" t="s">
        <v>69</v>
      </c>
      <c r="E16" s="118" t="s">
        <v>368</v>
      </c>
      <c r="F16" s="119" t="s">
        <v>369</v>
      </c>
      <c r="G16" s="120" t="s">
        <v>72</v>
      </c>
      <c r="H16" s="121">
        <v>501.65499999999997</v>
      </c>
      <c r="I16" s="122">
        <v>23.67</v>
      </c>
      <c r="J16" s="122">
        <v>11874.17</v>
      </c>
      <c r="K16" s="272"/>
      <c r="L16" s="273">
        <f t="shared" ref="L16:L79" si="0">I16</f>
        <v>23.67</v>
      </c>
      <c r="M16" s="274">
        <f t="shared" ref="M16:M79" si="1">K16*L16</f>
        <v>0</v>
      </c>
      <c r="N16" s="268">
        <f t="shared" ref="N16:N79" si="2">H16+K16</f>
        <v>501.65499999999997</v>
      </c>
      <c r="O16" s="269">
        <f t="shared" ref="O16:O79" si="3">I16</f>
        <v>23.67</v>
      </c>
      <c r="P16" s="270">
        <f t="shared" ref="P16:P79" si="4">N16*O16</f>
        <v>11874.173850000001</v>
      </c>
    </row>
    <row r="17" spans="1:16" s="109" customFormat="1" ht="36" x14ac:dyDescent="0.2">
      <c r="A17" s="97"/>
      <c r="B17" s="116"/>
      <c r="C17" s="117" t="s">
        <v>76</v>
      </c>
      <c r="D17" s="117" t="s">
        <v>69</v>
      </c>
      <c r="E17" s="118" t="s">
        <v>74</v>
      </c>
      <c r="F17" s="119" t="s">
        <v>75</v>
      </c>
      <c r="G17" s="120" t="s">
        <v>72</v>
      </c>
      <c r="H17" s="121">
        <v>9.9990000000000006</v>
      </c>
      <c r="I17" s="122">
        <v>40.770000000000003</v>
      </c>
      <c r="J17" s="122">
        <v>407.66</v>
      </c>
      <c r="K17" s="272"/>
      <c r="L17" s="273">
        <f t="shared" si="0"/>
        <v>40.770000000000003</v>
      </c>
      <c r="M17" s="274">
        <f t="shared" si="1"/>
        <v>0</v>
      </c>
      <c r="N17" s="268">
        <f t="shared" si="2"/>
        <v>9.9990000000000006</v>
      </c>
      <c r="O17" s="269">
        <f t="shared" si="3"/>
        <v>40.770000000000003</v>
      </c>
      <c r="P17" s="270">
        <f t="shared" si="4"/>
        <v>407.65923000000004</v>
      </c>
    </row>
    <row r="18" spans="1:16" s="109" customFormat="1" ht="36" x14ac:dyDescent="0.2">
      <c r="A18" s="97"/>
      <c r="B18" s="116"/>
      <c r="C18" s="117" t="s">
        <v>73</v>
      </c>
      <c r="D18" s="117" t="s">
        <v>69</v>
      </c>
      <c r="E18" s="118" t="s">
        <v>314</v>
      </c>
      <c r="F18" s="119" t="s">
        <v>315</v>
      </c>
      <c r="G18" s="120" t="s">
        <v>72</v>
      </c>
      <c r="H18" s="121">
        <v>491.65600000000001</v>
      </c>
      <c r="I18" s="122">
        <v>519.33000000000004</v>
      </c>
      <c r="J18" s="122">
        <v>255331.71</v>
      </c>
      <c r="K18" s="272"/>
      <c r="L18" s="273">
        <f t="shared" si="0"/>
        <v>519.33000000000004</v>
      </c>
      <c r="M18" s="274">
        <f t="shared" si="1"/>
        <v>0</v>
      </c>
      <c r="N18" s="268">
        <f t="shared" si="2"/>
        <v>491.65600000000001</v>
      </c>
      <c r="O18" s="269">
        <f t="shared" si="3"/>
        <v>519.33000000000004</v>
      </c>
      <c r="P18" s="270">
        <f t="shared" si="4"/>
        <v>255331.71048000001</v>
      </c>
    </row>
    <row r="19" spans="1:16" s="109" customFormat="1" ht="24" x14ac:dyDescent="0.2">
      <c r="A19" s="97"/>
      <c r="B19" s="116"/>
      <c r="C19" s="117" t="s">
        <v>81</v>
      </c>
      <c r="D19" s="117" t="s">
        <v>69</v>
      </c>
      <c r="E19" s="118" t="s">
        <v>82</v>
      </c>
      <c r="F19" s="119" t="s">
        <v>83</v>
      </c>
      <c r="G19" s="120" t="s">
        <v>72</v>
      </c>
      <c r="H19" s="121">
        <v>6.875</v>
      </c>
      <c r="I19" s="122">
        <v>39.46</v>
      </c>
      <c r="J19" s="122">
        <v>271.29000000000002</v>
      </c>
      <c r="K19" s="272"/>
      <c r="L19" s="273">
        <f t="shared" si="0"/>
        <v>39.46</v>
      </c>
      <c r="M19" s="274">
        <f t="shared" si="1"/>
        <v>0</v>
      </c>
      <c r="N19" s="268">
        <f t="shared" si="2"/>
        <v>6.875</v>
      </c>
      <c r="O19" s="269">
        <f t="shared" si="3"/>
        <v>39.46</v>
      </c>
      <c r="P19" s="270">
        <f t="shared" si="4"/>
        <v>271.28750000000002</v>
      </c>
    </row>
    <row r="20" spans="1:16" s="109" customFormat="1" ht="36" x14ac:dyDescent="0.2">
      <c r="A20" s="97"/>
      <c r="B20" s="116"/>
      <c r="C20" s="117" t="s">
        <v>84</v>
      </c>
      <c r="D20" s="117" t="s">
        <v>69</v>
      </c>
      <c r="E20" s="118" t="s">
        <v>316</v>
      </c>
      <c r="F20" s="119" t="s">
        <v>317</v>
      </c>
      <c r="G20" s="120" t="s">
        <v>72</v>
      </c>
      <c r="H20" s="121">
        <v>491.65600000000001</v>
      </c>
      <c r="I20" s="122">
        <v>77.599999999999994</v>
      </c>
      <c r="J20" s="122">
        <v>38152.51</v>
      </c>
      <c r="K20" s="272"/>
      <c r="L20" s="273">
        <f t="shared" si="0"/>
        <v>77.599999999999994</v>
      </c>
      <c r="M20" s="274">
        <f t="shared" si="1"/>
        <v>0</v>
      </c>
      <c r="N20" s="268">
        <f t="shared" si="2"/>
        <v>491.65600000000001</v>
      </c>
      <c r="O20" s="269">
        <f t="shared" si="3"/>
        <v>77.599999999999994</v>
      </c>
      <c r="P20" s="270">
        <f t="shared" si="4"/>
        <v>38152.505599999997</v>
      </c>
    </row>
    <row r="21" spans="1:16" s="109" customFormat="1" ht="24" x14ac:dyDescent="0.2">
      <c r="A21" s="97"/>
      <c r="B21" s="116"/>
      <c r="C21" s="117" t="s">
        <v>87</v>
      </c>
      <c r="D21" s="117" t="s">
        <v>69</v>
      </c>
      <c r="E21" s="118" t="s">
        <v>85</v>
      </c>
      <c r="F21" s="119" t="s">
        <v>86</v>
      </c>
      <c r="G21" s="120" t="s">
        <v>72</v>
      </c>
      <c r="H21" s="121">
        <v>949.24099999999999</v>
      </c>
      <c r="I21" s="122">
        <v>55.24</v>
      </c>
      <c r="J21" s="122">
        <v>52436.07</v>
      </c>
      <c r="K21" s="272"/>
      <c r="L21" s="273">
        <f t="shared" si="0"/>
        <v>55.24</v>
      </c>
      <c r="M21" s="274">
        <f t="shared" si="1"/>
        <v>0</v>
      </c>
      <c r="N21" s="268">
        <f t="shared" si="2"/>
        <v>949.24099999999999</v>
      </c>
      <c r="O21" s="269">
        <f t="shared" si="3"/>
        <v>55.24</v>
      </c>
      <c r="P21" s="270">
        <f t="shared" si="4"/>
        <v>52436.072840000001</v>
      </c>
    </row>
    <row r="22" spans="1:16" s="109" customFormat="1" ht="48" x14ac:dyDescent="0.2">
      <c r="A22" s="97"/>
      <c r="B22" s="116"/>
      <c r="C22" s="117" t="s">
        <v>90</v>
      </c>
      <c r="D22" s="117" t="s">
        <v>69</v>
      </c>
      <c r="E22" s="118" t="s">
        <v>88</v>
      </c>
      <c r="F22" s="119" t="s">
        <v>89</v>
      </c>
      <c r="G22" s="120" t="s">
        <v>61</v>
      </c>
      <c r="H22" s="121">
        <v>14.3</v>
      </c>
      <c r="I22" s="122">
        <v>170.98</v>
      </c>
      <c r="J22" s="122">
        <v>2445.0100000000002</v>
      </c>
      <c r="K22" s="272">
        <v>-4.7600000000000003E-2</v>
      </c>
      <c r="L22" s="273">
        <f t="shared" si="0"/>
        <v>170.98</v>
      </c>
      <c r="M22" s="274">
        <f t="shared" si="1"/>
        <v>-8.1386479999999999</v>
      </c>
      <c r="N22" s="268">
        <f t="shared" si="2"/>
        <v>14.252400000000002</v>
      </c>
      <c r="O22" s="269">
        <f t="shared" si="3"/>
        <v>170.98</v>
      </c>
      <c r="P22" s="270">
        <f t="shared" si="4"/>
        <v>2436.875352</v>
      </c>
    </row>
    <row r="23" spans="1:16" s="109" customFormat="1" ht="48" x14ac:dyDescent="0.2">
      <c r="A23" s="97"/>
      <c r="B23" s="116"/>
      <c r="C23" s="117" t="s">
        <v>93</v>
      </c>
      <c r="D23" s="117" t="s">
        <v>69</v>
      </c>
      <c r="E23" s="118" t="s">
        <v>91</v>
      </c>
      <c r="F23" s="119" t="s">
        <v>92</v>
      </c>
      <c r="G23" s="120" t="s">
        <v>61</v>
      </c>
      <c r="H23" s="121">
        <v>3.3</v>
      </c>
      <c r="I23" s="122">
        <v>147.30000000000001</v>
      </c>
      <c r="J23" s="122">
        <v>486.09</v>
      </c>
      <c r="K23" s="272">
        <v>-1.0999999999999999E-2</v>
      </c>
      <c r="L23" s="273">
        <f t="shared" si="0"/>
        <v>147.30000000000001</v>
      </c>
      <c r="M23" s="274">
        <f t="shared" si="1"/>
        <v>-1.6203000000000001</v>
      </c>
      <c r="N23" s="268">
        <f t="shared" si="2"/>
        <v>3.2889999999999997</v>
      </c>
      <c r="O23" s="269">
        <f t="shared" si="3"/>
        <v>147.30000000000001</v>
      </c>
      <c r="P23" s="270">
        <f t="shared" si="4"/>
        <v>484.46969999999999</v>
      </c>
    </row>
    <row r="24" spans="1:16" s="109" customFormat="1" ht="24" x14ac:dyDescent="0.2">
      <c r="A24" s="97"/>
      <c r="B24" s="116"/>
      <c r="C24" s="117" t="s">
        <v>26</v>
      </c>
      <c r="D24" s="117" t="s">
        <v>69</v>
      </c>
      <c r="E24" s="118" t="s">
        <v>370</v>
      </c>
      <c r="F24" s="119" t="s">
        <v>371</v>
      </c>
      <c r="G24" s="120" t="s">
        <v>322</v>
      </c>
      <c r="H24" s="121">
        <v>2</v>
      </c>
      <c r="I24" s="122">
        <v>6576.1</v>
      </c>
      <c r="J24" s="122">
        <v>13152.2</v>
      </c>
      <c r="K24" s="272">
        <v>-6.7000000000000002E-3</v>
      </c>
      <c r="L24" s="273">
        <f t="shared" si="0"/>
        <v>6576.1</v>
      </c>
      <c r="M24" s="274">
        <f t="shared" si="1"/>
        <v>-44.059870000000004</v>
      </c>
      <c r="N24" s="268">
        <f t="shared" si="2"/>
        <v>1.9933000000000001</v>
      </c>
      <c r="O24" s="269">
        <f t="shared" si="3"/>
        <v>6576.1</v>
      </c>
      <c r="P24" s="270">
        <f t="shared" si="4"/>
        <v>13108.140130000002</v>
      </c>
    </row>
    <row r="25" spans="1:16" s="109" customFormat="1" ht="24" x14ac:dyDescent="0.2">
      <c r="A25" s="97"/>
      <c r="B25" s="116"/>
      <c r="C25" s="117" t="s">
        <v>28</v>
      </c>
      <c r="D25" s="117" t="s">
        <v>69</v>
      </c>
      <c r="E25" s="118" t="s">
        <v>94</v>
      </c>
      <c r="F25" s="119" t="s">
        <v>95</v>
      </c>
      <c r="G25" s="120" t="s">
        <v>62</v>
      </c>
      <c r="H25" s="121">
        <v>66.540000000000006</v>
      </c>
      <c r="I25" s="122">
        <v>257.77999999999997</v>
      </c>
      <c r="J25" s="122">
        <v>17152.68</v>
      </c>
      <c r="K25" s="272">
        <v>-0.2213</v>
      </c>
      <c r="L25" s="273">
        <f t="shared" si="0"/>
        <v>257.77999999999997</v>
      </c>
      <c r="M25" s="274">
        <f t="shared" si="1"/>
        <v>-57.046713999999994</v>
      </c>
      <c r="N25" s="268">
        <f t="shared" si="2"/>
        <v>66.318700000000007</v>
      </c>
      <c r="O25" s="269">
        <f t="shared" si="3"/>
        <v>257.77999999999997</v>
      </c>
      <c r="P25" s="270">
        <f t="shared" si="4"/>
        <v>17095.634485999999</v>
      </c>
    </row>
    <row r="26" spans="1:16" s="109" customFormat="1" ht="24" x14ac:dyDescent="0.2">
      <c r="A26" s="97"/>
      <c r="B26" s="116"/>
      <c r="C26" s="117" t="s">
        <v>30</v>
      </c>
      <c r="D26" s="117" t="s">
        <v>69</v>
      </c>
      <c r="E26" s="118" t="s">
        <v>96</v>
      </c>
      <c r="F26" s="119" t="s">
        <v>97</v>
      </c>
      <c r="G26" s="120" t="s">
        <v>62</v>
      </c>
      <c r="H26" s="121">
        <v>417.81</v>
      </c>
      <c r="I26" s="122">
        <v>234.11</v>
      </c>
      <c r="J26" s="122">
        <v>97813.5</v>
      </c>
      <c r="K26" s="272">
        <v>-1.3895</v>
      </c>
      <c r="L26" s="273">
        <f t="shared" si="0"/>
        <v>234.11</v>
      </c>
      <c r="M26" s="274">
        <f t="shared" si="1"/>
        <v>-325.29584499999999</v>
      </c>
      <c r="N26" s="268">
        <f t="shared" si="2"/>
        <v>416.4205</v>
      </c>
      <c r="O26" s="269">
        <f t="shared" si="3"/>
        <v>234.11</v>
      </c>
      <c r="P26" s="270">
        <f t="shared" si="4"/>
        <v>97488.203255</v>
      </c>
    </row>
    <row r="27" spans="1:16" s="109" customFormat="1" ht="24" x14ac:dyDescent="0.2">
      <c r="A27" s="97"/>
      <c r="B27" s="116"/>
      <c r="C27" s="117" t="s">
        <v>32</v>
      </c>
      <c r="D27" s="117" t="s">
        <v>69</v>
      </c>
      <c r="E27" s="118" t="s">
        <v>98</v>
      </c>
      <c r="F27" s="119" t="s">
        <v>99</v>
      </c>
      <c r="G27" s="120" t="s">
        <v>62</v>
      </c>
      <c r="H27" s="121">
        <v>593.80999999999995</v>
      </c>
      <c r="I27" s="122">
        <v>257.77999999999997</v>
      </c>
      <c r="J27" s="122">
        <v>153072.34</v>
      </c>
      <c r="K27" s="272">
        <v>-1.9748000000000001</v>
      </c>
      <c r="L27" s="273">
        <f t="shared" si="0"/>
        <v>257.77999999999997</v>
      </c>
      <c r="M27" s="274">
        <f t="shared" si="1"/>
        <v>-509.06394399999999</v>
      </c>
      <c r="N27" s="268">
        <f t="shared" si="2"/>
        <v>591.83519999999999</v>
      </c>
      <c r="O27" s="269">
        <f t="shared" si="3"/>
        <v>257.77999999999997</v>
      </c>
      <c r="P27" s="270">
        <f t="shared" si="4"/>
        <v>152563.27785599997</v>
      </c>
    </row>
    <row r="28" spans="1:16" s="109" customFormat="1" ht="24" x14ac:dyDescent="0.2">
      <c r="A28" s="97"/>
      <c r="B28" s="116"/>
      <c r="C28" s="117" t="s">
        <v>34</v>
      </c>
      <c r="D28" s="117" t="s">
        <v>69</v>
      </c>
      <c r="E28" s="118" t="s">
        <v>100</v>
      </c>
      <c r="F28" s="119" t="s">
        <v>101</v>
      </c>
      <c r="G28" s="120" t="s">
        <v>62</v>
      </c>
      <c r="H28" s="121">
        <v>198.12</v>
      </c>
      <c r="I28" s="122">
        <v>315.64999999999998</v>
      </c>
      <c r="J28" s="122">
        <v>62536.58</v>
      </c>
      <c r="K28" s="272">
        <v>-0.65890000000000004</v>
      </c>
      <c r="L28" s="273">
        <f t="shared" si="0"/>
        <v>315.64999999999998</v>
      </c>
      <c r="M28" s="274">
        <f t="shared" si="1"/>
        <v>-207.981785</v>
      </c>
      <c r="N28" s="268">
        <f t="shared" si="2"/>
        <v>197.46110000000002</v>
      </c>
      <c r="O28" s="269">
        <f t="shared" si="3"/>
        <v>315.64999999999998</v>
      </c>
      <c r="P28" s="270">
        <f t="shared" si="4"/>
        <v>62328.596214999998</v>
      </c>
    </row>
    <row r="29" spans="1:16" s="109" customFormat="1" ht="24" x14ac:dyDescent="0.2">
      <c r="A29" s="97"/>
      <c r="B29" s="116"/>
      <c r="C29" s="117" t="s">
        <v>1</v>
      </c>
      <c r="D29" s="117" t="s">
        <v>69</v>
      </c>
      <c r="E29" s="118" t="s">
        <v>102</v>
      </c>
      <c r="F29" s="119" t="s">
        <v>103</v>
      </c>
      <c r="G29" s="120" t="s">
        <v>72</v>
      </c>
      <c r="H29" s="121">
        <v>2480.56</v>
      </c>
      <c r="I29" s="122">
        <v>69.709999999999994</v>
      </c>
      <c r="J29" s="122">
        <v>172919.84</v>
      </c>
      <c r="K29" s="272">
        <v>-8.2493999999999996</v>
      </c>
      <c r="L29" s="273">
        <f t="shared" si="0"/>
        <v>69.709999999999994</v>
      </c>
      <c r="M29" s="274">
        <f t="shared" si="1"/>
        <v>-575.06567399999994</v>
      </c>
      <c r="N29" s="268">
        <f t="shared" si="2"/>
        <v>2472.3105999999998</v>
      </c>
      <c r="O29" s="269">
        <f t="shared" si="3"/>
        <v>69.709999999999994</v>
      </c>
      <c r="P29" s="270">
        <f t="shared" si="4"/>
        <v>172344.77192599996</v>
      </c>
    </row>
    <row r="30" spans="1:16" s="109" customFormat="1" ht="24" x14ac:dyDescent="0.2">
      <c r="A30" s="97"/>
      <c r="B30" s="116"/>
      <c r="C30" s="117" t="s">
        <v>37</v>
      </c>
      <c r="D30" s="117" t="s">
        <v>69</v>
      </c>
      <c r="E30" s="118" t="s">
        <v>104</v>
      </c>
      <c r="F30" s="119" t="s">
        <v>105</v>
      </c>
      <c r="G30" s="120" t="s">
        <v>72</v>
      </c>
      <c r="H30" s="121">
        <v>2480.56</v>
      </c>
      <c r="I30" s="122">
        <v>80.23</v>
      </c>
      <c r="J30" s="122">
        <v>199015.33</v>
      </c>
      <c r="K30" s="272">
        <v>-8.2493999999999996</v>
      </c>
      <c r="L30" s="273">
        <f t="shared" si="0"/>
        <v>80.23</v>
      </c>
      <c r="M30" s="274">
        <f t="shared" si="1"/>
        <v>-661.84936200000004</v>
      </c>
      <c r="N30" s="268">
        <f t="shared" si="2"/>
        <v>2472.3105999999998</v>
      </c>
      <c r="O30" s="269">
        <f t="shared" si="3"/>
        <v>80.23</v>
      </c>
      <c r="P30" s="270">
        <f t="shared" si="4"/>
        <v>198353.47943799998</v>
      </c>
    </row>
    <row r="31" spans="1:16" s="109" customFormat="1" ht="24" x14ac:dyDescent="0.2">
      <c r="A31" s="97"/>
      <c r="B31" s="116"/>
      <c r="C31" s="117" t="s">
        <v>39</v>
      </c>
      <c r="D31" s="117" t="s">
        <v>69</v>
      </c>
      <c r="E31" s="118" t="s">
        <v>106</v>
      </c>
      <c r="F31" s="119" t="s">
        <v>107</v>
      </c>
      <c r="G31" s="120" t="s">
        <v>62</v>
      </c>
      <c r="H31" s="121">
        <v>725.83799999999997</v>
      </c>
      <c r="I31" s="122">
        <v>13.15</v>
      </c>
      <c r="J31" s="122">
        <v>9544.77</v>
      </c>
      <c r="K31" s="272">
        <v>-2.4138999999999999</v>
      </c>
      <c r="L31" s="273">
        <f t="shared" si="0"/>
        <v>13.15</v>
      </c>
      <c r="M31" s="274">
        <f t="shared" si="1"/>
        <v>-31.742785000000001</v>
      </c>
      <c r="N31" s="268">
        <f t="shared" si="2"/>
        <v>723.42409999999995</v>
      </c>
      <c r="O31" s="269">
        <f t="shared" si="3"/>
        <v>13.15</v>
      </c>
      <c r="P31" s="270">
        <f t="shared" si="4"/>
        <v>9513.0269150000004</v>
      </c>
    </row>
    <row r="32" spans="1:16" s="109" customFormat="1" ht="24" x14ac:dyDescent="0.2">
      <c r="A32" s="97"/>
      <c r="B32" s="116"/>
      <c r="C32" s="117" t="s">
        <v>41</v>
      </c>
      <c r="D32" s="117" t="s">
        <v>69</v>
      </c>
      <c r="E32" s="118" t="s">
        <v>108</v>
      </c>
      <c r="F32" s="119" t="s">
        <v>109</v>
      </c>
      <c r="G32" s="120" t="s">
        <v>62</v>
      </c>
      <c r="H32" s="121">
        <v>1996.77</v>
      </c>
      <c r="I32" s="122">
        <v>186.38</v>
      </c>
      <c r="J32" s="122">
        <v>372157.99</v>
      </c>
      <c r="K32" s="272">
        <v>-6.6405000000000003</v>
      </c>
      <c r="L32" s="273">
        <f t="shared" si="0"/>
        <v>186.38</v>
      </c>
      <c r="M32" s="274">
        <f t="shared" si="1"/>
        <v>-1237.6563900000001</v>
      </c>
      <c r="N32" s="268">
        <f t="shared" si="2"/>
        <v>1990.1295</v>
      </c>
      <c r="O32" s="269">
        <f t="shared" si="3"/>
        <v>186.38</v>
      </c>
      <c r="P32" s="270">
        <f t="shared" si="4"/>
        <v>370920.33620999998</v>
      </c>
    </row>
    <row r="33" spans="1:27" s="109" customFormat="1" ht="24" x14ac:dyDescent="0.2">
      <c r="A33" s="97"/>
      <c r="B33" s="116"/>
      <c r="C33" s="117" t="s">
        <v>114</v>
      </c>
      <c r="D33" s="117" t="s">
        <v>69</v>
      </c>
      <c r="E33" s="118" t="s">
        <v>110</v>
      </c>
      <c r="F33" s="119" t="s">
        <v>111</v>
      </c>
      <c r="G33" s="120" t="s">
        <v>62</v>
      </c>
      <c r="H33" s="121">
        <v>1209.73</v>
      </c>
      <c r="I33" s="122">
        <v>44.72</v>
      </c>
      <c r="J33" s="122">
        <v>54099.13</v>
      </c>
      <c r="K33" s="272">
        <v>-4.0231000000000003</v>
      </c>
      <c r="L33" s="273">
        <f t="shared" si="0"/>
        <v>44.72</v>
      </c>
      <c r="M33" s="274">
        <f t="shared" si="1"/>
        <v>-179.91303200000002</v>
      </c>
      <c r="N33" s="268">
        <f t="shared" si="2"/>
        <v>1205.7068999999999</v>
      </c>
      <c r="O33" s="269">
        <f t="shared" si="3"/>
        <v>44.72</v>
      </c>
      <c r="P33" s="270">
        <f t="shared" si="4"/>
        <v>53919.212567999995</v>
      </c>
      <c r="Y33" s="148" t="s">
        <v>1085</v>
      </c>
      <c r="Z33" s="109" t="s">
        <v>1100</v>
      </c>
      <c r="AA33" s="177"/>
    </row>
    <row r="34" spans="1:27" s="109" customFormat="1" ht="24" x14ac:dyDescent="0.2">
      <c r="A34" s="97"/>
      <c r="B34" s="116"/>
      <c r="C34" s="117" t="s">
        <v>117</v>
      </c>
      <c r="D34" s="117" t="s">
        <v>69</v>
      </c>
      <c r="E34" s="118" t="s">
        <v>112</v>
      </c>
      <c r="F34" s="119" t="s">
        <v>113</v>
      </c>
      <c r="G34" s="120" t="s">
        <v>62</v>
      </c>
      <c r="H34" s="121">
        <v>417.7</v>
      </c>
      <c r="I34" s="122">
        <v>247.39</v>
      </c>
      <c r="J34" s="122">
        <v>103334.8</v>
      </c>
      <c r="K34" s="272">
        <v>-1.3891</v>
      </c>
      <c r="L34" s="273">
        <f t="shared" si="0"/>
        <v>247.39</v>
      </c>
      <c r="M34" s="274">
        <f t="shared" si="1"/>
        <v>-343.649449</v>
      </c>
      <c r="N34" s="268">
        <f t="shared" si="2"/>
        <v>416.3109</v>
      </c>
      <c r="O34" s="269">
        <f t="shared" si="3"/>
        <v>247.39</v>
      </c>
      <c r="P34" s="270">
        <f t="shared" si="4"/>
        <v>102991.153551</v>
      </c>
      <c r="Y34" s="148" t="s">
        <v>1085</v>
      </c>
      <c r="Z34" s="109" t="s">
        <v>1100</v>
      </c>
      <c r="AA34" s="177"/>
    </row>
    <row r="35" spans="1:27" s="109" customFormat="1" ht="12" x14ac:dyDescent="0.2">
      <c r="A35" s="97"/>
      <c r="B35" s="116"/>
      <c r="C35" s="117" t="s">
        <v>0</v>
      </c>
      <c r="D35" s="117" t="s">
        <v>69</v>
      </c>
      <c r="E35" s="118" t="s">
        <v>115</v>
      </c>
      <c r="F35" s="119" t="s">
        <v>116</v>
      </c>
      <c r="G35" s="120" t="s">
        <v>62</v>
      </c>
      <c r="H35" s="121">
        <v>417.7</v>
      </c>
      <c r="I35" s="122">
        <v>11.84</v>
      </c>
      <c r="J35" s="122">
        <v>4945.57</v>
      </c>
      <c r="K35" s="272">
        <v>-1.3891</v>
      </c>
      <c r="L35" s="273">
        <f t="shared" si="0"/>
        <v>11.84</v>
      </c>
      <c r="M35" s="274">
        <f t="shared" si="1"/>
        <v>-16.446943999999998</v>
      </c>
      <c r="N35" s="268">
        <f t="shared" si="2"/>
        <v>416.3109</v>
      </c>
      <c r="O35" s="269">
        <f t="shared" si="3"/>
        <v>11.84</v>
      </c>
      <c r="P35" s="270">
        <f t="shared" si="4"/>
        <v>4929.121056</v>
      </c>
      <c r="Y35" s="148" t="s">
        <v>1085</v>
      </c>
      <c r="Z35" s="109" t="s">
        <v>1100</v>
      </c>
      <c r="AA35" s="177"/>
    </row>
    <row r="36" spans="1:27" s="109" customFormat="1" ht="24" x14ac:dyDescent="0.2">
      <c r="A36" s="97"/>
      <c r="B36" s="116"/>
      <c r="C36" s="117" t="s">
        <v>123</v>
      </c>
      <c r="D36" s="117" t="s">
        <v>69</v>
      </c>
      <c r="E36" s="118" t="s">
        <v>118</v>
      </c>
      <c r="F36" s="119" t="s">
        <v>119</v>
      </c>
      <c r="G36" s="120" t="s">
        <v>120</v>
      </c>
      <c r="H36" s="121">
        <v>667.548</v>
      </c>
      <c r="I36" s="122">
        <v>116</v>
      </c>
      <c r="J36" s="122">
        <v>77435.570000000007</v>
      </c>
      <c r="K36" s="272">
        <v>-2.2200000000000002</v>
      </c>
      <c r="L36" s="273">
        <f t="shared" si="0"/>
        <v>116</v>
      </c>
      <c r="M36" s="274">
        <f t="shared" si="1"/>
        <v>-257.52000000000004</v>
      </c>
      <c r="N36" s="268">
        <f t="shared" si="2"/>
        <v>665.32799999999997</v>
      </c>
      <c r="O36" s="269">
        <f t="shared" si="3"/>
        <v>116</v>
      </c>
      <c r="P36" s="270">
        <f t="shared" si="4"/>
        <v>77178.047999999995</v>
      </c>
      <c r="U36" s="148" t="s">
        <v>1062</v>
      </c>
      <c r="W36" s="148" t="s">
        <v>1078</v>
      </c>
      <c r="Y36" s="148" t="s">
        <v>1062</v>
      </c>
      <c r="Z36" s="109" t="s">
        <v>1100</v>
      </c>
      <c r="AA36" s="177"/>
    </row>
    <row r="37" spans="1:27" s="109" customFormat="1" ht="24" x14ac:dyDescent="0.2">
      <c r="A37" s="97"/>
      <c r="B37" s="116"/>
      <c r="C37" s="117" t="s">
        <v>126</v>
      </c>
      <c r="D37" s="117" t="s">
        <v>69</v>
      </c>
      <c r="E37" s="118" t="s">
        <v>121</v>
      </c>
      <c r="F37" s="119" t="s">
        <v>122</v>
      </c>
      <c r="G37" s="120" t="s">
        <v>62</v>
      </c>
      <c r="H37" s="121">
        <v>787.04</v>
      </c>
      <c r="I37" s="122">
        <v>286.72000000000003</v>
      </c>
      <c r="J37" s="122">
        <v>225660.11</v>
      </c>
      <c r="K37" s="272">
        <v>-2.6173999999999999</v>
      </c>
      <c r="L37" s="273">
        <f t="shared" si="0"/>
        <v>286.72000000000003</v>
      </c>
      <c r="M37" s="274">
        <f t="shared" si="1"/>
        <v>-750.46092800000008</v>
      </c>
      <c r="N37" s="268">
        <f t="shared" si="2"/>
        <v>784.42259999999999</v>
      </c>
      <c r="O37" s="269">
        <f t="shared" si="3"/>
        <v>286.72000000000003</v>
      </c>
      <c r="P37" s="270">
        <f t="shared" si="4"/>
        <v>224909.64787200003</v>
      </c>
      <c r="U37" s="152"/>
    </row>
    <row r="38" spans="1:27" s="109" customFormat="1" ht="36" x14ac:dyDescent="0.2">
      <c r="A38" s="97"/>
      <c r="B38" s="116"/>
      <c r="C38" s="117" t="s">
        <v>131</v>
      </c>
      <c r="D38" s="117" t="s">
        <v>69</v>
      </c>
      <c r="E38" s="118" t="s">
        <v>124</v>
      </c>
      <c r="F38" s="119" t="s">
        <v>125</v>
      </c>
      <c r="G38" s="120" t="s">
        <v>62</v>
      </c>
      <c r="H38" s="121">
        <v>278.7</v>
      </c>
      <c r="I38" s="122">
        <v>318.27999999999997</v>
      </c>
      <c r="J38" s="122">
        <v>88704.639999999999</v>
      </c>
      <c r="K38" s="272">
        <v>-0.92689999999999995</v>
      </c>
      <c r="L38" s="273">
        <f t="shared" si="0"/>
        <v>318.27999999999997</v>
      </c>
      <c r="M38" s="274">
        <f t="shared" si="1"/>
        <v>-295.01373199999995</v>
      </c>
      <c r="N38" s="268">
        <f t="shared" si="2"/>
        <v>277.7731</v>
      </c>
      <c r="O38" s="269">
        <f t="shared" si="3"/>
        <v>318.27999999999997</v>
      </c>
      <c r="P38" s="270">
        <f t="shared" si="4"/>
        <v>88409.622267999992</v>
      </c>
      <c r="U38" s="152"/>
    </row>
    <row r="39" spans="1:27" s="109" customFormat="1" ht="12" x14ac:dyDescent="0.2">
      <c r="A39" s="97"/>
      <c r="B39" s="116"/>
      <c r="C39" s="123" t="s">
        <v>135</v>
      </c>
      <c r="D39" s="123" t="s">
        <v>127</v>
      </c>
      <c r="E39" s="124" t="s">
        <v>128</v>
      </c>
      <c r="F39" s="125" t="s">
        <v>129</v>
      </c>
      <c r="G39" s="126" t="s">
        <v>120</v>
      </c>
      <c r="H39" s="127">
        <v>501.66</v>
      </c>
      <c r="I39" s="128">
        <v>190.76</v>
      </c>
      <c r="J39" s="128">
        <v>95696.66</v>
      </c>
      <c r="K39" s="272">
        <v>-1.6682999999999999</v>
      </c>
      <c r="L39" s="273">
        <f t="shared" si="0"/>
        <v>190.76</v>
      </c>
      <c r="M39" s="274">
        <f t="shared" si="1"/>
        <v>-318.24490799999995</v>
      </c>
      <c r="N39" s="268">
        <f t="shared" si="2"/>
        <v>499.99170000000004</v>
      </c>
      <c r="O39" s="269">
        <f t="shared" si="3"/>
        <v>190.76</v>
      </c>
      <c r="P39" s="270">
        <f t="shared" si="4"/>
        <v>95378.416691999999</v>
      </c>
    </row>
    <row r="40" spans="1:27" s="110" customFormat="1" ht="12.75" x14ac:dyDescent="0.2">
      <c r="C40" s="245"/>
      <c r="D40" s="246" t="s">
        <v>3</v>
      </c>
      <c r="E40" s="247" t="s">
        <v>76</v>
      </c>
      <c r="F40" s="247" t="s">
        <v>130</v>
      </c>
      <c r="G40" s="245"/>
      <c r="H40" s="245"/>
      <c r="I40" s="245"/>
      <c r="J40" s="248">
        <v>16214.44</v>
      </c>
      <c r="K40" s="249"/>
      <c r="L40" s="275"/>
      <c r="M40" s="276">
        <f>M41</f>
        <v>-53.923200000000001</v>
      </c>
      <c r="N40" s="242"/>
      <c r="O40" s="243"/>
      <c r="P40" s="244">
        <f>P41</f>
        <v>16160.52</v>
      </c>
    </row>
    <row r="41" spans="1:27" s="109" customFormat="1" ht="12" x14ac:dyDescent="0.2">
      <c r="A41" s="97"/>
      <c r="B41" s="116"/>
      <c r="C41" s="117" t="s">
        <v>139</v>
      </c>
      <c r="D41" s="117" t="s">
        <v>69</v>
      </c>
      <c r="E41" s="118" t="s">
        <v>132</v>
      </c>
      <c r="F41" s="119" t="s">
        <v>133</v>
      </c>
      <c r="G41" s="120" t="s">
        <v>61</v>
      </c>
      <c r="H41" s="121">
        <v>493.14</v>
      </c>
      <c r="I41" s="122">
        <v>32.880000000000003</v>
      </c>
      <c r="J41" s="122">
        <v>16214.44</v>
      </c>
      <c r="K41" s="272">
        <v>-1.64</v>
      </c>
      <c r="L41" s="273">
        <f t="shared" si="0"/>
        <v>32.880000000000003</v>
      </c>
      <c r="M41" s="274">
        <f t="shared" si="1"/>
        <v>-53.923200000000001</v>
      </c>
      <c r="N41" s="268">
        <f t="shared" si="2"/>
        <v>491.5</v>
      </c>
      <c r="O41" s="269">
        <f t="shared" si="3"/>
        <v>32.880000000000003</v>
      </c>
      <c r="P41" s="270">
        <f t="shared" si="4"/>
        <v>16160.52</v>
      </c>
    </row>
    <row r="42" spans="1:27" s="110" customFormat="1" ht="12.75" x14ac:dyDescent="0.2">
      <c r="C42" s="245"/>
      <c r="D42" s="246" t="s">
        <v>3</v>
      </c>
      <c r="E42" s="247" t="s">
        <v>73</v>
      </c>
      <c r="F42" s="247" t="s">
        <v>134</v>
      </c>
      <c r="G42" s="245"/>
      <c r="H42" s="245"/>
      <c r="I42" s="245"/>
      <c r="J42" s="248">
        <v>11074.21</v>
      </c>
      <c r="K42" s="249"/>
      <c r="L42" s="275"/>
      <c r="M42" s="276">
        <f>SUM(M43:M48)</f>
        <v>0</v>
      </c>
      <c r="N42" s="242"/>
      <c r="O42" s="243"/>
      <c r="P42" s="276">
        <f>SUM(P43:P48)</f>
        <v>11074.21</v>
      </c>
    </row>
    <row r="43" spans="1:27" s="109" customFormat="1" ht="12" x14ac:dyDescent="0.2">
      <c r="A43" s="97"/>
      <c r="B43" s="116"/>
      <c r="C43" s="117" t="s">
        <v>142</v>
      </c>
      <c r="D43" s="117" t="s">
        <v>69</v>
      </c>
      <c r="E43" s="118" t="s">
        <v>136</v>
      </c>
      <c r="F43" s="119" t="s">
        <v>137</v>
      </c>
      <c r="G43" s="120" t="s">
        <v>138</v>
      </c>
      <c r="H43" s="121">
        <v>21</v>
      </c>
      <c r="I43" s="122">
        <v>122.32</v>
      </c>
      <c r="J43" s="122">
        <v>2568.7199999999998</v>
      </c>
      <c r="K43" s="272"/>
      <c r="L43" s="273">
        <f t="shared" si="0"/>
        <v>122.32</v>
      </c>
      <c r="M43" s="274">
        <f t="shared" si="1"/>
        <v>0</v>
      </c>
      <c r="N43" s="268">
        <f t="shared" si="2"/>
        <v>21</v>
      </c>
      <c r="O43" s="269">
        <f t="shared" si="3"/>
        <v>122.32</v>
      </c>
      <c r="P43" s="270">
        <f t="shared" si="4"/>
        <v>2568.7199999999998</v>
      </c>
    </row>
    <row r="44" spans="1:27" s="109" customFormat="1" ht="12" x14ac:dyDescent="0.2">
      <c r="A44" s="97"/>
      <c r="B44" s="116"/>
      <c r="C44" s="123" t="s">
        <v>145</v>
      </c>
      <c r="D44" s="123" t="s">
        <v>127</v>
      </c>
      <c r="E44" s="124" t="s">
        <v>140</v>
      </c>
      <c r="F44" s="125" t="s">
        <v>141</v>
      </c>
      <c r="G44" s="126" t="s">
        <v>138</v>
      </c>
      <c r="H44" s="127">
        <v>1</v>
      </c>
      <c r="I44" s="128">
        <v>270.94</v>
      </c>
      <c r="J44" s="128">
        <v>270.94</v>
      </c>
      <c r="K44" s="272"/>
      <c r="L44" s="273">
        <f t="shared" si="0"/>
        <v>270.94</v>
      </c>
      <c r="M44" s="274">
        <f t="shared" si="1"/>
        <v>0</v>
      </c>
      <c r="N44" s="268">
        <f t="shared" si="2"/>
        <v>1</v>
      </c>
      <c r="O44" s="269">
        <f t="shared" si="3"/>
        <v>270.94</v>
      </c>
      <c r="P44" s="270">
        <f t="shared" si="4"/>
        <v>270.94</v>
      </c>
    </row>
    <row r="45" spans="1:27" s="109" customFormat="1" ht="12" x14ac:dyDescent="0.2">
      <c r="A45" s="97"/>
      <c r="B45" s="116"/>
      <c r="C45" s="123" t="s">
        <v>148</v>
      </c>
      <c r="D45" s="123" t="s">
        <v>127</v>
      </c>
      <c r="E45" s="124" t="s">
        <v>143</v>
      </c>
      <c r="F45" s="125" t="s">
        <v>144</v>
      </c>
      <c r="G45" s="126" t="s">
        <v>138</v>
      </c>
      <c r="H45" s="127">
        <v>10</v>
      </c>
      <c r="I45" s="128">
        <v>313.02</v>
      </c>
      <c r="J45" s="128">
        <v>3130.2</v>
      </c>
      <c r="K45" s="272"/>
      <c r="L45" s="273">
        <f t="shared" si="0"/>
        <v>313.02</v>
      </c>
      <c r="M45" s="274">
        <f t="shared" si="1"/>
        <v>0</v>
      </c>
      <c r="N45" s="268">
        <f t="shared" si="2"/>
        <v>10</v>
      </c>
      <c r="O45" s="269">
        <f t="shared" si="3"/>
        <v>313.02</v>
      </c>
      <c r="P45" s="270">
        <f t="shared" si="4"/>
        <v>3130.2</v>
      </c>
    </row>
    <row r="46" spans="1:27" s="109" customFormat="1" ht="12" x14ac:dyDescent="0.2">
      <c r="A46" s="97"/>
      <c r="B46" s="116"/>
      <c r="C46" s="123" t="s">
        <v>151</v>
      </c>
      <c r="D46" s="123" t="s">
        <v>127</v>
      </c>
      <c r="E46" s="124" t="s">
        <v>146</v>
      </c>
      <c r="F46" s="125" t="s">
        <v>147</v>
      </c>
      <c r="G46" s="126" t="s">
        <v>138</v>
      </c>
      <c r="H46" s="127">
        <v>10</v>
      </c>
      <c r="I46" s="128">
        <v>345.9</v>
      </c>
      <c r="J46" s="128">
        <v>3459</v>
      </c>
      <c r="K46" s="272"/>
      <c r="L46" s="273">
        <f t="shared" si="0"/>
        <v>345.9</v>
      </c>
      <c r="M46" s="274">
        <f t="shared" si="1"/>
        <v>0</v>
      </c>
      <c r="N46" s="268">
        <f t="shared" si="2"/>
        <v>10</v>
      </c>
      <c r="O46" s="269">
        <f t="shared" si="3"/>
        <v>345.9</v>
      </c>
      <c r="P46" s="270">
        <f t="shared" si="4"/>
        <v>3459</v>
      </c>
    </row>
    <row r="47" spans="1:27" s="109" customFormat="1" ht="12" x14ac:dyDescent="0.2">
      <c r="A47" s="97"/>
      <c r="B47" s="116"/>
      <c r="C47" s="117" t="s">
        <v>155</v>
      </c>
      <c r="D47" s="117" t="s">
        <v>69</v>
      </c>
      <c r="E47" s="118" t="s">
        <v>149</v>
      </c>
      <c r="F47" s="119" t="s">
        <v>150</v>
      </c>
      <c r="G47" s="120" t="s">
        <v>138</v>
      </c>
      <c r="H47" s="121">
        <v>3</v>
      </c>
      <c r="I47" s="122">
        <v>152.57</v>
      </c>
      <c r="J47" s="122">
        <v>457.71</v>
      </c>
      <c r="K47" s="272"/>
      <c r="L47" s="273">
        <f t="shared" si="0"/>
        <v>152.57</v>
      </c>
      <c r="M47" s="274">
        <f t="shared" si="1"/>
        <v>0</v>
      </c>
      <c r="N47" s="268">
        <f t="shared" si="2"/>
        <v>3</v>
      </c>
      <c r="O47" s="269">
        <f t="shared" si="3"/>
        <v>152.57</v>
      </c>
      <c r="P47" s="270">
        <f t="shared" si="4"/>
        <v>457.71</v>
      </c>
    </row>
    <row r="48" spans="1:27" s="109" customFormat="1" ht="12" x14ac:dyDescent="0.2">
      <c r="A48" s="97"/>
      <c r="B48" s="116"/>
      <c r="C48" s="123" t="s">
        <v>158</v>
      </c>
      <c r="D48" s="123" t="s">
        <v>127</v>
      </c>
      <c r="E48" s="124" t="s">
        <v>152</v>
      </c>
      <c r="F48" s="125" t="s">
        <v>153</v>
      </c>
      <c r="G48" s="126" t="s">
        <v>138</v>
      </c>
      <c r="H48" s="127">
        <v>3</v>
      </c>
      <c r="I48" s="128">
        <v>395.88</v>
      </c>
      <c r="J48" s="128">
        <v>1187.6400000000001</v>
      </c>
      <c r="K48" s="272"/>
      <c r="L48" s="273">
        <f t="shared" si="0"/>
        <v>395.88</v>
      </c>
      <c r="M48" s="274">
        <f t="shared" si="1"/>
        <v>0</v>
      </c>
      <c r="N48" s="268">
        <f t="shared" si="2"/>
        <v>3</v>
      </c>
      <c r="O48" s="269">
        <f t="shared" si="3"/>
        <v>395.88</v>
      </c>
      <c r="P48" s="270">
        <f t="shared" si="4"/>
        <v>1187.6399999999999</v>
      </c>
    </row>
    <row r="49" spans="1:23" s="110" customFormat="1" ht="12.75" x14ac:dyDescent="0.2">
      <c r="C49" s="245"/>
      <c r="D49" s="246" t="s">
        <v>3</v>
      </c>
      <c r="E49" s="247" t="s">
        <v>81</v>
      </c>
      <c r="F49" s="247" t="s">
        <v>154</v>
      </c>
      <c r="G49" s="245"/>
      <c r="H49" s="245"/>
      <c r="I49" s="245"/>
      <c r="J49" s="248">
        <v>1062817.8</v>
      </c>
      <c r="K49" s="249"/>
      <c r="L49" s="275"/>
      <c r="M49" s="276">
        <f>SUM(M50:M59)</f>
        <v>0</v>
      </c>
      <c r="N49" s="242"/>
      <c r="O49" s="243"/>
      <c r="P49" s="276">
        <f>SUM(P50:P59)</f>
        <v>1062817.8154799999</v>
      </c>
      <c r="Q49" s="179" t="s">
        <v>1015</v>
      </c>
    </row>
    <row r="50" spans="1:23" s="109" customFormat="1" ht="24" x14ac:dyDescent="0.2">
      <c r="A50" s="97"/>
      <c r="B50" s="116"/>
      <c r="C50" s="117" t="s">
        <v>161</v>
      </c>
      <c r="D50" s="117" t="s">
        <v>69</v>
      </c>
      <c r="E50" s="118" t="s">
        <v>156</v>
      </c>
      <c r="F50" s="119" t="s">
        <v>157</v>
      </c>
      <c r="G50" s="120" t="s">
        <v>72</v>
      </c>
      <c r="H50" s="121">
        <v>6.875</v>
      </c>
      <c r="I50" s="122">
        <v>319.88</v>
      </c>
      <c r="J50" s="122">
        <v>2199.1799999999998</v>
      </c>
      <c r="K50" s="272"/>
      <c r="L50" s="273">
        <f t="shared" si="0"/>
        <v>319.88</v>
      </c>
      <c r="M50" s="274">
        <f t="shared" si="1"/>
        <v>0</v>
      </c>
      <c r="N50" s="268">
        <f t="shared" si="2"/>
        <v>6.875</v>
      </c>
      <c r="O50" s="269">
        <f t="shared" si="3"/>
        <v>319.88</v>
      </c>
      <c r="P50" s="270">
        <f t="shared" si="4"/>
        <v>2199.1750000000002</v>
      </c>
      <c r="Q50" s="148"/>
    </row>
    <row r="51" spans="1:23" s="109" customFormat="1" ht="24" x14ac:dyDescent="0.2">
      <c r="A51" s="97"/>
      <c r="B51" s="116"/>
      <c r="C51" s="117" t="s">
        <v>164</v>
      </c>
      <c r="D51" s="117" t="s">
        <v>69</v>
      </c>
      <c r="E51" s="118" t="s">
        <v>159</v>
      </c>
      <c r="F51" s="119" t="s">
        <v>160</v>
      </c>
      <c r="G51" s="120" t="s">
        <v>72</v>
      </c>
      <c r="H51" s="121">
        <v>44.246000000000002</v>
      </c>
      <c r="I51" s="122">
        <v>251.97</v>
      </c>
      <c r="J51" s="122">
        <v>11148.66</v>
      </c>
      <c r="K51" s="272"/>
      <c r="L51" s="273">
        <f t="shared" si="0"/>
        <v>251.97</v>
      </c>
      <c r="M51" s="274">
        <f t="shared" si="1"/>
        <v>0</v>
      </c>
      <c r="N51" s="268">
        <f t="shared" si="2"/>
        <v>44.246000000000002</v>
      </c>
      <c r="O51" s="269">
        <f t="shared" si="3"/>
        <v>251.97</v>
      </c>
      <c r="P51" s="270">
        <f t="shared" si="4"/>
        <v>11148.664620000001</v>
      </c>
      <c r="Q51" s="148"/>
    </row>
    <row r="52" spans="1:23" s="109" customFormat="1" ht="12" x14ac:dyDescent="0.2">
      <c r="A52" s="97"/>
      <c r="B52" s="116"/>
      <c r="C52" s="117" t="s">
        <v>167</v>
      </c>
      <c r="D52" s="117" t="s">
        <v>69</v>
      </c>
      <c r="E52" s="118" t="s">
        <v>162</v>
      </c>
      <c r="F52" s="119" t="s">
        <v>163</v>
      </c>
      <c r="G52" s="120" t="s">
        <v>72</v>
      </c>
      <c r="H52" s="121">
        <v>501.65499999999997</v>
      </c>
      <c r="I52" s="122">
        <v>155.66999999999999</v>
      </c>
      <c r="J52" s="122">
        <v>78092.63</v>
      </c>
      <c r="K52" s="272"/>
      <c r="L52" s="273">
        <f t="shared" si="0"/>
        <v>155.66999999999999</v>
      </c>
      <c r="M52" s="274">
        <f t="shared" si="1"/>
        <v>0</v>
      </c>
      <c r="N52" s="268">
        <f t="shared" si="2"/>
        <v>501.65499999999997</v>
      </c>
      <c r="O52" s="269">
        <f t="shared" si="3"/>
        <v>155.66999999999999</v>
      </c>
      <c r="P52" s="270">
        <f t="shared" si="4"/>
        <v>78092.633849999984</v>
      </c>
      <c r="Q52" s="148"/>
      <c r="S52" s="151"/>
    </row>
    <row r="53" spans="1:23" s="109" customFormat="1" ht="24" x14ac:dyDescent="0.2">
      <c r="A53" s="97"/>
      <c r="B53" s="116"/>
      <c r="C53" s="117" t="s">
        <v>170</v>
      </c>
      <c r="D53" s="117" t="s">
        <v>69</v>
      </c>
      <c r="E53" s="118" t="s">
        <v>325</v>
      </c>
      <c r="F53" s="119" t="s">
        <v>326</v>
      </c>
      <c r="G53" s="120" t="s">
        <v>72</v>
      </c>
      <c r="H53" s="121">
        <v>491.65600000000001</v>
      </c>
      <c r="I53" s="122">
        <v>420.19</v>
      </c>
      <c r="J53" s="122">
        <v>206588.93</v>
      </c>
      <c r="K53" s="272"/>
      <c r="L53" s="273">
        <f t="shared" si="0"/>
        <v>420.19</v>
      </c>
      <c r="M53" s="274">
        <f t="shared" si="1"/>
        <v>0</v>
      </c>
      <c r="N53" s="268">
        <f t="shared" si="2"/>
        <v>491.65600000000001</v>
      </c>
      <c r="O53" s="269">
        <f t="shared" si="3"/>
        <v>420.19</v>
      </c>
      <c r="P53" s="270">
        <f t="shared" si="4"/>
        <v>206588.93463999999</v>
      </c>
      <c r="Q53" s="148"/>
    </row>
    <row r="54" spans="1:23" s="109" customFormat="1" ht="24" x14ac:dyDescent="0.2">
      <c r="A54" s="97"/>
      <c r="B54" s="116"/>
      <c r="C54" s="117" t="s">
        <v>173</v>
      </c>
      <c r="D54" s="117" t="s">
        <v>69</v>
      </c>
      <c r="E54" s="118" t="s">
        <v>327</v>
      </c>
      <c r="F54" s="119" t="s">
        <v>328</v>
      </c>
      <c r="G54" s="120" t="s">
        <v>72</v>
      </c>
      <c r="H54" s="121">
        <v>494.78</v>
      </c>
      <c r="I54" s="122">
        <v>315.11</v>
      </c>
      <c r="J54" s="122">
        <v>155910.13</v>
      </c>
      <c r="K54" s="272"/>
      <c r="L54" s="273">
        <f t="shared" si="0"/>
        <v>315.11</v>
      </c>
      <c r="M54" s="274">
        <f t="shared" si="1"/>
        <v>0</v>
      </c>
      <c r="N54" s="268">
        <f t="shared" si="2"/>
        <v>494.78</v>
      </c>
      <c r="O54" s="269">
        <f t="shared" si="3"/>
        <v>315.11</v>
      </c>
      <c r="P54" s="270">
        <f t="shared" si="4"/>
        <v>155910.12580000001</v>
      </c>
      <c r="Q54" s="178" t="s">
        <v>1014</v>
      </c>
    </row>
    <row r="55" spans="1:23" s="109" customFormat="1" ht="22.5" x14ac:dyDescent="0.2">
      <c r="A55" s="97"/>
      <c r="B55" s="116"/>
      <c r="C55" s="117" t="s">
        <v>176</v>
      </c>
      <c r="D55" s="117" t="s">
        <v>69</v>
      </c>
      <c r="E55" s="118" t="s">
        <v>168</v>
      </c>
      <c r="F55" s="119" t="s">
        <v>169</v>
      </c>
      <c r="G55" s="120" t="s">
        <v>72</v>
      </c>
      <c r="H55" s="121">
        <v>949.24099999999999</v>
      </c>
      <c r="I55" s="122">
        <v>18.04</v>
      </c>
      <c r="J55" s="122">
        <v>17124.310000000001</v>
      </c>
      <c r="K55" s="272"/>
      <c r="L55" s="273">
        <f t="shared" si="0"/>
        <v>18.04</v>
      </c>
      <c r="M55" s="274">
        <f t="shared" si="1"/>
        <v>0</v>
      </c>
      <c r="N55" s="268">
        <f t="shared" si="2"/>
        <v>949.24099999999999</v>
      </c>
      <c r="O55" s="269">
        <f t="shared" si="3"/>
        <v>18.04</v>
      </c>
      <c r="P55" s="270">
        <f t="shared" si="4"/>
        <v>17124.307639999999</v>
      </c>
      <c r="Q55" s="148"/>
      <c r="R55" s="150" t="s">
        <v>1023</v>
      </c>
      <c r="S55" s="148" t="s">
        <v>1036</v>
      </c>
      <c r="T55" s="109" t="s">
        <v>1054</v>
      </c>
    </row>
    <row r="56" spans="1:23" s="109" customFormat="1" ht="24" x14ac:dyDescent="0.2">
      <c r="A56" s="97"/>
      <c r="B56" s="116"/>
      <c r="C56" s="117" t="s">
        <v>179</v>
      </c>
      <c r="D56" s="117" t="s">
        <v>69</v>
      </c>
      <c r="E56" s="118" t="s">
        <v>171</v>
      </c>
      <c r="F56" s="119" t="s">
        <v>172</v>
      </c>
      <c r="G56" s="120" t="s">
        <v>72</v>
      </c>
      <c r="H56" s="121">
        <v>10.625</v>
      </c>
      <c r="I56" s="122">
        <v>396.71</v>
      </c>
      <c r="J56" s="122">
        <v>4215.04</v>
      </c>
      <c r="K56" s="272"/>
      <c r="L56" s="273">
        <f t="shared" si="0"/>
        <v>396.71</v>
      </c>
      <c r="M56" s="274">
        <f t="shared" si="1"/>
        <v>0</v>
      </c>
      <c r="N56" s="268">
        <f t="shared" si="2"/>
        <v>10.625</v>
      </c>
      <c r="O56" s="269">
        <f t="shared" si="3"/>
        <v>396.71</v>
      </c>
      <c r="P56" s="270">
        <f t="shared" si="4"/>
        <v>4215.0437499999998</v>
      </c>
      <c r="Q56" s="148"/>
    </row>
    <row r="57" spans="1:23" s="109" customFormat="1" ht="24" x14ac:dyDescent="0.2">
      <c r="A57" s="97"/>
      <c r="B57" s="116"/>
      <c r="C57" s="117" t="s">
        <v>183</v>
      </c>
      <c r="D57" s="117" t="s">
        <v>69</v>
      </c>
      <c r="E57" s="118" t="s">
        <v>329</v>
      </c>
      <c r="F57" s="119" t="s">
        <v>330</v>
      </c>
      <c r="G57" s="120" t="s">
        <v>72</v>
      </c>
      <c r="H57" s="121">
        <v>938.61599999999999</v>
      </c>
      <c r="I57" s="122">
        <v>396.71</v>
      </c>
      <c r="J57" s="122">
        <v>372358.35</v>
      </c>
      <c r="K57" s="272"/>
      <c r="L57" s="273">
        <f t="shared" si="0"/>
        <v>396.71</v>
      </c>
      <c r="M57" s="274">
        <f t="shared" si="1"/>
        <v>0</v>
      </c>
      <c r="N57" s="268">
        <f t="shared" si="2"/>
        <v>938.61599999999999</v>
      </c>
      <c r="O57" s="269">
        <f t="shared" si="3"/>
        <v>396.71</v>
      </c>
      <c r="P57" s="270">
        <f t="shared" si="4"/>
        <v>372358.35335999995</v>
      </c>
      <c r="Q57" s="148"/>
      <c r="R57" s="150" t="s">
        <v>1023</v>
      </c>
      <c r="S57" s="148" t="s">
        <v>1036</v>
      </c>
    </row>
    <row r="58" spans="1:23" s="109" customFormat="1" ht="24" x14ac:dyDescent="0.2">
      <c r="A58" s="97"/>
      <c r="B58" s="116"/>
      <c r="C58" s="117" t="s">
        <v>186</v>
      </c>
      <c r="D58" s="117" t="s">
        <v>69</v>
      </c>
      <c r="E58" s="118" t="s">
        <v>174</v>
      </c>
      <c r="F58" s="119" t="s">
        <v>175</v>
      </c>
      <c r="G58" s="120" t="s">
        <v>72</v>
      </c>
      <c r="H58" s="121">
        <v>6.875</v>
      </c>
      <c r="I58" s="122">
        <v>443.02</v>
      </c>
      <c r="J58" s="122">
        <v>3045.76</v>
      </c>
      <c r="K58" s="272"/>
      <c r="L58" s="273">
        <f t="shared" si="0"/>
        <v>443.02</v>
      </c>
      <c r="M58" s="274">
        <f t="shared" si="1"/>
        <v>0</v>
      </c>
      <c r="N58" s="268">
        <f t="shared" si="2"/>
        <v>6.875</v>
      </c>
      <c r="O58" s="269">
        <f t="shared" si="3"/>
        <v>443.02</v>
      </c>
      <c r="P58" s="270">
        <f t="shared" si="4"/>
        <v>3045.7624999999998</v>
      </c>
      <c r="Q58" s="148"/>
    </row>
    <row r="59" spans="1:23" s="109" customFormat="1" ht="24" x14ac:dyDescent="0.2">
      <c r="A59" s="97"/>
      <c r="B59" s="116"/>
      <c r="C59" s="117" t="s">
        <v>189</v>
      </c>
      <c r="D59" s="117" t="s">
        <v>69</v>
      </c>
      <c r="E59" s="118" t="s">
        <v>331</v>
      </c>
      <c r="F59" s="119" t="s">
        <v>332</v>
      </c>
      <c r="G59" s="120" t="s">
        <v>72</v>
      </c>
      <c r="H59" s="121">
        <v>491.65600000000001</v>
      </c>
      <c r="I59" s="122">
        <v>431.47</v>
      </c>
      <c r="J59" s="122">
        <v>212134.81</v>
      </c>
      <c r="K59" s="272"/>
      <c r="L59" s="273">
        <f t="shared" si="0"/>
        <v>431.47</v>
      </c>
      <c r="M59" s="274">
        <f t="shared" si="1"/>
        <v>0</v>
      </c>
      <c r="N59" s="268">
        <f t="shared" si="2"/>
        <v>491.65600000000001</v>
      </c>
      <c r="O59" s="269">
        <f t="shared" si="3"/>
        <v>431.47</v>
      </c>
      <c r="P59" s="270">
        <f t="shared" si="4"/>
        <v>212134.81432</v>
      </c>
      <c r="Q59" s="148"/>
      <c r="R59" s="150" t="s">
        <v>1023</v>
      </c>
      <c r="S59" s="148" t="s">
        <v>1036</v>
      </c>
      <c r="T59" s="109" t="s">
        <v>1055</v>
      </c>
    </row>
    <row r="60" spans="1:23" s="110" customFormat="1" ht="12.75" x14ac:dyDescent="0.2">
      <c r="C60" s="245"/>
      <c r="D60" s="246" t="s">
        <v>3</v>
      </c>
      <c r="E60" s="247" t="s">
        <v>90</v>
      </c>
      <c r="F60" s="247" t="s">
        <v>182</v>
      </c>
      <c r="G60" s="245"/>
      <c r="H60" s="245"/>
      <c r="I60" s="245"/>
      <c r="J60" s="248">
        <v>1590376.01</v>
      </c>
      <c r="K60" s="249"/>
      <c r="L60" s="275"/>
      <c r="M60" s="276">
        <f>SUM(M61:M79)</f>
        <v>-3469.7599180000002</v>
      </c>
      <c r="N60" s="242"/>
      <c r="O60" s="243"/>
      <c r="P60" s="276">
        <f>SUM(P61:P79)</f>
        <v>1586906.2492719998</v>
      </c>
    </row>
    <row r="61" spans="1:23" s="109" customFormat="1" ht="33.75" x14ac:dyDescent="0.2">
      <c r="A61" s="97"/>
      <c r="B61" s="116"/>
      <c r="C61" s="117" t="s">
        <v>192</v>
      </c>
      <c r="D61" s="117" t="s">
        <v>69</v>
      </c>
      <c r="E61" s="118" t="s">
        <v>184</v>
      </c>
      <c r="F61" s="119" t="s">
        <v>185</v>
      </c>
      <c r="G61" s="120" t="s">
        <v>61</v>
      </c>
      <c r="H61" s="121">
        <v>493.14</v>
      </c>
      <c r="I61" s="122">
        <v>552.39</v>
      </c>
      <c r="J61" s="122">
        <v>272405.59999999998</v>
      </c>
      <c r="K61" s="272">
        <v>-1.64</v>
      </c>
      <c r="L61" s="273">
        <f t="shared" si="0"/>
        <v>552.39</v>
      </c>
      <c r="M61" s="274">
        <f t="shared" si="1"/>
        <v>-905.91959999999995</v>
      </c>
      <c r="N61" s="268">
        <f t="shared" si="2"/>
        <v>491.5</v>
      </c>
      <c r="O61" s="269">
        <f t="shared" si="3"/>
        <v>552.39</v>
      </c>
      <c r="P61" s="270">
        <f t="shared" si="4"/>
        <v>271499.685</v>
      </c>
      <c r="U61" s="150" t="s">
        <v>1061</v>
      </c>
    </row>
    <row r="62" spans="1:23" s="109" customFormat="1" ht="33.75" x14ac:dyDescent="0.2">
      <c r="A62" s="97"/>
      <c r="B62" s="116"/>
      <c r="C62" s="123" t="s">
        <v>195</v>
      </c>
      <c r="D62" s="123" t="s">
        <v>127</v>
      </c>
      <c r="E62" s="124" t="s">
        <v>187</v>
      </c>
      <c r="F62" s="125" t="s">
        <v>188</v>
      </c>
      <c r="G62" s="126" t="s">
        <v>61</v>
      </c>
      <c r="H62" s="127">
        <v>500.53699999999998</v>
      </c>
      <c r="I62" s="128">
        <v>1060.07</v>
      </c>
      <c r="J62" s="128">
        <v>530604.26</v>
      </c>
      <c r="K62" s="272">
        <v>-1.6646000000000001</v>
      </c>
      <c r="L62" s="273">
        <f t="shared" si="0"/>
        <v>1060.07</v>
      </c>
      <c r="M62" s="274">
        <f t="shared" si="1"/>
        <v>-1764.5925219999999</v>
      </c>
      <c r="N62" s="268">
        <f t="shared" si="2"/>
        <v>498.87239999999997</v>
      </c>
      <c r="O62" s="269">
        <f t="shared" si="3"/>
        <v>1060.07</v>
      </c>
      <c r="P62" s="270">
        <f t="shared" si="4"/>
        <v>528839.66506799997</v>
      </c>
      <c r="U62" s="150" t="s">
        <v>1061</v>
      </c>
      <c r="V62" s="109" t="s">
        <v>1074</v>
      </c>
      <c r="W62" s="148" t="s">
        <v>1003</v>
      </c>
    </row>
    <row r="63" spans="1:23" s="109" customFormat="1" ht="24" x14ac:dyDescent="0.2">
      <c r="A63" s="97"/>
      <c r="B63" s="116"/>
      <c r="C63" s="117" t="s">
        <v>198</v>
      </c>
      <c r="D63" s="117" t="s">
        <v>69</v>
      </c>
      <c r="E63" s="118" t="s">
        <v>202</v>
      </c>
      <c r="F63" s="119" t="s">
        <v>203</v>
      </c>
      <c r="G63" s="120" t="s">
        <v>138</v>
      </c>
      <c r="H63" s="121">
        <v>9</v>
      </c>
      <c r="I63" s="122">
        <v>260.41000000000003</v>
      </c>
      <c r="J63" s="122">
        <v>2343.69</v>
      </c>
      <c r="K63" s="272"/>
      <c r="L63" s="273">
        <f t="shared" si="0"/>
        <v>260.41000000000003</v>
      </c>
      <c r="M63" s="274">
        <f t="shared" si="1"/>
        <v>0</v>
      </c>
      <c r="N63" s="268">
        <f t="shared" si="2"/>
        <v>9</v>
      </c>
      <c r="O63" s="269">
        <f t="shared" si="3"/>
        <v>260.41000000000003</v>
      </c>
      <c r="P63" s="270">
        <f t="shared" si="4"/>
        <v>2343.69</v>
      </c>
    </row>
    <row r="64" spans="1:23" s="109" customFormat="1" ht="12" x14ac:dyDescent="0.2">
      <c r="A64" s="97"/>
      <c r="B64" s="116"/>
      <c r="C64" s="123" t="s">
        <v>201</v>
      </c>
      <c r="D64" s="123" t="s">
        <v>127</v>
      </c>
      <c r="E64" s="124" t="s">
        <v>205</v>
      </c>
      <c r="F64" s="125" t="s">
        <v>206</v>
      </c>
      <c r="G64" s="126" t="s">
        <v>138</v>
      </c>
      <c r="H64" s="127">
        <v>9</v>
      </c>
      <c r="I64" s="128">
        <v>1801.85</v>
      </c>
      <c r="J64" s="128">
        <v>16216.65</v>
      </c>
      <c r="K64" s="272"/>
      <c r="L64" s="273">
        <f t="shared" si="0"/>
        <v>1801.85</v>
      </c>
      <c r="M64" s="274">
        <f t="shared" si="1"/>
        <v>0</v>
      </c>
      <c r="N64" s="268">
        <f t="shared" si="2"/>
        <v>9</v>
      </c>
      <c r="O64" s="269">
        <f t="shared" si="3"/>
        <v>1801.85</v>
      </c>
      <c r="P64" s="270">
        <f t="shared" si="4"/>
        <v>16216.65</v>
      </c>
    </row>
    <row r="65" spans="1:16" s="109" customFormat="1" ht="12" x14ac:dyDescent="0.2">
      <c r="A65" s="97"/>
      <c r="B65" s="116"/>
      <c r="C65" s="117" t="s">
        <v>204</v>
      </c>
      <c r="D65" s="117" t="s">
        <v>69</v>
      </c>
      <c r="E65" s="118" t="s">
        <v>211</v>
      </c>
      <c r="F65" s="119" t="s">
        <v>212</v>
      </c>
      <c r="G65" s="120" t="s">
        <v>213</v>
      </c>
      <c r="H65" s="121">
        <v>10</v>
      </c>
      <c r="I65" s="122">
        <v>2564.6799999999998</v>
      </c>
      <c r="J65" s="122">
        <v>25646.799999999999</v>
      </c>
      <c r="K65" s="272">
        <v>-3.3300000000000003E-2</v>
      </c>
      <c r="L65" s="273">
        <f t="shared" si="0"/>
        <v>2564.6799999999998</v>
      </c>
      <c r="M65" s="274">
        <f t="shared" si="1"/>
        <v>-85.403844000000007</v>
      </c>
      <c r="N65" s="268">
        <f t="shared" si="2"/>
        <v>9.9666999999999994</v>
      </c>
      <c r="O65" s="269">
        <f t="shared" si="3"/>
        <v>2564.6799999999998</v>
      </c>
      <c r="P65" s="270">
        <f t="shared" si="4"/>
        <v>25561.396155999995</v>
      </c>
    </row>
    <row r="66" spans="1:16" s="109" customFormat="1" ht="24" x14ac:dyDescent="0.2">
      <c r="A66" s="97"/>
      <c r="B66" s="116"/>
      <c r="C66" s="117" t="s">
        <v>207</v>
      </c>
      <c r="D66" s="117" t="s">
        <v>69</v>
      </c>
      <c r="E66" s="118" t="s">
        <v>239</v>
      </c>
      <c r="F66" s="119" t="s">
        <v>240</v>
      </c>
      <c r="G66" s="120" t="s">
        <v>138</v>
      </c>
      <c r="H66" s="121">
        <v>15</v>
      </c>
      <c r="I66" s="122">
        <v>5935.59</v>
      </c>
      <c r="J66" s="122">
        <v>89033.85</v>
      </c>
      <c r="K66" s="272"/>
      <c r="L66" s="273">
        <f t="shared" si="0"/>
        <v>5935.59</v>
      </c>
      <c r="M66" s="274">
        <f t="shared" si="1"/>
        <v>0</v>
      </c>
      <c r="N66" s="268">
        <f t="shared" si="2"/>
        <v>15</v>
      </c>
      <c r="O66" s="269">
        <f t="shared" si="3"/>
        <v>5935.59</v>
      </c>
      <c r="P66" s="270">
        <f t="shared" si="4"/>
        <v>89033.85</v>
      </c>
    </row>
    <row r="67" spans="1:16" s="109" customFormat="1" ht="12" x14ac:dyDescent="0.2">
      <c r="A67" s="97"/>
      <c r="B67" s="116"/>
      <c r="C67" s="117" t="s">
        <v>210</v>
      </c>
      <c r="D67" s="117" t="s">
        <v>69</v>
      </c>
      <c r="E67" s="118" t="s">
        <v>215</v>
      </c>
      <c r="F67" s="119" t="s">
        <v>216</v>
      </c>
      <c r="G67" s="120" t="s">
        <v>138</v>
      </c>
      <c r="H67" s="121">
        <v>25</v>
      </c>
      <c r="I67" s="122">
        <v>2016.23</v>
      </c>
      <c r="J67" s="122">
        <v>50405.75</v>
      </c>
      <c r="K67" s="272"/>
      <c r="L67" s="273">
        <f t="shared" si="0"/>
        <v>2016.23</v>
      </c>
      <c r="M67" s="274">
        <f t="shared" si="1"/>
        <v>0</v>
      </c>
      <c r="N67" s="268">
        <f t="shared" si="2"/>
        <v>25</v>
      </c>
      <c r="O67" s="269">
        <f t="shared" si="3"/>
        <v>2016.23</v>
      </c>
      <c r="P67" s="270">
        <f t="shared" si="4"/>
        <v>50405.75</v>
      </c>
    </row>
    <row r="68" spans="1:16" s="109" customFormat="1" ht="24" x14ac:dyDescent="0.2">
      <c r="A68" s="97"/>
      <c r="B68" s="116"/>
      <c r="C68" s="123" t="s">
        <v>214</v>
      </c>
      <c r="D68" s="123" t="s">
        <v>127</v>
      </c>
      <c r="E68" s="124" t="s">
        <v>218</v>
      </c>
      <c r="F68" s="125" t="s">
        <v>219</v>
      </c>
      <c r="G68" s="126" t="s">
        <v>138</v>
      </c>
      <c r="H68" s="127">
        <v>15</v>
      </c>
      <c r="I68" s="128">
        <v>14898.16</v>
      </c>
      <c r="J68" s="128">
        <v>223472.4</v>
      </c>
      <c r="K68" s="272"/>
      <c r="L68" s="273">
        <f t="shared" si="0"/>
        <v>14898.16</v>
      </c>
      <c r="M68" s="274">
        <f t="shared" si="1"/>
        <v>0</v>
      </c>
      <c r="N68" s="268">
        <f t="shared" si="2"/>
        <v>15</v>
      </c>
      <c r="O68" s="269">
        <f t="shared" si="3"/>
        <v>14898.16</v>
      </c>
      <c r="P68" s="270">
        <f t="shared" si="4"/>
        <v>223472.4</v>
      </c>
    </row>
    <row r="69" spans="1:16" s="109" customFormat="1" ht="12" x14ac:dyDescent="0.2">
      <c r="A69" s="97"/>
      <c r="B69" s="116"/>
      <c r="C69" s="123" t="s">
        <v>217</v>
      </c>
      <c r="D69" s="123" t="s">
        <v>127</v>
      </c>
      <c r="E69" s="124" t="s">
        <v>224</v>
      </c>
      <c r="F69" s="125" t="s">
        <v>225</v>
      </c>
      <c r="G69" s="126" t="s">
        <v>138</v>
      </c>
      <c r="H69" s="127">
        <v>15</v>
      </c>
      <c r="I69" s="128">
        <v>1530.92</v>
      </c>
      <c r="J69" s="128">
        <v>22963.8</v>
      </c>
      <c r="K69" s="272"/>
      <c r="L69" s="273">
        <f t="shared" si="0"/>
        <v>1530.92</v>
      </c>
      <c r="M69" s="274">
        <f t="shared" si="1"/>
        <v>0</v>
      </c>
      <c r="N69" s="268">
        <f t="shared" si="2"/>
        <v>15</v>
      </c>
      <c r="O69" s="269">
        <f t="shared" si="3"/>
        <v>1530.92</v>
      </c>
      <c r="P69" s="270">
        <f t="shared" si="4"/>
        <v>22963.800000000003</v>
      </c>
    </row>
    <row r="70" spans="1:16" s="109" customFormat="1" ht="12" x14ac:dyDescent="0.2">
      <c r="A70" s="97"/>
      <c r="B70" s="116"/>
      <c r="C70" s="123" t="s">
        <v>220</v>
      </c>
      <c r="D70" s="123" t="s">
        <v>127</v>
      </c>
      <c r="E70" s="124" t="s">
        <v>227</v>
      </c>
      <c r="F70" s="125" t="s">
        <v>228</v>
      </c>
      <c r="G70" s="126" t="s">
        <v>138</v>
      </c>
      <c r="H70" s="127">
        <v>5</v>
      </c>
      <c r="I70" s="128">
        <v>775.98</v>
      </c>
      <c r="J70" s="128">
        <v>3879.9</v>
      </c>
      <c r="K70" s="272"/>
      <c r="L70" s="273">
        <f t="shared" si="0"/>
        <v>775.98</v>
      </c>
      <c r="M70" s="274">
        <f t="shared" si="1"/>
        <v>0</v>
      </c>
      <c r="N70" s="268">
        <f t="shared" si="2"/>
        <v>5</v>
      </c>
      <c r="O70" s="269">
        <f t="shared" si="3"/>
        <v>775.98</v>
      </c>
      <c r="P70" s="270">
        <f t="shared" si="4"/>
        <v>3879.9</v>
      </c>
    </row>
    <row r="71" spans="1:16" s="109" customFormat="1" ht="12" x14ac:dyDescent="0.2">
      <c r="A71" s="97"/>
      <c r="B71" s="116"/>
      <c r="C71" s="123" t="s">
        <v>223</v>
      </c>
      <c r="D71" s="123" t="s">
        <v>127</v>
      </c>
      <c r="E71" s="124" t="s">
        <v>230</v>
      </c>
      <c r="F71" s="125" t="s">
        <v>231</v>
      </c>
      <c r="G71" s="126" t="s">
        <v>138</v>
      </c>
      <c r="H71" s="127">
        <v>13</v>
      </c>
      <c r="I71" s="128">
        <v>1202.1099999999999</v>
      </c>
      <c r="J71" s="128">
        <v>15627.43</v>
      </c>
      <c r="K71" s="272"/>
      <c r="L71" s="273">
        <f t="shared" si="0"/>
        <v>1202.1099999999999</v>
      </c>
      <c r="M71" s="274">
        <f t="shared" si="1"/>
        <v>0</v>
      </c>
      <c r="N71" s="268">
        <f t="shared" si="2"/>
        <v>13</v>
      </c>
      <c r="O71" s="269">
        <f t="shared" si="3"/>
        <v>1202.1099999999999</v>
      </c>
      <c r="P71" s="270">
        <f t="shared" si="4"/>
        <v>15627.429999999998</v>
      </c>
    </row>
    <row r="72" spans="1:16" s="109" customFormat="1" ht="12" x14ac:dyDescent="0.2">
      <c r="A72" s="97"/>
      <c r="B72" s="116"/>
      <c r="C72" s="123" t="s">
        <v>226</v>
      </c>
      <c r="D72" s="123" t="s">
        <v>127</v>
      </c>
      <c r="E72" s="124" t="s">
        <v>233</v>
      </c>
      <c r="F72" s="125" t="s">
        <v>310</v>
      </c>
      <c r="G72" s="126" t="s">
        <v>138</v>
      </c>
      <c r="H72" s="127">
        <v>4</v>
      </c>
      <c r="I72" s="128">
        <v>2648.85</v>
      </c>
      <c r="J72" s="128">
        <v>10595.4</v>
      </c>
      <c r="K72" s="272"/>
      <c r="L72" s="273">
        <f t="shared" si="0"/>
        <v>2648.85</v>
      </c>
      <c r="M72" s="274">
        <f t="shared" si="1"/>
        <v>0</v>
      </c>
      <c r="N72" s="268">
        <f t="shared" si="2"/>
        <v>4</v>
      </c>
      <c r="O72" s="269">
        <f t="shared" si="3"/>
        <v>2648.85</v>
      </c>
      <c r="P72" s="270">
        <f t="shared" si="4"/>
        <v>10595.4</v>
      </c>
    </row>
    <row r="73" spans="1:16" s="109" customFormat="1" ht="12" x14ac:dyDescent="0.2">
      <c r="A73" s="97"/>
      <c r="B73" s="116"/>
      <c r="C73" s="123" t="s">
        <v>229</v>
      </c>
      <c r="D73" s="123" t="s">
        <v>127</v>
      </c>
      <c r="E73" s="124" t="s">
        <v>236</v>
      </c>
      <c r="F73" s="125" t="s">
        <v>237</v>
      </c>
      <c r="G73" s="126" t="s">
        <v>138</v>
      </c>
      <c r="H73" s="127">
        <v>36</v>
      </c>
      <c r="I73" s="128">
        <v>211.75</v>
      </c>
      <c r="J73" s="128">
        <v>7623</v>
      </c>
      <c r="K73" s="272"/>
      <c r="L73" s="273">
        <f t="shared" si="0"/>
        <v>211.75</v>
      </c>
      <c r="M73" s="274">
        <f t="shared" si="1"/>
        <v>0</v>
      </c>
      <c r="N73" s="268">
        <f t="shared" si="2"/>
        <v>36</v>
      </c>
      <c r="O73" s="269">
        <f t="shared" si="3"/>
        <v>211.75</v>
      </c>
      <c r="P73" s="270">
        <f t="shared" si="4"/>
        <v>7623</v>
      </c>
    </row>
    <row r="74" spans="1:16" s="109" customFormat="1" ht="12" x14ac:dyDescent="0.2">
      <c r="A74" s="97"/>
      <c r="B74" s="116"/>
      <c r="C74" s="117" t="s">
        <v>232</v>
      </c>
      <c r="D74" s="117" t="s">
        <v>69</v>
      </c>
      <c r="E74" s="118" t="s">
        <v>242</v>
      </c>
      <c r="F74" s="119" t="s">
        <v>243</v>
      </c>
      <c r="G74" s="120" t="s">
        <v>138</v>
      </c>
      <c r="H74" s="121">
        <v>15</v>
      </c>
      <c r="I74" s="122">
        <v>485.32</v>
      </c>
      <c r="J74" s="122">
        <v>7279.8</v>
      </c>
      <c r="K74" s="272"/>
      <c r="L74" s="273">
        <f t="shared" si="0"/>
        <v>485.32</v>
      </c>
      <c r="M74" s="274">
        <f t="shared" si="1"/>
        <v>0</v>
      </c>
      <c r="N74" s="268">
        <f t="shared" si="2"/>
        <v>15</v>
      </c>
      <c r="O74" s="269">
        <f t="shared" si="3"/>
        <v>485.32</v>
      </c>
      <c r="P74" s="270">
        <f t="shared" si="4"/>
        <v>7279.8</v>
      </c>
    </row>
    <row r="75" spans="1:16" s="109" customFormat="1" ht="12" x14ac:dyDescent="0.2">
      <c r="A75" s="97"/>
      <c r="B75" s="116"/>
      <c r="C75" s="123" t="s">
        <v>235</v>
      </c>
      <c r="D75" s="123" t="s">
        <v>127</v>
      </c>
      <c r="E75" s="124" t="s">
        <v>245</v>
      </c>
      <c r="F75" s="125" t="s">
        <v>246</v>
      </c>
      <c r="G75" s="126" t="s">
        <v>138</v>
      </c>
      <c r="H75" s="127">
        <v>13</v>
      </c>
      <c r="I75" s="128">
        <v>6510.34</v>
      </c>
      <c r="J75" s="128">
        <v>84634.42</v>
      </c>
      <c r="K75" s="272"/>
      <c r="L75" s="273">
        <f t="shared" si="0"/>
        <v>6510.34</v>
      </c>
      <c r="M75" s="274">
        <f t="shared" si="1"/>
        <v>0</v>
      </c>
      <c r="N75" s="268">
        <f t="shared" si="2"/>
        <v>13</v>
      </c>
      <c r="O75" s="269">
        <f t="shared" si="3"/>
        <v>6510.34</v>
      </c>
      <c r="P75" s="270">
        <f t="shared" si="4"/>
        <v>84634.42</v>
      </c>
    </row>
    <row r="76" spans="1:16" s="109" customFormat="1" ht="12" x14ac:dyDescent="0.2">
      <c r="A76" s="97"/>
      <c r="B76" s="116"/>
      <c r="C76" s="123" t="s">
        <v>238</v>
      </c>
      <c r="D76" s="123" t="s">
        <v>127</v>
      </c>
      <c r="E76" s="124" t="s">
        <v>248</v>
      </c>
      <c r="F76" s="125" t="s">
        <v>249</v>
      </c>
      <c r="G76" s="126" t="s">
        <v>138</v>
      </c>
      <c r="H76" s="127">
        <v>1</v>
      </c>
      <c r="I76" s="128">
        <v>6510.34</v>
      </c>
      <c r="J76" s="128">
        <v>6510.34</v>
      </c>
      <c r="K76" s="272"/>
      <c r="L76" s="273">
        <f t="shared" si="0"/>
        <v>6510.34</v>
      </c>
      <c r="M76" s="274">
        <f t="shared" si="1"/>
        <v>0</v>
      </c>
      <c r="N76" s="268">
        <f t="shared" si="2"/>
        <v>1</v>
      </c>
      <c r="O76" s="269">
        <f t="shared" si="3"/>
        <v>6510.34</v>
      </c>
      <c r="P76" s="270">
        <f t="shared" si="4"/>
        <v>6510.34</v>
      </c>
    </row>
    <row r="77" spans="1:16" s="109" customFormat="1" ht="12" x14ac:dyDescent="0.2">
      <c r="A77" s="97"/>
      <c r="B77" s="116"/>
      <c r="C77" s="123" t="s">
        <v>241</v>
      </c>
      <c r="D77" s="123" t="s">
        <v>127</v>
      </c>
      <c r="E77" s="124" t="s">
        <v>251</v>
      </c>
      <c r="F77" s="125" t="s">
        <v>252</v>
      </c>
      <c r="G77" s="126" t="s">
        <v>138</v>
      </c>
      <c r="H77" s="127">
        <v>1</v>
      </c>
      <c r="I77" s="128">
        <v>6510.34</v>
      </c>
      <c r="J77" s="128">
        <v>6510.34</v>
      </c>
      <c r="K77" s="272"/>
      <c r="L77" s="273">
        <f t="shared" si="0"/>
        <v>6510.34</v>
      </c>
      <c r="M77" s="274">
        <f t="shared" si="1"/>
        <v>0</v>
      </c>
      <c r="N77" s="268">
        <f t="shared" si="2"/>
        <v>1</v>
      </c>
      <c r="O77" s="269">
        <f t="shared" si="3"/>
        <v>6510.34</v>
      </c>
      <c r="P77" s="270">
        <f t="shared" si="4"/>
        <v>6510.34</v>
      </c>
    </row>
    <row r="78" spans="1:16" s="109" customFormat="1" ht="12" x14ac:dyDescent="0.2">
      <c r="A78" s="97"/>
      <c r="B78" s="116"/>
      <c r="C78" s="117" t="s">
        <v>244</v>
      </c>
      <c r="D78" s="117" t="s">
        <v>69</v>
      </c>
      <c r="E78" s="118" t="s">
        <v>254</v>
      </c>
      <c r="F78" s="119" t="s">
        <v>255</v>
      </c>
      <c r="G78" s="120" t="s">
        <v>62</v>
      </c>
      <c r="H78" s="121">
        <v>68.67</v>
      </c>
      <c r="I78" s="122">
        <v>3059.28</v>
      </c>
      <c r="J78" s="122">
        <v>210080.76</v>
      </c>
      <c r="K78" s="272">
        <v>-0.22839999999999999</v>
      </c>
      <c r="L78" s="273">
        <f t="shared" si="0"/>
        <v>3059.28</v>
      </c>
      <c r="M78" s="274">
        <f t="shared" si="1"/>
        <v>-698.739552</v>
      </c>
      <c r="N78" s="268">
        <f t="shared" si="2"/>
        <v>68.441600000000008</v>
      </c>
      <c r="O78" s="269">
        <f t="shared" si="3"/>
        <v>3059.28</v>
      </c>
      <c r="P78" s="270">
        <f t="shared" si="4"/>
        <v>209382.01804800003</v>
      </c>
    </row>
    <row r="79" spans="1:16" s="109" customFormat="1" ht="12" x14ac:dyDescent="0.2">
      <c r="A79" s="97"/>
      <c r="B79" s="116"/>
      <c r="C79" s="117" t="s">
        <v>247</v>
      </c>
      <c r="D79" s="117" t="s">
        <v>69</v>
      </c>
      <c r="E79" s="118" t="s">
        <v>266</v>
      </c>
      <c r="F79" s="119" t="s">
        <v>267</v>
      </c>
      <c r="G79" s="120" t="s">
        <v>61</v>
      </c>
      <c r="H79" s="121">
        <v>493.14</v>
      </c>
      <c r="I79" s="122">
        <v>9.2100000000000009</v>
      </c>
      <c r="J79" s="122">
        <v>4541.82</v>
      </c>
      <c r="K79" s="272">
        <v>-1.64</v>
      </c>
      <c r="L79" s="273">
        <f t="shared" si="0"/>
        <v>9.2100000000000009</v>
      </c>
      <c r="M79" s="274">
        <f t="shared" si="1"/>
        <v>-15.1044</v>
      </c>
      <c r="N79" s="268">
        <f t="shared" si="2"/>
        <v>491.5</v>
      </c>
      <c r="O79" s="269">
        <f t="shared" si="3"/>
        <v>9.2100000000000009</v>
      </c>
      <c r="P79" s="270">
        <f t="shared" si="4"/>
        <v>4526.7150000000001</v>
      </c>
    </row>
    <row r="80" spans="1:16" s="110" customFormat="1" ht="12.75" x14ac:dyDescent="0.2">
      <c r="C80" s="245"/>
      <c r="D80" s="246" t="s">
        <v>3</v>
      </c>
      <c r="E80" s="247" t="s">
        <v>93</v>
      </c>
      <c r="F80" s="247" t="s">
        <v>268</v>
      </c>
      <c r="G80" s="245"/>
      <c r="H80" s="245"/>
      <c r="I80" s="245"/>
      <c r="J80" s="248">
        <v>140824.12</v>
      </c>
      <c r="K80" s="249"/>
      <c r="L80" s="275"/>
      <c r="M80" s="276">
        <f>SUM(M81:M86)</f>
        <v>0</v>
      </c>
      <c r="N80" s="242"/>
      <c r="O80" s="243"/>
      <c r="P80" s="276">
        <f>SUM(P81:P86)</f>
        <v>140824.1214</v>
      </c>
    </row>
    <row r="81" spans="1:28" s="109" customFormat="1" ht="24" x14ac:dyDescent="0.2">
      <c r="A81" s="97"/>
      <c r="B81" s="116"/>
      <c r="C81" s="117" t="s">
        <v>250</v>
      </c>
      <c r="D81" s="117" t="s">
        <v>69</v>
      </c>
      <c r="E81" s="118" t="s">
        <v>270</v>
      </c>
      <c r="F81" s="119" t="s">
        <v>271</v>
      </c>
      <c r="G81" s="120" t="s">
        <v>61</v>
      </c>
      <c r="H81" s="121">
        <v>23.5</v>
      </c>
      <c r="I81" s="122">
        <v>87.65</v>
      </c>
      <c r="J81" s="122">
        <v>2059.7800000000002</v>
      </c>
      <c r="K81" s="272"/>
      <c r="L81" s="273">
        <f t="shared" ref="L81:L94" si="5">I81</f>
        <v>87.65</v>
      </c>
      <c r="M81" s="274">
        <f t="shared" ref="M81:M94" si="6">K81*L81</f>
        <v>0</v>
      </c>
      <c r="N81" s="268">
        <f t="shared" ref="N81:N94" si="7">H81+K81</f>
        <v>23.5</v>
      </c>
      <c r="O81" s="269">
        <f t="shared" ref="O81:O94" si="8">I81</f>
        <v>87.65</v>
      </c>
      <c r="P81" s="270">
        <f t="shared" ref="P81:P94" si="9">N81*O81</f>
        <v>2059.7750000000001</v>
      </c>
    </row>
    <row r="82" spans="1:28" s="109" customFormat="1" ht="24" x14ac:dyDescent="0.2">
      <c r="A82" s="97"/>
      <c r="B82" s="116"/>
      <c r="C82" s="117" t="s">
        <v>253</v>
      </c>
      <c r="D82" s="117" t="s">
        <v>69</v>
      </c>
      <c r="E82" s="118" t="s">
        <v>273</v>
      </c>
      <c r="F82" s="119" t="s">
        <v>274</v>
      </c>
      <c r="G82" s="120" t="s">
        <v>61</v>
      </c>
      <c r="H82" s="121">
        <v>36</v>
      </c>
      <c r="I82" s="122">
        <v>32.22</v>
      </c>
      <c r="J82" s="122">
        <v>1159.92</v>
      </c>
      <c r="K82" s="272"/>
      <c r="L82" s="273">
        <f t="shared" si="5"/>
        <v>32.22</v>
      </c>
      <c r="M82" s="274">
        <f t="shared" si="6"/>
        <v>0</v>
      </c>
      <c r="N82" s="268">
        <f t="shared" si="7"/>
        <v>36</v>
      </c>
      <c r="O82" s="269">
        <f t="shared" si="8"/>
        <v>32.22</v>
      </c>
      <c r="P82" s="270">
        <f t="shared" si="9"/>
        <v>1159.92</v>
      </c>
    </row>
    <row r="83" spans="1:28" s="109" customFormat="1" ht="24" x14ac:dyDescent="0.2">
      <c r="A83" s="97"/>
      <c r="B83" s="116"/>
      <c r="C83" s="117" t="s">
        <v>256</v>
      </c>
      <c r="D83" s="117" t="s">
        <v>69</v>
      </c>
      <c r="E83" s="118" t="s">
        <v>276</v>
      </c>
      <c r="F83" s="119" t="s">
        <v>277</v>
      </c>
      <c r="G83" s="120" t="s">
        <v>61</v>
      </c>
      <c r="H83" s="121">
        <v>36</v>
      </c>
      <c r="I83" s="122">
        <v>72.34</v>
      </c>
      <c r="J83" s="122">
        <v>2604.2399999999998</v>
      </c>
      <c r="K83" s="272"/>
      <c r="L83" s="273">
        <f t="shared" si="5"/>
        <v>72.34</v>
      </c>
      <c r="M83" s="274">
        <f t="shared" si="6"/>
        <v>0</v>
      </c>
      <c r="N83" s="268">
        <f t="shared" si="7"/>
        <v>36</v>
      </c>
      <c r="O83" s="269">
        <f t="shared" si="8"/>
        <v>72.34</v>
      </c>
      <c r="P83" s="270">
        <f t="shared" si="9"/>
        <v>2604.2400000000002</v>
      </c>
    </row>
    <row r="84" spans="1:28" s="109" customFormat="1" ht="24" x14ac:dyDescent="0.2">
      <c r="A84" s="97"/>
      <c r="B84" s="116"/>
      <c r="C84" s="117" t="s">
        <v>259</v>
      </c>
      <c r="D84" s="117" t="s">
        <v>69</v>
      </c>
      <c r="E84" s="118" t="s">
        <v>350</v>
      </c>
      <c r="F84" s="119" t="s">
        <v>351</v>
      </c>
      <c r="G84" s="120" t="s">
        <v>61</v>
      </c>
      <c r="H84" s="121">
        <v>893.92</v>
      </c>
      <c r="I84" s="122">
        <v>32.22</v>
      </c>
      <c r="J84" s="122">
        <v>28802.1</v>
      </c>
      <c r="K84" s="272"/>
      <c r="L84" s="273">
        <f t="shared" si="5"/>
        <v>32.22</v>
      </c>
      <c r="M84" s="274">
        <f t="shared" si="6"/>
        <v>0</v>
      </c>
      <c r="N84" s="268">
        <f t="shared" si="7"/>
        <v>893.92</v>
      </c>
      <c r="O84" s="269">
        <f t="shared" si="8"/>
        <v>32.22</v>
      </c>
      <c r="P84" s="270">
        <f t="shared" si="9"/>
        <v>28802.102399999996</v>
      </c>
    </row>
    <row r="85" spans="1:28" s="109" customFormat="1" ht="12" x14ac:dyDescent="0.2">
      <c r="A85" s="97"/>
      <c r="B85" s="116"/>
      <c r="C85" s="117" t="s">
        <v>262</v>
      </c>
      <c r="D85" s="117" t="s">
        <v>69</v>
      </c>
      <c r="E85" s="118" t="s">
        <v>354</v>
      </c>
      <c r="F85" s="119" t="s">
        <v>355</v>
      </c>
      <c r="G85" s="120" t="s">
        <v>61</v>
      </c>
      <c r="H85" s="121">
        <v>893.92</v>
      </c>
      <c r="I85" s="122">
        <v>94.7</v>
      </c>
      <c r="J85" s="122">
        <v>84654.22</v>
      </c>
      <c r="K85" s="272"/>
      <c r="L85" s="273">
        <f t="shared" si="5"/>
        <v>94.7</v>
      </c>
      <c r="M85" s="274">
        <f t="shared" si="6"/>
        <v>0</v>
      </c>
      <c r="N85" s="268">
        <f t="shared" si="7"/>
        <v>893.92</v>
      </c>
      <c r="O85" s="269">
        <f t="shared" si="8"/>
        <v>94.7</v>
      </c>
      <c r="P85" s="270">
        <f t="shared" si="9"/>
        <v>84654.224000000002</v>
      </c>
    </row>
    <row r="86" spans="1:28" s="109" customFormat="1" ht="24" x14ac:dyDescent="0.2">
      <c r="A86" s="97"/>
      <c r="B86" s="116"/>
      <c r="C86" s="117" t="s">
        <v>265</v>
      </c>
      <c r="D86" s="117" t="s">
        <v>69</v>
      </c>
      <c r="E86" s="118" t="s">
        <v>279</v>
      </c>
      <c r="F86" s="119" t="s">
        <v>280</v>
      </c>
      <c r="G86" s="120" t="s">
        <v>138</v>
      </c>
      <c r="H86" s="121">
        <v>13</v>
      </c>
      <c r="I86" s="122">
        <v>1657.22</v>
      </c>
      <c r="J86" s="122">
        <v>21543.86</v>
      </c>
      <c r="K86" s="272"/>
      <c r="L86" s="273">
        <f t="shared" si="5"/>
        <v>1657.22</v>
      </c>
      <c r="M86" s="274">
        <f t="shared" si="6"/>
        <v>0</v>
      </c>
      <c r="N86" s="268">
        <f t="shared" si="7"/>
        <v>13</v>
      </c>
      <c r="O86" s="269">
        <f t="shared" si="8"/>
        <v>1657.22</v>
      </c>
      <c r="P86" s="270">
        <f t="shared" si="9"/>
        <v>21543.86</v>
      </c>
    </row>
    <row r="87" spans="1:28" s="110" customFormat="1" ht="12.75" x14ac:dyDescent="0.2">
      <c r="C87" s="245"/>
      <c r="D87" s="246" t="s">
        <v>3</v>
      </c>
      <c r="E87" s="247" t="s">
        <v>281</v>
      </c>
      <c r="F87" s="247" t="s">
        <v>282</v>
      </c>
      <c r="G87" s="245"/>
      <c r="H87" s="245"/>
      <c r="I87" s="245"/>
      <c r="J87" s="248">
        <v>233133.42</v>
      </c>
      <c r="K87" s="249"/>
      <c r="L87" s="275"/>
      <c r="M87" s="276">
        <f>SUM(M88:M92)</f>
        <v>-577.84738400000003</v>
      </c>
      <c r="N87" s="242"/>
      <c r="O87" s="243"/>
      <c r="P87" s="276">
        <f>SUM(P88:P92)</f>
        <v>232555.578136</v>
      </c>
    </row>
    <row r="88" spans="1:28" s="109" customFormat="1" ht="24" x14ac:dyDescent="0.2">
      <c r="A88" s="97"/>
      <c r="B88" s="116"/>
      <c r="C88" s="117" t="s">
        <v>269</v>
      </c>
      <c r="D88" s="117" t="s">
        <v>69</v>
      </c>
      <c r="E88" s="118" t="s">
        <v>284</v>
      </c>
      <c r="F88" s="119" t="s">
        <v>285</v>
      </c>
      <c r="G88" s="120" t="s">
        <v>120</v>
      </c>
      <c r="H88" s="121">
        <v>393.20699999999999</v>
      </c>
      <c r="I88" s="122">
        <v>194.26</v>
      </c>
      <c r="J88" s="122">
        <v>76384.39</v>
      </c>
      <c r="K88" s="272">
        <v>-1.3077000000000001</v>
      </c>
      <c r="L88" s="273">
        <f t="shared" si="5"/>
        <v>194.26</v>
      </c>
      <c r="M88" s="274">
        <f t="shared" si="6"/>
        <v>-254.03380200000001</v>
      </c>
      <c r="N88" s="268">
        <f t="shared" si="7"/>
        <v>391.89929999999998</v>
      </c>
      <c r="O88" s="269">
        <f t="shared" si="8"/>
        <v>194.26</v>
      </c>
      <c r="P88" s="270">
        <f t="shared" si="9"/>
        <v>76130.358017999999</v>
      </c>
    </row>
    <row r="89" spans="1:28" s="109" customFormat="1" ht="24" x14ac:dyDescent="0.2">
      <c r="A89" s="97"/>
      <c r="B89" s="116"/>
      <c r="C89" s="117" t="s">
        <v>272</v>
      </c>
      <c r="D89" s="117" t="s">
        <v>69</v>
      </c>
      <c r="E89" s="118" t="s">
        <v>361</v>
      </c>
      <c r="F89" s="119" t="s">
        <v>362</v>
      </c>
      <c r="G89" s="120" t="s">
        <v>120</v>
      </c>
      <c r="H89" s="121">
        <v>307.28500000000003</v>
      </c>
      <c r="I89" s="122">
        <v>80.23</v>
      </c>
      <c r="J89" s="122">
        <v>24653.48</v>
      </c>
      <c r="K89" s="272">
        <v>-1.0219</v>
      </c>
      <c r="L89" s="273">
        <f t="shared" si="5"/>
        <v>80.23</v>
      </c>
      <c r="M89" s="274">
        <f t="shared" si="6"/>
        <v>-81.987037000000001</v>
      </c>
      <c r="N89" s="268">
        <f t="shared" si="7"/>
        <v>306.26310000000001</v>
      </c>
      <c r="O89" s="269">
        <f t="shared" si="8"/>
        <v>80.23</v>
      </c>
      <c r="P89" s="270">
        <f t="shared" si="9"/>
        <v>24571.488513</v>
      </c>
    </row>
    <row r="90" spans="1:28" s="109" customFormat="1" ht="24" x14ac:dyDescent="0.2">
      <c r="A90" s="97"/>
      <c r="B90" s="116"/>
      <c r="C90" s="117" t="s">
        <v>275</v>
      </c>
      <c r="D90" s="117" t="s">
        <v>69</v>
      </c>
      <c r="E90" s="118" t="s">
        <v>364</v>
      </c>
      <c r="F90" s="119" t="s">
        <v>365</v>
      </c>
      <c r="G90" s="120" t="s">
        <v>120</v>
      </c>
      <c r="H90" s="121">
        <v>307.28500000000003</v>
      </c>
      <c r="I90" s="122">
        <v>154.66999999999999</v>
      </c>
      <c r="J90" s="122">
        <v>47527.77</v>
      </c>
      <c r="K90" s="272">
        <v>-1.0219</v>
      </c>
      <c r="L90" s="273">
        <f t="shared" si="5"/>
        <v>154.66999999999999</v>
      </c>
      <c r="M90" s="274">
        <f t="shared" si="6"/>
        <v>-158.05727299999998</v>
      </c>
      <c r="N90" s="268">
        <f t="shared" si="7"/>
        <v>306.26310000000001</v>
      </c>
      <c r="O90" s="269">
        <f t="shared" si="8"/>
        <v>154.66999999999999</v>
      </c>
      <c r="P90" s="270">
        <f t="shared" si="9"/>
        <v>47369.713677</v>
      </c>
    </row>
    <row r="91" spans="1:28" s="109" customFormat="1" ht="24" x14ac:dyDescent="0.2">
      <c r="A91" s="97"/>
      <c r="B91" s="116"/>
      <c r="C91" s="117" t="s">
        <v>278</v>
      </c>
      <c r="D91" s="117" t="s">
        <v>69</v>
      </c>
      <c r="E91" s="118" t="s">
        <v>287</v>
      </c>
      <c r="F91" s="119" t="s">
        <v>288</v>
      </c>
      <c r="G91" s="120" t="s">
        <v>120</v>
      </c>
      <c r="H91" s="121">
        <v>230.34100000000001</v>
      </c>
      <c r="I91" s="122">
        <v>257.77999999999997</v>
      </c>
      <c r="J91" s="122">
        <v>59377.3</v>
      </c>
      <c r="K91" s="272"/>
      <c r="L91" s="273">
        <f t="shared" si="5"/>
        <v>257.77999999999997</v>
      </c>
      <c r="M91" s="274">
        <f t="shared" si="6"/>
        <v>0</v>
      </c>
      <c r="N91" s="268">
        <f t="shared" si="7"/>
        <v>230.34100000000001</v>
      </c>
      <c r="O91" s="269">
        <f t="shared" si="8"/>
        <v>257.77999999999997</v>
      </c>
      <c r="P91" s="270">
        <f t="shared" si="9"/>
        <v>59377.302979999993</v>
      </c>
      <c r="AA91" s="148" t="s">
        <v>1136</v>
      </c>
      <c r="AB91" s="109" t="s">
        <v>1008</v>
      </c>
    </row>
    <row r="92" spans="1:28" s="109" customFormat="1" ht="24" x14ac:dyDescent="0.2">
      <c r="A92" s="97"/>
      <c r="B92" s="116"/>
      <c r="C92" s="117" t="s">
        <v>283</v>
      </c>
      <c r="D92" s="117" t="s">
        <v>69</v>
      </c>
      <c r="E92" s="118" t="s">
        <v>290</v>
      </c>
      <c r="F92" s="119" t="s">
        <v>119</v>
      </c>
      <c r="G92" s="120" t="s">
        <v>120</v>
      </c>
      <c r="H92" s="121">
        <v>162.86600000000001</v>
      </c>
      <c r="I92" s="122">
        <v>154.66999999999999</v>
      </c>
      <c r="J92" s="122">
        <v>25190.48</v>
      </c>
      <c r="K92" s="272">
        <v>-0.54159999999999997</v>
      </c>
      <c r="L92" s="273">
        <f t="shared" si="5"/>
        <v>154.66999999999999</v>
      </c>
      <c r="M92" s="274">
        <f t="shared" si="6"/>
        <v>-83.769271999999987</v>
      </c>
      <c r="N92" s="268">
        <f t="shared" si="7"/>
        <v>162.32440000000003</v>
      </c>
      <c r="O92" s="269">
        <f t="shared" si="8"/>
        <v>154.66999999999999</v>
      </c>
      <c r="P92" s="270">
        <f t="shared" si="9"/>
        <v>25106.714948000001</v>
      </c>
      <c r="AA92" s="148" t="s">
        <v>1136</v>
      </c>
      <c r="AB92" s="109" t="s">
        <v>1008</v>
      </c>
    </row>
    <row r="93" spans="1:28" s="110" customFormat="1" ht="12.75" x14ac:dyDescent="0.2">
      <c r="C93" s="245"/>
      <c r="D93" s="246" t="s">
        <v>3</v>
      </c>
      <c r="E93" s="247" t="s">
        <v>291</v>
      </c>
      <c r="F93" s="247" t="s">
        <v>292</v>
      </c>
      <c r="G93" s="245"/>
      <c r="H93" s="245"/>
      <c r="I93" s="245"/>
      <c r="J93" s="248">
        <v>15880.58</v>
      </c>
      <c r="K93" s="249"/>
      <c r="L93" s="275"/>
      <c r="M93" s="276">
        <f>M94</f>
        <v>-52.816272000000005</v>
      </c>
      <c r="N93" s="242"/>
      <c r="O93" s="243"/>
      <c r="P93" s="276">
        <f>P94</f>
        <v>15827.764368</v>
      </c>
    </row>
    <row r="94" spans="1:28" s="109" customFormat="1" ht="24" x14ac:dyDescent="0.2">
      <c r="A94" s="97"/>
      <c r="B94" s="116"/>
      <c r="C94" s="117" t="s">
        <v>286</v>
      </c>
      <c r="D94" s="117" t="s">
        <v>69</v>
      </c>
      <c r="E94" s="118" t="s">
        <v>294</v>
      </c>
      <c r="F94" s="119" t="s">
        <v>295</v>
      </c>
      <c r="G94" s="120" t="s">
        <v>120</v>
      </c>
      <c r="H94" s="121">
        <v>138.792</v>
      </c>
      <c r="I94" s="122">
        <v>114.42</v>
      </c>
      <c r="J94" s="122">
        <v>15880.58</v>
      </c>
      <c r="K94" s="272">
        <v>-0.46160000000000001</v>
      </c>
      <c r="L94" s="273">
        <f t="shared" si="5"/>
        <v>114.42</v>
      </c>
      <c r="M94" s="274">
        <f t="shared" si="6"/>
        <v>-52.816272000000005</v>
      </c>
      <c r="N94" s="268">
        <f t="shared" si="7"/>
        <v>138.3304</v>
      </c>
      <c r="O94" s="269">
        <f t="shared" si="8"/>
        <v>114.42</v>
      </c>
      <c r="P94" s="270">
        <f t="shared" si="9"/>
        <v>15827.764368</v>
      </c>
    </row>
    <row r="95" spans="1:28" s="109" customFormat="1" x14ac:dyDescent="0.2">
      <c r="A95" s="97"/>
      <c r="B95" s="97"/>
      <c r="C95" s="97"/>
      <c r="D95" s="97"/>
      <c r="E95" s="97"/>
      <c r="F95" s="97"/>
      <c r="G95" s="97"/>
      <c r="H95" s="97"/>
      <c r="I95" s="97"/>
      <c r="J95" s="97"/>
      <c r="M95" s="187" t="s">
        <v>1000</v>
      </c>
    </row>
    <row r="96" spans="1:28" ht="12.75" x14ac:dyDescent="0.2">
      <c r="D96" s="89"/>
      <c r="E96" s="141"/>
      <c r="F96" s="90"/>
      <c r="G96" s="90"/>
      <c r="H96" s="91"/>
      <c r="I96" s="90"/>
      <c r="J96" s="92">
        <f>J93+J87+J80+J60+J49+J42+J40+J14</f>
        <v>5179897.7399999993</v>
      </c>
      <c r="K96" s="92"/>
      <c r="L96" s="92"/>
      <c r="M96" s="92">
        <f t="shared" ref="M96:P96" si="10">M93+M87+M80+M60+M49+M42+M40+M14</f>
        <v>-9975.1170840000013</v>
      </c>
      <c r="N96" s="92"/>
      <c r="O96" s="92"/>
      <c r="P96" s="92">
        <f t="shared" si="10"/>
        <v>5169922.6374859996</v>
      </c>
    </row>
    <row r="97" spans="5:15" x14ac:dyDescent="0.2">
      <c r="I97" s="95"/>
      <c r="M97" s="186"/>
    </row>
    <row r="98" spans="5:15" ht="14.25" x14ac:dyDescent="0.2">
      <c r="E98" s="58"/>
      <c r="F98" s="58"/>
      <c r="H98" s="96"/>
      <c r="J98" s="161"/>
      <c r="K98" s="62"/>
      <c r="L98" s="62"/>
      <c r="M98" s="186"/>
      <c r="O98" s="58"/>
    </row>
    <row r="99" spans="5:15" x14ac:dyDescent="0.2">
      <c r="M99" s="186"/>
    </row>
  </sheetData>
  <protectedRanges>
    <protectedRange password="CCAA" sqref="O8 K8" name="Oblast1_1_1_1"/>
    <protectedRange password="CCAA" sqref="D9:H10" name="Oblast1_2_1"/>
  </protectedRanges>
  <autoFilter ref="C10:P94" xr:uid="{738B2E68-9125-42DA-8646-CC96F4CF879E}"/>
  <mergeCells count="4">
    <mergeCell ref="K9:M9"/>
    <mergeCell ref="N9:P9"/>
    <mergeCell ref="M8:N8"/>
    <mergeCell ref="I8:K8"/>
  </mergeCells>
  <pageMargins left="0.39370078740157483" right="0.39370078740157483" top="0.39370078740157483" bottom="0.39370078740157483" header="0" footer="0"/>
  <pageSetup paperSize="9" scale="44" fitToHeight="0" orientation="portrait" r:id="rId1"/>
  <headerFooter>
    <oddFooter>&amp;CStrana &amp;P z &amp;N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AC88"/>
  <sheetViews>
    <sheetView showGridLines="0" view="pageBreakPreview" topLeftCell="A35" zoomScale="85" zoomScaleNormal="100" zoomScaleSheetLayoutView="85" workbookViewId="0">
      <selection activeCell="J88" sqref="J88"/>
    </sheetView>
  </sheetViews>
  <sheetFormatPr defaultColWidth="9.33203125" defaultRowHeight="11.25" x14ac:dyDescent="0.2"/>
  <cols>
    <col min="1" max="1" width="8.33203125" style="60" customWidth="1"/>
    <col min="2" max="2" width="1.6640625" style="60" customWidth="1"/>
    <col min="3" max="3" width="4.1640625" style="60" customWidth="1"/>
    <col min="4" max="4" width="4.33203125" style="60" customWidth="1"/>
    <col min="5" max="5" width="17.1640625" style="60" customWidth="1"/>
    <col min="6" max="6" width="73" style="60" customWidth="1"/>
    <col min="7" max="7" width="7" style="60" customWidth="1"/>
    <col min="8" max="8" width="11.5" style="60" customWidth="1"/>
    <col min="9" max="10" width="20.1640625" style="60" customWidth="1"/>
    <col min="11" max="11" width="9.33203125" style="60"/>
    <col min="12" max="12" width="19.33203125" style="60" customWidth="1"/>
    <col min="13" max="13" width="14" style="60" customWidth="1"/>
    <col min="14" max="14" width="9.33203125" style="60"/>
    <col min="15" max="15" width="18.6640625" style="60" bestFit="1" customWidth="1"/>
    <col min="16" max="16" width="21" style="60" bestFit="1" customWidth="1"/>
    <col min="17" max="17" width="48.83203125" style="60" hidden="1" customWidth="1"/>
    <col min="18" max="18" width="28.33203125" style="60" hidden="1" customWidth="1"/>
    <col min="19" max="19" width="0" style="60" hidden="1" customWidth="1"/>
    <col min="20" max="20" width="40.1640625" style="60" hidden="1" customWidth="1"/>
    <col min="21" max="21" width="16.33203125" style="60" hidden="1" customWidth="1"/>
    <col min="22" max="22" width="21" style="60" hidden="1" customWidth="1"/>
    <col min="23" max="23" width="20.5" style="60" hidden="1" customWidth="1"/>
    <col min="24" max="25" width="0" style="60" hidden="1" customWidth="1"/>
    <col min="26" max="26" width="26" style="60" hidden="1" customWidth="1"/>
    <col min="27" max="27" width="17" style="60" hidden="1" customWidth="1"/>
    <col min="28" max="28" width="19.33203125" style="60" hidden="1" customWidth="1"/>
    <col min="29" max="29" width="0" style="60" hidden="1" customWidth="1"/>
    <col min="30" max="16384" width="9.33203125" style="60"/>
  </cols>
  <sheetData>
    <row r="1" spans="1:28" ht="15" x14ac:dyDescent="0.2">
      <c r="F1" s="3"/>
      <c r="G1" s="4"/>
      <c r="H1" s="1"/>
      <c r="J1" s="61"/>
    </row>
    <row r="2" spans="1:28" s="1" customFormat="1" ht="15" x14ac:dyDescent="0.2">
      <c r="E2" s="2"/>
      <c r="F2" s="3" t="s">
        <v>979</v>
      </c>
      <c r="G2" s="4" t="str">
        <f>'[1]VRN 01'!G3</f>
        <v>Odkanalizování povodí Jizery - část B</v>
      </c>
      <c r="I2" s="5"/>
      <c r="J2" s="63"/>
      <c r="K2" s="10"/>
      <c r="L2" s="11"/>
      <c r="M2" s="11"/>
      <c r="N2" s="64"/>
    </row>
    <row r="3" spans="1:28" s="1" customFormat="1" ht="15" x14ac:dyDescent="0.2">
      <c r="E3" s="2"/>
      <c r="F3" s="3" t="s">
        <v>980</v>
      </c>
      <c r="G3" s="4" t="str">
        <f>+'Rekapitulace stavby'!D2</f>
        <v>ÚHERCE, výstavba kanalizace - UZNATELNÉ NÁKLADY - doměrky</v>
      </c>
      <c r="H3" s="2"/>
      <c r="I3" s="5"/>
      <c r="J3" s="63"/>
      <c r="K3" s="10"/>
      <c r="L3" s="11"/>
      <c r="M3" s="11"/>
      <c r="N3" s="64"/>
    </row>
    <row r="4" spans="1:28" s="2" customFormat="1" ht="15" x14ac:dyDescent="0.2">
      <c r="F4" s="12" t="s">
        <v>981</v>
      </c>
      <c r="G4" s="13" t="str">
        <f>'[1]VRN 01'!G5</f>
        <v>VRI/SOD/2020/Ži</v>
      </c>
      <c r="I4" s="5"/>
      <c r="J4" s="65"/>
      <c r="K4" s="18"/>
      <c r="L4" s="19"/>
      <c r="M4" s="19"/>
      <c r="N4" s="66"/>
    </row>
    <row r="5" spans="1:28" s="2" customFormat="1" ht="15" x14ac:dyDescent="0.2">
      <c r="F5" s="12" t="s">
        <v>983</v>
      </c>
      <c r="G5" s="13" t="s">
        <v>1001</v>
      </c>
      <c r="I5" s="5"/>
      <c r="J5" s="65"/>
      <c r="K5" s="18"/>
      <c r="L5" s="19"/>
      <c r="M5" s="19"/>
      <c r="N5" s="66"/>
    </row>
    <row r="6" spans="1:28" s="2" customFormat="1" ht="15" x14ac:dyDescent="0.2">
      <c r="F6" s="3" t="s">
        <v>984</v>
      </c>
      <c r="G6" s="13" t="str">
        <f>'[1]VRN 01'!G7</f>
        <v>Vododvody a kanalizace Mladá Boleslav, a.s.</v>
      </c>
      <c r="I6" s="5"/>
      <c r="J6" s="65"/>
      <c r="K6" s="18"/>
      <c r="L6" s="19"/>
      <c r="M6" s="19"/>
      <c r="N6" s="66"/>
    </row>
    <row r="7" spans="1:28" s="2" customFormat="1" ht="15" x14ac:dyDescent="0.2">
      <c r="F7" s="3" t="s">
        <v>986</v>
      </c>
      <c r="G7" s="20" t="str">
        <f>'[1]VRN 01'!G8</f>
        <v>VCES a.s.</v>
      </c>
      <c r="H7" s="67"/>
      <c r="I7" s="5"/>
      <c r="J7" s="65"/>
      <c r="K7" s="18"/>
      <c r="L7" s="19"/>
      <c r="M7" s="19"/>
      <c r="N7" s="66"/>
    </row>
    <row r="8" spans="1:28" s="68" customFormat="1" ht="12.75" x14ac:dyDescent="0.2">
      <c r="D8" s="69"/>
      <c r="F8" s="3"/>
      <c r="G8" s="20"/>
      <c r="H8" s="67"/>
      <c r="K8" s="72" t="s">
        <v>996</v>
      </c>
      <c r="L8" s="73" t="str">
        <f>+C12</f>
        <v>06 - SO 01.F - Stoka A.1.2</v>
      </c>
      <c r="M8" s="73"/>
      <c r="O8" s="74"/>
    </row>
    <row r="9" spans="1:28" s="75" customFormat="1" ht="12.75" customHeight="1" x14ac:dyDescent="0.2">
      <c r="C9" s="76"/>
      <c r="D9" s="77"/>
      <c r="E9" s="77"/>
      <c r="F9" s="77"/>
      <c r="G9" s="77"/>
      <c r="H9" s="77"/>
      <c r="I9" s="78"/>
      <c r="J9" s="79"/>
      <c r="K9" s="332" t="s">
        <v>1266</v>
      </c>
      <c r="L9" s="332"/>
      <c r="M9" s="332"/>
      <c r="N9" s="339" t="s">
        <v>1267</v>
      </c>
      <c r="O9" s="339"/>
      <c r="P9" s="340"/>
    </row>
    <row r="10" spans="1:28" s="75" customFormat="1" ht="19.5" customHeight="1" x14ac:dyDescent="0.2">
      <c r="C10" s="80"/>
      <c r="D10" s="81" t="s">
        <v>997</v>
      </c>
      <c r="E10" s="81" t="s">
        <v>976</v>
      </c>
      <c r="F10" s="81" t="s">
        <v>977</v>
      </c>
      <c r="G10" s="81" t="s">
        <v>64</v>
      </c>
      <c r="H10" s="82" t="s">
        <v>65</v>
      </c>
      <c r="I10" s="83" t="s">
        <v>998</v>
      </c>
      <c r="J10" s="84" t="s">
        <v>978</v>
      </c>
      <c r="K10" s="218" t="s">
        <v>999</v>
      </c>
      <c r="L10" s="219" t="s">
        <v>1260</v>
      </c>
      <c r="M10" s="220" t="s">
        <v>978</v>
      </c>
      <c r="N10" s="263" t="s">
        <v>1264</v>
      </c>
      <c r="O10" s="264" t="s">
        <v>1260</v>
      </c>
      <c r="P10" s="265" t="s">
        <v>978</v>
      </c>
      <c r="Q10" s="157" t="s">
        <v>1004</v>
      </c>
      <c r="T10" s="157" t="s">
        <v>1065</v>
      </c>
      <c r="W10" s="157" t="s">
        <v>1132</v>
      </c>
      <c r="Z10" s="157" t="s">
        <v>1150</v>
      </c>
      <c r="AB10" s="157" t="s">
        <v>1186</v>
      </c>
    </row>
    <row r="11" spans="1:28" s="109" customFormat="1" x14ac:dyDescent="0.2">
      <c r="A11" s="97"/>
      <c r="B11" s="97"/>
      <c r="C11" s="97"/>
      <c r="D11" s="97"/>
      <c r="E11" s="97"/>
      <c r="F11" s="97"/>
      <c r="G11" s="97"/>
      <c r="H11" s="97"/>
      <c r="I11" s="97"/>
      <c r="J11" s="97"/>
      <c r="T11" s="327" t="s">
        <v>1069</v>
      </c>
    </row>
    <row r="12" spans="1:28" s="109" customFormat="1" ht="15.75" x14ac:dyDescent="0.25">
      <c r="A12" s="97"/>
      <c r="B12" s="97"/>
      <c r="C12" s="98" t="s">
        <v>373</v>
      </c>
      <c r="D12" s="97"/>
      <c r="E12" s="97"/>
      <c r="F12" s="97"/>
      <c r="G12" s="97"/>
      <c r="H12" s="97"/>
      <c r="I12" s="97"/>
      <c r="J12" s="99">
        <v>1154587.6699999995</v>
      </c>
      <c r="T12" s="327"/>
      <c r="V12" s="329" t="s">
        <v>1079</v>
      </c>
    </row>
    <row r="13" spans="1:28" s="110" customFormat="1" ht="15" x14ac:dyDescent="0.2">
      <c r="D13" s="111" t="s">
        <v>3</v>
      </c>
      <c r="E13" s="112" t="s">
        <v>66</v>
      </c>
      <c r="F13" s="112" t="s">
        <v>67</v>
      </c>
      <c r="J13" s="113">
        <v>1154587.6699999995</v>
      </c>
      <c r="T13" s="327"/>
      <c r="V13" s="329"/>
    </row>
    <row r="14" spans="1:28" s="110" customFormat="1" ht="12.75" x14ac:dyDescent="0.2">
      <c r="C14" s="252"/>
      <c r="D14" s="253" t="s">
        <v>3</v>
      </c>
      <c r="E14" s="254" t="s">
        <v>7</v>
      </c>
      <c r="F14" s="254" t="s">
        <v>68</v>
      </c>
      <c r="G14" s="252"/>
      <c r="H14" s="252"/>
      <c r="I14" s="252"/>
      <c r="J14" s="255">
        <v>413058.94999999995</v>
      </c>
      <c r="K14" s="252"/>
      <c r="L14" s="252"/>
      <c r="M14" s="258">
        <f>SUM(M15:M37)</f>
        <v>-1923.6075999999994</v>
      </c>
      <c r="N14" s="252"/>
      <c r="O14" s="252"/>
      <c r="P14" s="258">
        <f>SUM(P15:P37)</f>
        <v>411135.32767999993</v>
      </c>
      <c r="Q14" s="172" t="s">
        <v>1006</v>
      </c>
      <c r="T14" s="327"/>
      <c r="V14" s="329"/>
    </row>
    <row r="15" spans="1:28" s="109" customFormat="1" ht="48" x14ac:dyDescent="0.2">
      <c r="A15" s="97"/>
      <c r="B15" s="116"/>
      <c r="C15" s="117" t="s">
        <v>7</v>
      </c>
      <c r="D15" s="117" t="s">
        <v>69</v>
      </c>
      <c r="E15" s="118" t="s">
        <v>79</v>
      </c>
      <c r="F15" s="119" t="s">
        <v>80</v>
      </c>
      <c r="G15" s="120" t="s">
        <v>72</v>
      </c>
      <c r="H15" s="121">
        <v>138.42400000000001</v>
      </c>
      <c r="I15" s="122">
        <v>26.3</v>
      </c>
      <c r="J15" s="122">
        <v>3640.55</v>
      </c>
      <c r="K15" s="85">
        <v>0</v>
      </c>
      <c r="L15" s="86">
        <f>I15</f>
        <v>26.3</v>
      </c>
      <c r="M15" s="277">
        <f>K15*L15</f>
        <v>0</v>
      </c>
      <c r="N15" s="87">
        <f>H15+K15</f>
        <v>138.42400000000001</v>
      </c>
      <c r="O15" s="88">
        <f>I15</f>
        <v>26.3</v>
      </c>
      <c r="P15" s="278">
        <f>N15*O15</f>
        <v>3640.5512000000003</v>
      </c>
      <c r="T15" s="177"/>
    </row>
    <row r="16" spans="1:28" s="109" customFormat="1" ht="48" x14ac:dyDescent="0.2">
      <c r="A16" s="97"/>
      <c r="B16" s="116"/>
      <c r="C16" s="117" t="s">
        <v>8</v>
      </c>
      <c r="D16" s="117" t="s">
        <v>69</v>
      </c>
      <c r="E16" s="118" t="s">
        <v>74</v>
      </c>
      <c r="F16" s="119" t="s">
        <v>75</v>
      </c>
      <c r="G16" s="120" t="s">
        <v>72</v>
      </c>
      <c r="H16" s="121">
        <v>134.79400000000001</v>
      </c>
      <c r="I16" s="122">
        <v>40.770000000000003</v>
      </c>
      <c r="J16" s="122">
        <v>5495.55</v>
      </c>
      <c r="K16" s="85">
        <v>0</v>
      </c>
      <c r="L16" s="86">
        <f t="shared" ref="L16:L79" si="0">I16</f>
        <v>40.770000000000003</v>
      </c>
      <c r="M16" s="277">
        <f t="shared" ref="M16:M79" si="1">K16*L16</f>
        <v>0</v>
      </c>
      <c r="N16" s="87">
        <f t="shared" ref="N16:N79" si="2">H16+K16</f>
        <v>134.79400000000001</v>
      </c>
      <c r="O16" s="88">
        <f t="shared" ref="O16:O79" si="3">I16</f>
        <v>40.770000000000003</v>
      </c>
      <c r="P16" s="278">
        <f t="shared" ref="P16:P79" si="4">N16*O16</f>
        <v>5495.5513800000008</v>
      </c>
      <c r="T16" s="177"/>
    </row>
    <row r="17" spans="1:20" s="109" customFormat="1" ht="36" x14ac:dyDescent="0.2">
      <c r="A17" s="97"/>
      <c r="B17" s="116"/>
      <c r="C17" s="117" t="s">
        <v>76</v>
      </c>
      <c r="D17" s="117" t="s">
        <v>69</v>
      </c>
      <c r="E17" s="118" t="s">
        <v>314</v>
      </c>
      <c r="F17" s="119" t="s">
        <v>315</v>
      </c>
      <c r="G17" s="120" t="s">
        <v>72</v>
      </c>
      <c r="H17" s="121">
        <v>3.63</v>
      </c>
      <c r="I17" s="122">
        <v>519.33000000000004</v>
      </c>
      <c r="J17" s="122">
        <v>1885.17</v>
      </c>
      <c r="K17" s="85">
        <v>0</v>
      </c>
      <c r="L17" s="86">
        <f t="shared" si="0"/>
        <v>519.33000000000004</v>
      </c>
      <c r="M17" s="277">
        <f t="shared" si="1"/>
        <v>0</v>
      </c>
      <c r="N17" s="87">
        <f t="shared" si="2"/>
        <v>3.63</v>
      </c>
      <c r="O17" s="88">
        <f t="shared" si="3"/>
        <v>519.33000000000004</v>
      </c>
      <c r="P17" s="278">
        <f t="shared" si="4"/>
        <v>1885.1679000000001</v>
      </c>
      <c r="T17" s="177"/>
    </row>
    <row r="18" spans="1:20" s="109" customFormat="1" ht="36" x14ac:dyDescent="0.2">
      <c r="A18" s="97"/>
      <c r="B18" s="116"/>
      <c r="C18" s="117" t="s">
        <v>73</v>
      </c>
      <c r="D18" s="117" t="s">
        <v>69</v>
      </c>
      <c r="E18" s="118" t="s">
        <v>82</v>
      </c>
      <c r="F18" s="119" t="s">
        <v>83</v>
      </c>
      <c r="G18" s="120" t="s">
        <v>72</v>
      </c>
      <c r="H18" s="121">
        <v>134.79400000000001</v>
      </c>
      <c r="I18" s="122">
        <v>39.46</v>
      </c>
      <c r="J18" s="122">
        <v>5318.97</v>
      </c>
      <c r="K18" s="85">
        <v>0</v>
      </c>
      <c r="L18" s="86">
        <f t="shared" si="0"/>
        <v>39.46</v>
      </c>
      <c r="M18" s="277">
        <f t="shared" si="1"/>
        <v>0</v>
      </c>
      <c r="N18" s="87">
        <f t="shared" si="2"/>
        <v>134.79400000000001</v>
      </c>
      <c r="O18" s="88">
        <f t="shared" si="3"/>
        <v>39.46</v>
      </c>
      <c r="P18" s="278">
        <f t="shared" si="4"/>
        <v>5318.9712400000008</v>
      </c>
      <c r="T18" s="177"/>
    </row>
    <row r="19" spans="1:20" s="109" customFormat="1" ht="36" x14ac:dyDescent="0.2">
      <c r="A19" s="97"/>
      <c r="B19" s="116"/>
      <c r="C19" s="117" t="s">
        <v>81</v>
      </c>
      <c r="D19" s="117" t="s">
        <v>69</v>
      </c>
      <c r="E19" s="118" t="s">
        <v>316</v>
      </c>
      <c r="F19" s="119" t="s">
        <v>317</v>
      </c>
      <c r="G19" s="120" t="s">
        <v>72</v>
      </c>
      <c r="H19" s="121">
        <v>3.63</v>
      </c>
      <c r="I19" s="122">
        <v>77.599999999999994</v>
      </c>
      <c r="J19" s="122">
        <v>281.69</v>
      </c>
      <c r="K19" s="85">
        <v>0</v>
      </c>
      <c r="L19" s="86">
        <f t="shared" si="0"/>
        <v>77.599999999999994</v>
      </c>
      <c r="M19" s="277">
        <f t="shared" si="1"/>
        <v>0</v>
      </c>
      <c r="N19" s="87">
        <f t="shared" si="2"/>
        <v>3.63</v>
      </c>
      <c r="O19" s="88">
        <f t="shared" si="3"/>
        <v>77.599999999999994</v>
      </c>
      <c r="P19" s="278">
        <f t="shared" si="4"/>
        <v>281.68799999999999</v>
      </c>
      <c r="T19" s="177"/>
    </row>
    <row r="20" spans="1:20" s="109" customFormat="1" ht="36" x14ac:dyDescent="0.2">
      <c r="A20" s="97"/>
      <c r="B20" s="116"/>
      <c r="C20" s="117" t="s">
        <v>84</v>
      </c>
      <c r="D20" s="117" t="s">
        <v>69</v>
      </c>
      <c r="E20" s="118" t="s">
        <v>85</v>
      </c>
      <c r="F20" s="119" t="s">
        <v>86</v>
      </c>
      <c r="G20" s="120" t="s">
        <v>72</v>
      </c>
      <c r="H20" s="121">
        <v>215.24799999999999</v>
      </c>
      <c r="I20" s="122">
        <v>55.24</v>
      </c>
      <c r="J20" s="122">
        <v>11890.3</v>
      </c>
      <c r="K20" s="85">
        <v>0</v>
      </c>
      <c r="L20" s="86">
        <f t="shared" si="0"/>
        <v>55.24</v>
      </c>
      <c r="M20" s="277">
        <f t="shared" si="1"/>
        <v>0</v>
      </c>
      <c r="N20" s="87">
        <f t="shared" si="2"/>
        <v>215.24799999999999</v>
      </c>
      <c r="O20" s="88">
        <f t="shared" si="3"/>
        <v>55.24</v>
      </c>
      <c r="P20" s="278">
        <f t="shared" si="4"/>
        <v>11890.29952</v>
      </c>
      <c r="T20" s="177"/>
    </row>
    <row r="21" spans="1:20" s="109" customFormat="1" ht="60" x14ac:dyDescent="0.2">
      <c r="A21" s="97"/>
      <c r="B21" s="116"/>
      <c r="C21" s="117" t="s">
        <v>87</v>
      </c>
      <c r="D21" s="117" t="s">
        <v>69</v>
      </c>
      <c r="E21" s="118" t="s">
        <v>88</v>
      </c>
      <c r="F21" s="119" t="s">
        <v>89</v>
      </c>
      <c r="G21" s="120" t="s">
        <v>61</v>
      </c>
      <c r="H21" s="121">
        <v>13.2</v>
      </c>
      <c r="I21" s="122">
        <v>170.98</v>
      </c>
      <c r="J21" s="122">
        <v>2256.94</v>
      </c>
      <c r="K21" s="85">
        <f>ROUND(125.2/125.83*H21-H21,2)</f>
        <v>-7.0000000000000007E-2</v>
      </c>
      <c r="L21" s="86">
        <f t="shared" si="0"/>
        <v>170.98</v>
      </c>
      <c r="M21" s="277">
        <f t="shared" si="1"/>
        <v>-11.9686</v>
      </c>
      <c r="N21" s="87">
        <f t="shared" si="2"/>
        <v>13.129999999999999</v>
      </c>
      <c r="O21" s="88">
        <f t="shared" si="3"/>
        <v>170.98</v>
      </c>
      <c r="P21" s="278">
        <f t="shared" si="4"/>
        <v>2244.9673999999995</v>
      </c>
      <c r="T21" s="177"/>
    </row>
    <row r="22" spans="1:20" s="109" customFormat="1" ht="60" x14ac:dyDescent="0.2">
      <c r="A22" s="97"/>
      <c r="B22" s="116"/>
      <c r="C22" s="117" t="s">
        <v>90</v>
      </c>
      <c r="D22" s="117" t="s">
        <v>69</v>
      </c>
      <c r="E22" s="118" t="s">
        <v>91</v>
      </c>
      <c r="F22" s="119" t="s">
        <v>92</v>
      </c>
      <c r="G22" s="120" t="s">
        <v>61</v>
      </c>
      <c r="H22" s="121">
        <v>4.4000000000000004</v>
      </c>
      <c r="I22" s="122">
        <v>147.30000000000001</v>
      </c>
      <c r="J22" s="122">
        <v>648.12</v>
      </c>
      <c r="K22" s="85">
        <f t="shared" ref="K22:K39" si="5">ROUND(125.2/125.83*H22-H22,2)</f>
        <v>-0.02</v>
      </c>
      <c r="L22" s="86">
        <f t="shared" si="0"/>
        <v>147.30000000000001</v>
      </c>
      <c r="M22" s="277">
        <f t="shared" si="1"/>
        <v>-2.9460000000000002</v>
      </c>
      <c r="N22" s="87">
        <f t="shared" si="2"/>
        <v>4.3800000000000008</v>
      </c>
      <c r="O22" s="88">
        <f t="shared" si="3"/>
        <v>147.30000000000001</v>
      </c>
      <c r="P22" s="278">
        <f t="shared" si="4"/>
        <v>645.17400000000021</v>
      </c>
      <c r="T22" s="177"/>
    </row>
    <row r="23" spans="1:20" s="109" customFormat="1" ht="24" x14ac:dyDescent="0.2">
      <c r="A23" s="97"/>
      <c r="B23" s="116"/>
      <c r="C23" s="117" t="s">
        <v>93</v>
      </c>
      <c r="D23" s="117" t="s">
        <v>69</v>
      </c>
      <c r="E23" s="118" t="s">
        <v>94</v>
      </c>
      <c r="F23" s="119" t="s">
        <v>95</v>
      </c>
      <c r="G23" s="120" t="s">
        <v>62</v>
      </c>
      <c r="H23" s="121">
        <v>58.56</v>
      </c>
      <c r="I23" s="122">
        <v>257.77999999999997</v>
      </c>
      <c r="J23" s="122">
        <v>15095.6</v>
      </c>
      <c r="K23" s="85">
        <f t="shared" si="5"/>
        <v>-0.28999999999999998</v>
      </c>
      <c r="L23" s="86">
        <f t="shared" si="0"/>
        <v>257.77999999999997</v>
      </c>
      <c r="M23" s="277">
        <f t="shared" si="1"/>
        <v>-74.756199999999993</v>
      </c>
      <c r="N23" s="87">
        <f t="shared" si="2"/>
        <v>58.27</v>
      </c>
      <c r="O23" s="88">
        <f t="shared" si="3"/>
        <v>257.77999999999997</v>
      </c>
      <c r="P23" s="278">
        <f t="shared" si="4"/>
        <v>15020.8406</v>
      </c>
      <c r="T23" s="177"/>
    </row>
    <row r="24" spans="1:20" s="109" customFormat="1" ht="36" x14ac:dyDescent="0.2">
      <c r="A24" s="97"/>
      <c r="B24" s="116"/>
      <c r="C24" s="117" t="s">
        <v>26</v>
      </c>
      <c r="D24" s="117" t="s">
        <v>69</v>
      </c>
      <c r="E24" s="118" t="s">
        <v>96</v>
      </c>
      <c r="F24" s="119" t="s">
        <v>97</v>
      </c>
      <c r="G24" s="120" t="s">
        <v>62</v>
      </c>
      <c r="H24" s="121">
        <v>48.8</v>
      </c>
      <c r="I24" s="122">
        <v>234.11</v>
      </c>
      <c r="J24" s="122">
        <v>11424.57</v>
      </c>
      <c r="K24" s="85">
        <f t="shared" si="5"/>
        <v>-0.24</v>
      </c>
      <c r="L24" s="86">
        <f t="shared" si="0"/>
        <v>234.11</v>
      </c>
      <c r="M24" s="277">
        <f t="shared" si="1"/>
        <v>-56.186399999999999</v>
      </c>
      <c r="N24" s="87">
        <f t="shared" si="2"/>
        <v>48.559999999999995</v>
      </c>
      <c r="O24" s="88">
        <f t="shared" si="3"/>
        <v>234.11</v>
      </c>
      <c r="P24" s="278">
        <f t="shared" si="4"/>
        <v>11368.381599999999</v>
      </c>
      <c r="T24" s="177"/>
    </row>
    <row r="25" spans="1:20" s="109" customFormat="1" ht="36" x14ac:dyDescent="0.2">
      <c r="A25" s="97"/>
      <c r="B25" s="116"/>
      <c r="C25" s="117" t="s">
        <v>28</v>
      </c>
      <c r="D25" s="117" t="s">
        <v>69</v>
      </c>
      <c r="E25" s="118" t="s">
        <v>98</v>
      </c>
      <c r="F25" s="119" t="s">
        <v>99</v>
      </c>
      <c r="G25" s="120" t="s">
        <v>62</v>
      </c>
      <c r="H25" s="121">
        <v>93.87</v>
      </c>
      <c r="I25" s="122">
        <v>257.77999999999997</v>
      </c>
      <c r="J25" s="122">
        <v>24197.81</v>
      </c>
      <c r="K25" s="85">
        <f t="shared" si="5"/>
        <v>-0.47</v>
      </c>
      <c r="L25" s="86">
        <f t="shared" si="0"/>
        <v>257.77999999999997</v>
      </c>
      <c r="M25" s="277">
        <f t="shared" si="1"/>
        <v>-121.15659999999998</v>
      </c>
      <c r="N25" s="87">
        <f t="shared" si="2"/>
        <v>93.4</v>
      </c>
      <c r="O25" s="88">
        <f t="shared" si="3"/>
        <v>257.77999999999997</v>
      </c>
      <c r="P25" s="278">
        <f t="shared" si="4"/>
        <v>24076.651999999998</v>
      </c>
      <c r="T25" s="177"/>
    </row>
    <row r="26" spans="1:20" s="109" customFormat="1" ht="36" x14ac:dyDescent="0.2">
      <c r="A26" s="97"/>
      <c r="B26" s="116"/>
      <c r="C26" s="117" t="s">
        <v>30</v>
      </c>
      <c r="D26" s="117" t="s">
        <v>69</v>
      </c>
      <c r="E26" s="118" t="s">
        <v>100</v>
      </c>
      <c r="F26" s="119" t="s">
        <v>101</v>
      </c>
      <c r="G26" s="120" t="s">
        <v>62</v>
      </c>
      <c r="H26" s="121">
        <v>101.31</v>
      </c>
      <c r="I26" s="122">
        <v>315.64999999999998</v>
      </c>
      <c r="J26" s="122">
        <v>31978.5</v>
      </c>
      <c r="K26" s="85">
        <f t="shared" si="5"/>
        <v>-0.51</v>
      </c>
      <c r="L26" s="86">
        <f t="shared" si="0"/>
        <v>315.64999999999998</v>
      </c>
      <c r="M26" s="277">
        <f t="shared" si="1"/>
        <v>-160.98149999999998</v>
      </c>
      <c r="N26" s="87">
        <f t="shared" si="2"/>
        <v>100.8</v>
      </c>
      <c r="O26" s="88">
        <f t="shared" si="3"/>
        <v>315.64999999999998</v>
      </c>
      <c r="P26" s="278">
        <f t="shared" si="4"/>
        <v>31817.519999999997</v>
      </c>
      <c r="T26" s="177"/>
    </row>
    <row r="27" spans="1:20" s="109" customFormat="1" ht="24" x14ac:dyDescent="0.2">
      <c r="A27" s="97"/>
      <c r="B27" s="116"/>
      <c r="C27" s="117" t="s">
        <v>32</v>
      </c>
      <c r="D27" s="117" t="s">
        <v>69</v>
      </c>
      <c r="E27" s="118" t="s">
        <v>102</v>
      </c>
      <c r="F27" s="119" t="s">
        <v>103</v>
      </c>
      <c r="G27" s="120" t="s">
        <v>72</v>
      </c>
      <c r="H27" s="121">
        <v>550.32000000000005</v>
      </c>
      <c r="I27" s="122">
        <v>69.709999999999994</v>
      </c>
      <c r="J27" s="122">
        <v>38362.81</v>
      </c>
      <c r="K27" s="85">
        <f t="shared" si="5"/>
        <v>-2.76</v>
      </c>
      <c r="L27" s="86">
        <f t="shared" si="0"/>
        <v>69.709999999999994</v>
      </c>
      <c r="M27" s="277">
        <f t="shared" si="1"/>
        <v>-192.39959999999996</v>
      </c>
      <c r="N27" s="87">
        <f t="shared" si="2"/>
        <v>547.56000000000006</v>
      </c>
      <c r="O27" s="88">
        <f t="shared" si="3"/>
        <v>69.709999999999994</v>
      </c>
      <c r="P27" s="278">
        <f t="shared" si="4"/>
        <v>38170.407599999999</v>
      </c>
      <c r="T27" s="177"/>
    </row>
    <row r="28" spans="1:20" s="109" customFormat="1" ht="36" x14ac:dyDescent="0.2">
      <c r="A28" s="97"/>
      <c r="B28" s="116"/>
      <c r="C28" s="117" t="s">
        <v>34</v>
      </c>
      <c r="D28" s="117" t="s">
        <v>69</v>
      </c>
      <c r="E28" s="118" t="s">
        <v>104</v>
      </c>
      <c r="F28" s="119" t="s">
        <v>105</v>
      </c>
      <c r="G28" s="120" t="s">
        <v>72</v>
      </c>
      <c r="H28" s="121">
        <v>550.32000000000005</v>
      </c>
      <c r="I28" s="122">
        <v>80.23</v>
      </c>
      <c r="J28" s="122">
        <v>44152.17</v>
      </c>
      <c r="K28" s="85">
        <f t="shared" si="5"/>
        <v>-2.76</v>
      </c>
      <c r="L28" s="86">
        <f t="shared" si="0"/>
        <v>80.23</v>
      </c>
      <c r="M28" s="277">
        <f t="shared" si="1"/>
        <v>-221.4348</v>
      </c>
      <c r="N28" s="87">
        <f t="shared" si="2"/>
        <v>547.56000000000006</v>
      </c>
      <c r="O28" s="88">
        <f t="shared" si="3"/>
        <v>80.23</v>
      </c>
      <c r="P28" s="278">
        <f t="shared" si="4"/>
        <v>43930.738800000006</v>
      </c>
      <c r="T28" s="177"/>
    </row>
    <row r="29" spans="1:20" s="109" customFormat="1" ht="36" x14ac:dyDescent="0.2">
      <c r="A29" s="97"/>
      <c r="B29" s="116"/>
      <c r="C29" s="117" t="s">
        <v>1</v>
      </c>
      <c r="D29" s="117" t="s">
        <v>69</v>
      </c>
      <c r="E29" s="118" t="s">
        <v>106</v>
      </c>
      <c r="F29" s="119" t="s">
        <v>107</v>
      </c>
      <c r="G29" s="120" t="s">
        <v>62</v>
      </c>
      <c r="H29" s="121">
        <v>146.38800000000001</v>
      </c>
      <c r="I29" s="122">
        <v>13.15</v>
      </c>
      <c r="J29" s="122">
        <v>1925</v>
      </c>
      <c r="K29" s="85">
        <f t="shared" si="5"/>
        <v>-0.73</v>
      </c>
      <c r="L29" s="86">
        <f t="shared" si="0"/>
        <v>13.15</v>
      </c>
      <c r="M29" s="277">
        <f t="shared" si="1"/>
        <v>-9.5995000000000008</v>
      </c>
      <c r="N29" s="87">
        <f t="shared" si="2"/>
        <v>145.65800000000002</v>
      </c>
      <c r="O29" s="88">
        <f t="shared" si="3"/>
        <v>13.15</v>
      </c>
      <c r="P29" s="278">
        <f t="shared" si="4"/>
        <v>1915.4027000000003</v>
      </c>
      <c r="T29" s="177"/>
    </row>
    <row r="30" spans="1:20" s="109" customFormat="1" ht="36" x14ac:dyDescent="0.2">
      <c r="A30" s="97"/>
      <c r="B30" s="116"/>
      <c r="C30" s="117" t="s">
        <v>37</v>
      </c>
      <c r="D30" s="117" t="s">
        <v>69</v>
      </c>
      <c r="E30" s="118" t="s">
        <v>108</v>
      </c>
      <c r="F30" s="119" t="s">
        <v>109</v>
      </c>
      <c r="G30" s="120" t="s">
        <v>62</v>
      </c>
      <c r="H30" s="121">
        <v>384.68</v>
      </c>
      <c r="I30" s="122">
        <v>184.51</v>
      </c>
      <c r="J30" s="122">
        <v>70977.31</v>
      </c>
      <c r="K30" s="85">
        <f t="shared" si="5"/>
        <v>-1.93</v>
      </c>
      <c r="L30" s="86">
        <f t="shared" si="0"/>
        <v>184.51</v>
      </c>
      <c r="M30" s="277">
        <f t="shared" si="1"/>
        <v>-356.10429999999997</v>
      </c>
      <c r="N30" s="87">
        <f t="shared" si="2"/>
        <v>382.75</v>
      </c>
      <c r="O30" s="88">
        <f t="shared" si="3"/>
        <v>184.51</v>
      </c>
      <c r="P30" s="278">
        <f t="shared" si="4"/>
        <v>70621.202499999999</v>
      </c>
      <c r="T30" s="177"/>
    </row>
    <row r="31" spans="1:20" s="109" customFormat="1" ht="24" x14ac:dyDescent="0.2">
      <c r="A31" s="97"/>
      <c r="B31" s="116"/>
      <c r="C31" s="117" t="s">
        <v>39</v>
      </c>
      <c r="D31" s="117" t="s">
        <v>69</v>
      </c>
      <c r="E31" s="118" t="s">
        <v>110</v>
      </c>
      <c r="F31" s="119" t="s">
        <v>111</v>
      </c>
      <c r="G31" s="120" t="s">
        <v>62</v>
      </c>
      <c r="H31" s="121">
        <v>243.98</v>
      </c>
      <c r="I31" s="122">
        <v>44.72</v>
      </c>
      <c r="J31" s="122">
        <v>10910.79</v>
      </c>
      <c r="K31" s="85">
        <f t="shared" si="5"/>
        <v>-1.22</v>
      </c>
      <c r="L31" s="86">
        <f t="shared" si="0"/>
        <v>44.72</v>
      </c>
      <c r="M31" s="277">
        <f t="shared" si="1"/>
        <v>-54.558399999999999</v>
      </c>
      <c r="N31" s="87">
        <f t="shared" si="2"/>
        <v>242.76</v>
      </c>
      <c r="O31" s="88">
        <f t="shared" si="3"/>
        <v>44.72</v>
      </c>
      <c r="P31" s="278">
        <f t="shared" si="4"/>
        <v>10856.227199999999</v>
      </c>
      <c r="T31" s="177"/>
    </row>
    <row r="32" spans="1:20" s="109" customFormat="1" ht="36" x14ac:dyDescent="0.2">
      <c r="A32" s="97"/>
      <c r="B32" s="116"/>
      <c r="C32" s="117" t="s">
        <v>41</v>
      </c>
      <c r="D32" s="117" t="s">
        <v>69</v>
      </c>
      <c r="E32" s="118" t="s">
        <v>112</v>
      </c>
      <c r="F32" s="119" t="s">
        <v>113</v>
      </c>
      <c r="G32" s="120" t="s">
        <v>62</v>
      </c>
      <c r="H32" s="121">
        <v>102.21</v>
      </c>
      <c r="I32" s="122">
        <v>247.39</v>
      </c>
      <c r="J32" s="122">
        <v>25285.73</v>
      </c>
      <c r="K32" s="85">
        <f t="shared" si="5"/>
        <v>-0.51</v>
      </c>
      <c r="L32" s="86">
        <f t="shared" si="0"/>
        <v>247.39</v>
      </c>
      <c r="M32" s="277">
        <f t="shared" si="1"/>
        <v>-126.16889999999999</v>
      </c>
      <c r="N32" s="87">
        <f t="shared" si="2"/>
        <v>101.69999999999999</v>
      </c>
      <c r="O32" s="88">
        <f t="shared" si="3"/>
        <v>247.39</v>
      </c>
      <c r="P32" s="278">
        <f t="shared" si="4"/>
        <v>25159.562999999995</v>
      </c>
      <c r="T32" s="177"/>
    </row>
    <row r="33" spans="1:21" s="109" customFormat="1" ht="12" x14ac:dyDescent="0.2">
      <c r="A33" s="97"/>
      <c r="B33" s="116"/>
      <c r="C33" s="117" t="s">
        <v>114</v>
      </c>
      <c r="D33" s="117" t="s">
        <v>69</v>
      </c>
      <c r="E33" s="118" t="s">
        <v>115</v>
      </c>
      <c r="F33" s="119" t="s">
        <v>116</v>
      </c>
      <c r="G33" s="120" t="s">
        <v>62</v>
      </c>
      <c r="H33" s="121">
        <v>102.21</v>
      </c>
      <c r="I33" s="122">
        <v>11.84</v>
      </c>
      <c r="J33" s="122">
        <v>1210.17</v>
      </c>
      <c r="K33" s="85">
        <f t="shared" si="5"/>
        <v>-0.51</v>
      </c>
      <c r="L33" s="86">
        <f t="shared" si="0"/>
        <v>11.84</v>
      </c>
      <c r="M33" s="277">
        <f t="shared" si="1"/>
        <v>-6.0384000000000002</v>
      </c>
      <c r="N33" s="87">
        <f t="shared" si="2"/>
        <v>101.69999999999999</v>
      </c>
      <c r="O33" s="88">
        <f t="shared" si="3"/>
        <v>11.84</v>
      </c>
      <c r="P33" s="278">
        <f t="shared" si="4"/>
        <v>1204.1279999999999</v>
      </c>
      <c r="T33" s="177"/>
    </row>
    <row r="34" spans="1:21" s="109" customFormat="1" ht="24" x14ac:dyDescent="0.2">
      <c r="A34" s="97"/>
      <c r="B34" s="116"/>
      <c r="C34" s="117" t="s">
        <v>117</v>
      </c>
      <c r="D34" s="117" t="s">
        <v>69</v>
      </c>
      <c r="E34" s="118" t="s">
        <v>118</v>
      </c>
      <c r="F34" s="119" t="s">
        <v>119</v>
      </c>
      <c r="G34" s="120" t="s">
        <v>120</v>
      </c>
      <c r="H34" s="121">
        <v>163.34700000000001</v>
      </c>
      <c r="I34" s="122">
        <v>116</v>
      </c>
      <c r="J34" s="122">
        <v>18948.25</v>
      </c>
      <c r="K34" s="85">
        <f t="shared" si="5"/>
        <v>-0.82</v>
      </c>
      <c r="L34" s="86">
        <f t="shared" si="0"/>
        <v>116</v>
      </c>
      <c r="M34" s="277">
        <f t="shared" si="1"/>
        <v>-95.11999999999999</v>
      </c>
      <c r="N34" s="87">
        <f t="shared" si="2"/>
        <v>162.52700000000002</v>
      </c>
      <c r="O34" s="88">
        <f t="shared" si="3"/>
        <v>116</v>
      </c>
      <c r="P34" s="278">
        <f t="shared" si="4"/>
        <v>18853.132000000001</v>
      </c>
      <c r="T34" s="177"/>
    </row>
    <row r="35" spans="1:21" s="109" customFormat="1" ht="24" x14ac:dyDescent="0.2">
      <c r="A35" s="97"/>
      <c r="B35" s="116"/>
      <c r="C35" s="117" t="s">
        <v>0</v>
      </c>
      <c r="D35" s="117" t="s">
        <v>69</v>
      </c>
      <c r="E35" s="118" t="s">
        <v>121</v>
      </c>
      <c r="F35" s="119" t="s">
        <v>122</v>
      </c>
      <c r="G35" s="120" t="s">
        <v>62</v>
      </c>
      <c r="H35" s="121">
        <v>140.69999999999999</v>
      </c>
      <c r="I35" s="122">
        <v>286.72000000000003</v>
      </c>
      <c r="J35" s="122">
        <v>40341.5</v>
      </c>
      <c r="K35" s="85">
        <f t="shared" si="5"/>
        <v>-0.7</v>
      </c>
      <c r="L35" s="86">
        <f t="shared" si="0"/>
        <v>286.72000000000003</v>
      </c>
      <c r="M35" s="277">
        <f t="shared" si="1"/>
        <v>-200.70400000000001</v>
      </c>
      <c r="N35" s="87">
        <f t="shared" si="2"/>
        <v>140</v>
      </c>
      <c r="O35" s="88">
        <f t="shared" si="3"/>
        <v>286.72000000000003</v>
      </c>
      <c r="P35" s="278">
        <f t="shared" si="4"/>
        <v>40140.800000000003</v>
      </c>
      <c r="T35" s="177"/>
    </row>
    <row r="36" spans="1:21" s="109" customFormat="1" ht="36" x14ac:dyDescent="0.2">
      <c r="A36" s="97"/>
      <c r="B36" s="116"/>
      <c r="C36" s="117" t="s">
        <v>123</v>
      </c>
      <c r="D36" s="117" t="s">
        <v>69</v>
      </c>
      <c r="E36" s="118" t="s">
        <v>124</v>
      </c>
      <c r="F36" s="119" t="s">
        <v>125</v>
      </c>
      <c r="G36" s="120" t="s">
        <v>62</v>
      </c>
      <c r="H36" s="121">
        <v>70.78</v>
      </c>
      <c r="I36" s="122">
        <v>318.27999999999997</v>
      </c>
      <c r="J36" s="122">
        <v>22527.86</v>
      </c>
      <c r="K36" s="85">
        <f t="shared" si="5"/>
        <v>-0.35</v>
      </c>
      <c r="L36" s="86">
        <f t="shared" si="0"/>
        <v>318.27999999999997</v>
      </c>
      <c r="M36" s="277">
        <f t="shared" si="1"/>
        <v>-111.39799999999998</v>
      </c>
      <c r="N36" s="87">
        <f t="shared" si="2"/>
        <v>70.430000000000007</v>
      </c>
      <c r="O36" s="88">
        <f t="shared" si="3"/>
        <v>318.27999999999997</v>
      </c>
      <c r="P36" s="278">
        <f t="shared" si="4"/>
        <v>22416.4604</v>
      </c>
      <c r="T36" s="177"/>
    </row>
    <row r="37" spans="1:21" s="109" customFormat="1" ht="12" x14ac:dyDescent="0.2">
      <c r="A37" s="97"/>
      <c r="B37" s="116"/>
      <c r="C37" s="123" t="s">
        <v>126</v>
      </c>
      <c r="D37" s="123" t="s">
        <v>127</v>
      </c>
      <c r="E37" s="124" t="s">
        <v>128</v>
      </c>
      <c r="F37" s="125" t="s">
        <v>129</v>
      </c>
      <c r="G37" s="126" t="s">
        <v>120</v>
      </c>
      <c r="H37" s="127">
        <v>127.404</v>
      </c>
      <c r="I37" s="128">
        <v>190.76</v>
      </c>
      <c r="J37" s="128">
        <v>24303.59</v>
      </c>
      <c r="K37" s="85">
        <f t="shared" si="5"/>
        <v>-0.64</v>
      </c>
      <c r="L37" s="86">
        <f t="shared" si="0"/>
        <v>190.76</v>
      </c>
      <c r="M37" s="277">
        <f t="shared" si="1"/>
        <v>-122.0864</v>
      </c>
      <c r="N37" s="87">
        <f t="shared" si="2"/>
        <v>126.764</v>
      </c>
      <c r="O37" s="88">
        <f t="shared" si="3"/>
        <v>190.76</v>
      </c>
      <c r="P37" s="278">
        <f t="shared" si="4"/>
        <v>24181.500639999998</v>
      </c>
      <c r="T37" s="177"/>
    </row>
    <row r="38" spans="1:21" s="110" customFormat="1" ht="12.75" x14ac:dyDescent="0.2">
      <c r="C38" s="245"/>
      <c r="D38" s="246" t="s">
        <v>3</v>
      </c>
      <c r="E38" s="247" t="s">
        <v>76</v>
      </c>
      <c r="F38" s="247" t="s">
        <v>130</v>
      </c>
      <c r="G38" s="245"/>
      <c r="H38" s="245"/>
      <c r="I38" s="245"/>
      <c r="J38" s="248">
        <v>4137.29</v>
      </c>
      <c r="K38" s="243"/>
      <c r="L38" s="244"/>
      <c r="M38" s="279">
        <f>M39</f>
        <v>-20.714400000000001</v>
      </c>
      <c r="N38" s="280" t="str">
        <f t="shared" ref="N38" si="6">IF(ISBLANK(H38),"",H38-K38)</f>
        <v/>
      </c>
      <c r="O38" s="244"/>
      <c r="P38" s="279">
        <f>P39</f>
        <v>4116.576</v>
      </c>
    </row>
    <row r="39" spans="1:21" s="109" customFormat="1" ht="12" x14ac:dyDescent="0.2">
      <c r="A39" s="97"/>
      <c r="B39" s="116"/>
      <c r="C39" s="117" t="s">
        <v>131</v>
      </c>
      <c r="D39" s="117" t="s">
        <v>69</v>
      </c>
      <c r="E39" s="118" t="s">
        <v>132</v>
      </c>
      <c r="F39" s="119" t="s">
        <v>133</v>
      </c>
      <c r="G39" s="120" t="s">
        <v>61</v>
      </c>
      <c r="H39" s="121">
        <v>125.83</v>
      </c>
      <c r="I39" s="122">
        <v>32.880000000000003</v>
      </c>
      <c r="J39" s="122">
        <v>4137.29</v>
      </c>
      <c r="K39" s="85">
        <f t="shared" si="5"/>
        <v>-0.63</v>
      </c>
      <c r="L39" s="86">
        <f t="shared" si="0"/>
        <v>32.880000000000003</v>
      </c>
      <c r="M39" s="277">
        <f t="shared" si="1"/>
        <v>-20.714400000000001</v>
      </c>
      <c r="N39" s="87">
        <f t="shared" si="2"/>
        <v>125.2</v>
      </c>
      <c r="O39" s="88">
        <f t="shared" si="3"/>
        <v>32.880000000000003</v>
      </c>
      <c r="P39" s="278">
        <f t="shared" si="4"/>
        <v>4116.576</v>
      </c>
    </row>
    <row r="40" spans="1:21" s="110" customFormat="1" ht="12.75" x14ac:dyDescent="0.2">
      <c r="C40" s="245"/>
      <c r="D40" s="246" t="s">
        <v>3</v>
      </c>
      <c r="E40" s="247" t="s">
        <v>73</v>
      </c>
      <c r="F40" s="247" t="s">
        <v>134</v>
      </c>
      <c r="G40" s="245"/>
      <c r="H40" s="245"/>
      <c r="I40" s="245"/>
      <c r="J40" s="248">
        <v>2809.32</v>
      </c>
      <c r="K40" s="243"/>
      <c r="L40" s="244"/>
      <c r="M40" s="279">
        <f>SUM(M41:M42)</f>
        <v>0</v>
      </c>
      <c r="N40" s="280"/>
      <c r="O40" s="244"/>
      <c r="P40" s="279">
        <f>SUM(P41:P42)</f>
        <v>2809.3199999999997</v>
      </c>
    </row>
    <row r="41" spans="1:21" s="109" customFormat="1" ht="24" x14ac:dyDescent="0.2">
      <c r="A41" s="97"/>
      <c r="B41" s="116"/>
      <c r="C41" s="117" t="s">
        <v>135</v>
      </c>
      <c r="D41" s="117" t="s">
        <v>69</v>
      </c>
      <c r="E41" s="118" t="s">
        <v>136</v>
      </c>
      <c r="F41" s="119" t="s">
        <v>137</v>
      </c>
      <c r="G41" s="120" t="s">
        <v>138</v>
      </c>
      <c r="H41" s="121">
        <v>6</v>
      </c>
      <c r="I41" s="122">
        <v>122.32</v>
      </c>
      <c r="J41" s="122">
        <v>733.92</v>
      </c>
      <c r="K41" s="85">
        <v>0</v>
      </c>
      <c r="L41" s="86">
        <f t="shared" si="0"/>
        <v>122.32</v>
      </c>
      <c r="M41" s="277">
        <f t="shared" si="1"/>
        <v>0</v>
      </c>
      <c r="N41" s="87">
        <f t="shared" si="2"/>
        <v>6</v>
      </c>
      <c r="O41" s="88">
        <f t="shared" si="3"/>
        <v>122.32</v>
      </c>
      <c r="P41" s="278">
        <f t="shared" si="4"/>
        <v>733.92</v>
      </c>
      <c r="Q41" s="152"/>
    </row>
    <row r="42" spans="1:21" s="109" customFormat="1" ht="12" x14ac:dyDescent="0.2">
      <c r="A42" s="97"/>
      <c r="B42" s="116"/>
      <c r="C42" s="123" t="s">
        <v>139</v>
      </c>
      <c r="D42" s="123" t="s">
        <v>127</v>
      </c>
      <c r="E42" s="124" t="s">
        <v>146</v>
      </c>
      <c r="F42" s="125" t="s">
        <v>147</v>
      </c>
      <c r="G42" s="126" t="s">
        <v>138</v>
      </c>
      <c r="H42" s="127">
        <v>6</v>
      </c>
      <c r="I42" s="128">
        <v>345.9</v>
      </c>
      <c r="J42" s="128">
        <v>2075.4</v>
      </c>
      <c r="K42" s="85">
        <v>0</v>
      </c>
      <c r="L42" s="86">
        <f t="shared" si="0"/>
        <v>345.9</v>
      </c>
      <c r="M42" s="277">
        <f t="shared" si="1"/>
        <v>0</v>
      </c>
      <c r="N42" s="87">
        <f t="shared" si="2"/>
        <v>6</v>
      </c>
      <c r="O42" s="88">
        <f t="shared" si="3"/>
        <v>345.9</v>
      </c>
      <c r="P42" s="278">
        <f t="shared" si="4"/>
        <v>2075.3999999999996</v>
      </c>
    </row>
    <row r="43" spans="1:21" s="110" customFormat="1" ht="12.75" x14ac:dyDescent="0.2">
      <c r="C43" s="245"/>
      <c r="D43" s="246" t="s">
        <v>3</v>
      </c>
      <c r="E43" s="247" t="s">
        <v>81</v>
      </c>
      <c r="F43" s="247" t="s">
        <v>154</v>
      </c>
      <c r="G43" s="245"/>
      <c r="H43" s="245"/>
      <c r="I43" s="245"/>
      <c r="J43" s="248">
        <v>217892.28000000003</v>
      </c>
      <c r="K43" s="243"/>
      <c r="L43" s="244"/>
      <c r="M43" s="279">
        <f>SUM(M44:M52)</f>
        <v>0</v>
      </c>
      <c r="N43" s="280"/>
      <c r="O43" s="244"/>
      <c r="P43" s="279">
        <f>SUM(P44:P52)</f>
        <v>217892.28978000002</v>
      </c>
    </row>
    <row r="44" spans="1:21" s="109" customFormat="1" ht="24" x14ac:dyDescent="0.2">
      <c r="A44" s="97"/>
      <c r="B44" s="116"/>
      <c r="C44" s="117" t="s">
        <v>142</v>
      </c>
      <c r="D44" s="117" t="s">
        <v>69</v>
      </c>
      <c r="E44" s="118" t="s">
        <v>156</v>
      </c>
      <c r="F44" s="119" t="s">
        <v>157</v>
      </c>
      <c r="G44" s="120" t="s">
        <v>72</v>
      </c>
      <c r="H44" s="121">
        <v>134.79400000000001</v>
      </c>
      <c r="I44" s="122">
        <v>319.88</v>
      </c>
      <c r="J44" s="122">
        <v>43117.9</v>
      </c>
      <c r="K44" s="85">
        <v>0</v>
      </c>
      <c r="L44" s="86">
        <f t="shared" si="0"/>
        <v>319.88</v>
      </c>
      <c r="M44" s="277">
        <f t="shared" si="1"/>
        <v>0</v>
      </c>
      <c r="N44" s="87">
        <f t="shared" si="2"/>
        <v>134.79400000000001</v>
      </c>
      <c r="O44" s="88">
        <f t="shared" si="3"/>
        <v>319.88</v>
      </c>
      <c r="P44" s="278">
        <f t="shared" si="4"/>
        <v>43117.904720000006</v>
      </c>
      <c r="R44" s="148" t="s">
        <v>1007</v>
      </c>
      <c r="S44" s="109" t="s">
        <v>1008</v>
      </c>
    </row>
    <row r="45" spans="1:21" s="109" customFormat="1" ht="24" x14ac:dyDescent="0.2">
      <c r="A45" s="97"/>
      <c r="B45" s="116"/>
      <c r="C45" s="117" t="s">
        <v>145</v>
      </c>
      <c r="D45" s="117" t="s">
        <v>69</v>
      </c>
      <c r="E45" s="118" t="s">
        <v>162</v>
      </c>
      <c r="F45" s="119" t="s">
        <v>163</v>
      </c>
      <c r="G45" s="120" t="s">
        <v>72</v>
      </c>
      <c r="H45" s="121">
        <v>138.42400000000001</v>
      </c>
      <c r="I45" s="122">
        <v>155.66999999999999</v>
      </c>
      <c r="J45" s="122">
        <v>21548.46</v>
      </c>
      <c r="K45" s="85">
        <v>0</v>
      </c>
      <c r="L45" s="86">
        <f t="shared" si="0"/>
        <v>155.66999999999999</v>
      </c>
      <c r="M45" s="277">
        <f t="shared" si="1"/>
        <v>0</v>
      </c>
      <c r="N45" s="87">
        <f t="shared" si="2"/>
        <v>138.42400000000001</v>
      </c>
      <c r="O45" s="88">
        <f t="shared" si="3"/>
        <v>155.66999999999999</v>
      </c>
      <c r="P45" s="278">
        <f t="shared" si="4"/>
        <v>21548.464079999998</v>
      </c>
      <c r="R45" s="148" t="s">
        <v>1007</v>
      </c>
      <c r="S45" s="109" t="s">
        <v>1008</v>
      </c>
    </row>
    <row r="46" spans="1:21" s="109" customFormat="1" ht="36" x14ac:dyDescent="0.2">
      <c r="A46" s="97"/>
      <c r="B46" s="116"/>
      <c r="C46" s="117" t="s">
        <v>148</v>
      </c>
      <c r="D46" s="117" t="s">
        <v>69</v>
      </c>
      <c r="E46" s="118" t="s">
        <v>325</v>
      </c>
      <c r="F46" s="119" t="s">
        <v>326</v>
      </c>
      <c r="G46" s="120" t="s">
        <v>72</v>
      </c>
      <c r="H46" s="121">
        <v>3.63</v>
      </c>
      <c r="I46" s="122">
        <v>420.19</v>
      </c>
      <c r="J46" s="122">
        <v>1525.29</v>
      </c>
      <c r="K46" s="85">
        <v>0</v>
      </c>
      <c r="L46" s="86">
        <f t="shared" si="0"/>
        <v>420.19</v>
      </c>
      <c r="M46" s="277">
        <f t="shared" si="1"/>
        <v>0</v>
      </c>
      <c r="N46" s="87">
        <f t="shared" si="2"/>
        <v>3.63</v>
      </c>
      <c r="O46" s="88">
        <f t="shared" si="3"/>
        <v>420.19</v>
      </c>
      <c r="P46" s="278">
        <f t="shared" si="4"/>
        <v>1525.2897</v>
      </c>
    </row>
    <row r="47" spans="1:21" s="109" customFormat="1" ht="24" x14ac:dyDescent="0.2">
      <c r="A47" s="97"/>
      <c r="B47" s="116"/>
      <c r="C47" s="117" t="s">
        <v>151</v>
      </c>
      <c r="D47" s="117" t="s">
        <v>69</v>
      </c>
      <c r="E47" s="118" t="s">
        <v>327</v>
      </c>
      <c r="F47" s="119" t="s">
        <v>328</v>
      </c>
      <c r="G47" s="120" t="s">
        <v>72</v>
      </c>
      <c r="H47" s="121">
        <v>3.63</v>
      </c>
      <c r="I47" s="122">
        <v>315.11</v>
      </c>
      <c r="J47" s="122">
        <v>1143.8499999999999</v>
      </c>
      <c r="K47" s="85">
        <v>0</v>
      </c>
      <c r="L47" s="86">
        <f t="shared" si="0"/>
        <v>315.11</v>
      </c>
      <c r="M47" s="277">
        <f t="shared" si="1"/>
        <v>0</v>
      </c>
      <c r="N47" s="87">
        <f t="shared" si="2"/>
        <v>3.63</v>
      </c>
      <c r="O47" s="88">
        <f t="shared" si="3"/>
        <v>315.11</v>
      </c>
      <c r="P47" s="278">
        <f t="shared" si="4"/>
        <v>1143.8493000000001</v>
      </c>
      <c r="T47" s="148" t="s">
        <v>1070</v>
      </c>
      <c r="U47" s="109" t="s">
        <v>1073</v>
      </c>
    </row>
    <row r="48" spans="1:21" s="109" customFormat="1" ht="24" x14ac:dyDescent="0.2">
      <c r="A48" s="97"/>
      <c r="B48" s="116"/>
      <c r="C48" s="117" t="s">
        <v>155</v>
      </c>
      <c r="D48" s="117" t="s">
        <v>69</v>
      </c>
      <c r="E48" s="118" t="s">
        <v>168</v>
      </c>
      <c r="F48" s="119" t="s">
        <v>169</v>
      </c>
      <c r="G48" s="120" t="s">
        <v>72</v>
      </c>
      <c r="H48" s="121">
        <v>215.24799999999999</v>
      </c>
      <c r="I48" s="122">
        <v>18.04</v>
      </c>
      <c r="J48" s="122">
        <v>3883.07</v>
      </c>
      <c r="K48" s="85">
        <v>0</v>
      </c>
      <c r="L48" s="86">
        <f t="shared" si="0"/>
        <v>18.04</v>
      </c>
      <c r="M48" s="277">
        <f t="shared" si="1"/>
        <v>0</v>
      </c>
      <c r="N48" s="87">
        <f t="shared" si="2"/>
        <v>215.24799999999999</v>
      </c>
      <c r="O48" s="88">
        <f t="shared" si="3"/>
        <v>18.04</v>
      </c>
      <c r="P48" s="278">
        <f t="shared" si="4"/>
        <v>3883.0739199999998</v>
      </c>
      <c r="T48" s="149"/>
    </row>
    <row r="49" spans="1:29" s="109" customFormat="1" ht="36" x14ac:dyDescent="0.2">
      <c r="A49" s="97"/>
      <c r="B49" s="116"/>
      <c r="C49" s="117" t="s">
        <v>158</v>
      </c>
      <c r="D49" s="117" t="s">
        <v>69</v>
      </c>
      <c r="E49" s="118" t="s">
        <v>171</v>
      </c>
      <c r="F49" s="119" t="s">
        <v>172</v>
      </c>
      <c r="G49" s="120" t="s">
        <v>72</v>
      </c>
      <c r="H49" s="121">
        <v>208.31800000000001</v>
      </c>
      <c r="I49" s="122">
        <v>396.71</v>
      </c>
      <c r="J49" s="122">
        <v>82641.83</v>
      </c>
      <c r="K49" s="85">
        <v>0</v>
      </c>
      <c r="L49" s="86">
        <f t="shared" si="0"/>
        <v>396.71</v>
      </c>
      <c r="M49" s="277">
        <f t="shared" si="1"/>
        <v>0</v>
      </c>
      <c r="N49" s="87">
        <f t="shared" si="2"/>
        <v>208.31800000000001</v>
      </c>
      <c r="O49" s="88">
        <f t="shared" si="3"/>
        <v>396.71</v>
      </c>
      <c r="P49" s="278">
        <f t="shared" si="4"/>
        <v>82641.833780000001</v>
      </c>
    </row>
    <row r="50" spans="1:29" s="109" customFormat="1" ht="36" x14ac:dyDescent="0.2">
      <c r="A50" s="97"/>
      <c r="B50" s="116"/>
      <c r="C50" s="117" t="s">
        <v>161</v>
      </c>
      <c r="D50" s="117" t="s">
        <v>69</v>
      </c>
      <c r="E50" s="118" t="s">
        <v>329</v>
      </c>
      <c r="F50" s="119" t="s">
        <v>330</v>
      </c>
      <c r="G50" s="120" t="s">
        <v>72</v>
      </c>
      <c r="H50" s="121">
        <v>6.93</v>
      </c>
      <c r="I50" s="122">
        <v>396.71</v>
      </c>
      <c r="J50" s="122">
        <v>2749.2</v>
      </c>
      <c r="K50" s="85">
        <v>0</v>
      </c>
      <c r="L50" s="86">
        <f t="shared" si="0"/>
        <v>396.71</v>
      </c>
      <c r="M50" s="277">
        <f t="shared" si="1"/>
        <v>0</v>
      </c>
      <c r="N50" s="87">
        <f t="shared" si="2"/>
        <v>6.93</v>
      </c>
      <c r="O50" s="88">
        <f t="shared" si="3"/>
        <v>396.71</v>
      </c>
      <c r="P50" s="278">
        <f t="shared" si="4"/>
        <v>2749.2003</v>
      </c>
    </row>
    <row r="51" spans="1:29" s="109" customFormat="1" ht="24" x14ac:dyDescent="0.2">
      <c r="A51" s="97"/>
      <c r="B51" s="116"/>
      <c r="C51" s="117" t="s">
        <v>164</v>
      </c>
      <c r="D51" s="117" t="s">
        <v>69</v>
      </c>
      <c r="E51" s="118" t="s">
        <v>174</v>
      </c>
      <c r="F51" s="119" t="s">
        <v>175</v>
      </c>
      <c r="G51" s="120" t="s">
        <v>72</v>
      </c>
      <c r="H51" s="121">
        <v>134.79400000000001</v>
      </c>
      <c r="I51" s="122">
        <v>443.02</v>
      </c>
      <c r="J51" s="122">
        <v>59716.44</v>
      </c>
      <c r="K51" s="85">
        <v>0</v>
      </c>
      <c r="L51" s="86">
        <f t="shared" si="0"/>
        <v>443.02</v>
      </c>
      <c r="M51" s="277">
        <f t="shared" si="1"/>
        <v>0</v>
      </c>
      <c r="N51" s="87">
        <f t="shared" si="2"/>
        <v>134.79400000000001</v>
      </c>
      <c r="O51" s="88">
        <f t="shared" si="3"/>
        <v>443.02</v>
      </c>
      <c r="P51" s="278">
        <f t="shared" si="4"/>
        <v>59716.437880000005</v>
      </c>
    </row>
    <row r="52" spans="1:29" s="109" customFormat="1" ht="24" x14ac:dyDescent="0.2">
      <c r="A52" s="97"/>
      <c r="B52" s="116"/>
      <c r="C52" s="117" t="s">
        <v>167</v>
      </c>
      <c r="D52" s="117" t="s">
        <v>69</v>
      </c>
      <c r="E52" s="118" t="s">
        <v>331</v>
      </c>
      <c r="F52" s="119" t="s">
        <v>332</v>
      </c>
      <c r="G52" s="120" t="s">
        <v>72</v>
      </c>
      <c r="H52" s="121">
        <v>3.63</v>
      </c>
      <c r="I52" s="122">
        <v>431.47</v>
      </c>
      <c r="J52" s="122">
        <v>1566.24</v>
      </c>
      <c r="K52" s="85">
        <v>0</v>
      </c>
      <c r="L52" s="86">
        <f t="shared" si="0"/>
        <v>431.47</v>
      </c>
      <c r="M52" s="277">
        <f t="shared" si="1"/>
        <v>0</v>
      </c>
      <c r="N52" s="87">
        <f t="shared" si="2"/>
        <v>3.63</v>
      </c>
      <c r="O52" s="88">
        <f t="shared" si="3"/>
        <v>431.47</v>
      </c>
      <c r="P52" s="278">
        <f t="shared" si="4"/>
        <v>1566.2361000000001</v>
      </c>
    </row>
    <row r="53" spans="1:29" s="110" customFormat="1" ht="12.75" x14ac:dyDescent="0.2">
      <c r="C53" s="245"/>
      <c r="D53" s="246" t="s">
        <v>3</v>
      </c>
      <c r="E53" s="247" t="s">
        <v>90</v>
      </c>
      <c r="F53" s="247" t="s">
        <v>182</v>
      </c>
      <c r="G53" s="245"/>
      <c r="H53" s="245"/>
      <c r="I53" s="245"/>
      <c r="J53" s="248">
        <v>386356.63000000006</v>
      </c>
      <c r="K53" s="243"/>
      <c r="L53" s="244"/>
      <c r="M53" s="279">
        <f>SUM(M54:M69)</f>
        <v>-1358.8815999999999</v>
      </c>
      <c r="N53" s="280" t="str">
        <f t="shared" ref="N53:N77" si="7">IF(ISBLANK(H53),"",H53-K53)</f>
        <v/>
      </c>
      <c r="O53" s="244"/>
      <c r="P53" s="279">
        <f>SUM(P54:P69)</f>
        <v>384997.75659</v>
      </c>
    </row>
    <row r="54" spans="1:29" s="109" customFormat="1" ht="24" x14ac:dyDescent="0.2">
      <c r="A54" s="97"/>
      <c r="B54" s="116"/>
      <c r="C54" s="117" t="s">
        <v>170</v>
      </c>
      <c r="D54" s="117" t="s">
        <v>69</v>
      </c>
      <c r="E54" s="118" t="s">
        <v>184</v>
      </c>
      <c r="F54" s="119" t="s">
        <v>185</v>
      </c>
      <c r="G54" s="120" t="s">
        <v>61</v>
      </c>
      <c r="H54" s="121">
        <v>125.83</v>
      </c>
      <c r="I54" s="122">
        <v>552.39</v>
      </c>
      <c r="J54" s="122">
        <v>69507.23</v>
      </c>
      <c r="K54" s="85">
        <f t="shared" ref="K54:K55" si="8">ROUND(125.2/125.83*H54-H54,2)</f>
        <v>-0.63</v>
      </c>
      <c r="L54" s="86">
        <f t="shared" si="0"/>
        <v>552.39</v>
      </c>
      <c r="M54" s="277">
        <f t="shared" si="1"/>
        <v>-348.00569999999999</v>
      </c>
      <c r="N54" s="87">
        <f t="shared" si="2"/>
        <v>125.2</v>
      </c>
      <c r="O54" s="88">
        <f t="shared" si="3"/>
        <v>552.39</v>
      </c>
      <c r="P54" s="278">
        <f t="shared" si="4"/>
        <v>69159.228000000003</v>
      </c>
      <c r="T54" s="150" t="s">
        <v>1066</v>
      </c>
      <c r="U54" s="109" t="s">
        <v>1076</v>
      </c>
    </row>
    <row r="55" spans="1:29" s="109" customFormat="1" ht="24" x14ac:dyDescent="0.2">
      <c r="A55" s="97"/>
      <c r="B55" s="116"/>
      <c r="C55" s="123" t="s">
        <v>173</v>
      </c>
      <c r="D55" s="123" t="s">
        <v>127</v>
      </c>
      <c r="E55" s="124" t="s">
        <v>187</v>
      </c>
      <c r="F55" s="125" t="s">
        <v>333</v>
      </c>
      <c r="G55" s="126" t="s">
        <v>61</v>
      </c>
      <c r="H55" s="127">
        <v>127.717</v>
      </c>
      <c r="I55" s="128">
        <v>1060.07</v>
      </c>
      <c r="J55" s="128">
        <v>135388.96</v>
      </c>
      <c r="K55" s="85">
        <f t="shared" si="8"/>
        <v>-0.64</v>
      </c>
      <c r="L55" s="86">
        <f t="shared" si="0"/>
        <v>1060.07</v>
      </c>
      <c r="M55" s="277">
        <f t="shared" si="1"/>
        <v>-678.44479999999999</v>
      </c>
      <c r="N55" s="87">
        <f t="shared" si="2"/>
        <v>127.077</v>
      </c>
      <c r="O55" s="88">
        <f t="shared" si="3"/>
        <v>1060.07</v>
      </c>
      <c r="P55" s="278">
        <f t="shared" si="4"/>
        <v>134710.51538999999</v>
      </c>
      <c r="T55" s="150" t="s">
        <v>1067</v>
      </c>
      <c r="U55" s="109" t="s">
        <v>1076</v>
      </c>
    </row>
    <row r="56" spans="1:29" s="109" customFormat="1" ht="24" x14ac:dyDescent="0.2">
      <c r="A56" s="97"/>
      <c r="B56" s="116"/>
      <c r="C56" s="117" t="s">
        <v>176</v>
      </c>
      <c r="D56" s="117" t="s">
        <v>69</v>
      </c>
      <c r="E56" s="118" t="s">
        <v>202</v>
      </c>
      <c r="F56" s="119" t="s">
        <v>203</v>
      </c>
      <c r="G56" s="120" t="s">
        <v>138</v>
      </c>
      <c r="H56" s="121">
        <v>10</v>
      </c>
      <c r="I56" s="122">
        <v>260.41000000000003</v>
      </c>
      <c r="J56" s="122">
        <v>2604.1</v>
      </c>
      <c r="K56" s="85">
        <v>0</v>
      </c>
      <c r="L56" s="86">
        <f t="shared" si="0"/>
        <v>260.41000000000003</v>
      </c>
      <c r="M56" s="277">
        <f t="shared" si="1"/>
        <v>0</v>
      </c>
      <c r="N56" s="87">
        <f t="shared" si="2"/>
        <v>10</v>
      </c>
      <c r="O56" s="88">
        <f t="shared" si="3"/>
        <v>260.41000000000003</v>
      </c>
      <c r="P56" s="278">
        <f t="shared" si="4"/>
        <v>2604.1000000000004</v>
      </c>
    </row>
    <row r="57" spans="1:29" s="109" customFormat="1" ht="24" x14ac:dyDescent="0.2">
      <c r="A57" s="97"/>
      <c r="B57" s="116"/>
      <c r="C57" s="123" t="s">
        <v>179</v>
      </c>
      <c r="D57" s="123" t="s">
        <v>127</v>
      </c>
      <c r="E57" s="124" t="s">
        <v>205</v>
      </c>
      <c r="F57" s="125" t="s">
        <v>206</v>
      </c>
      <c r="G57" s="126" t="s">
        <v>138</v>
      </c>
      <c r="H57" s="127">
        <v>9.9999999999999893</v>
      </c>
      <c r="I57" s="128">
        <v>1801.85</v>
      </c>
      <c r="J57" s="128">
        <v>18018.5</v>
      </c>
      <c r="K57" s="85">
        <v>0</v>
      </c>
      <c r="L57" s="86">
        <f t="shared" si="0"/>
        <v>1801.85</v>
      </c>
      <c r="M57" s="277">
        <f t="shared" si="1"/>
        <v>0</v>
      </c>
      <c r="N57" s="87">
        <f t="shared" si="2"/>
        <v>9.9999999999999893</v>
      </c>
      <c r="O57" s="88">
        <f t="shared" si="3"/>
        <v>1801.85</v>
      </c>
      <c r="P57" s="278">
        <f t="shared" si="4"/>
        <v>18018.499999999978</v>
      </c>
    </row>
    <row r="58" spans="1:29" s="109" customFormat="1" ht="12" x14ac:dyDescent="0.2">
      <c r="A58" s="97"/>
      <c r="B58" s="116"/>
      <c r="C58" s="117" t="s">
        <v>183</v>
      </c>
      <c r="D58" s="117" t="s">
        <v>69</v>
      </c>
      <c r="E58" s="118" t="s">
        <v>211</v>
      </c>
      <c r="F58" s="119" t="s">
        <v>212</v>
      </c>
      <c r="G58" s="120" t="s">
        <v>213</v>
      </c>
      <c r="H58" s="121">
        <v>3</v>
      </c>
      <c r="I58" s="122">
        <v>2564.6799999999998</v>
      </c>
      <c r="J58" s="122">
        <v>7694.04</v>
      </c>
      <c r="K58" s="85">
        <f t="shared" ref="K58" si="9">ROUND(125.2/125.83*H58-H58,2)</f>
        <v>-0.02</v>
      </c>
      <c r="L58" s="86">
        <f t="shared" si="0"/>
        <v>2564.6799999999998</v>
      </c>
      <c r="M58" s="277">
        <f t="shared" si="1"/>
        <v>-51.293599999999998</v>
      </c>
      <c r="N58" s="87">
        <f t="shared" si="2"/>
        <v>2.98</v>
      </c>
      <c r="O58" s="88">
        <f t="shared" si="3"/>
        <v>2564.6799999999998</v>
      </c>
      <c r="P58" s="278">
        <f t="shared" si="4"/>
        <v>7642.7463999999991</v>
      </c>
      <c r="Z58" s="148" t="s">
        <v>1155</v>
      </c>
      <c r="AB58" s="148" t="s">
        <v>1189</v>
      </c>
      <c r="AC58" s="109" t="s">
        <v>1200</v>
      </c>
    </row>
    <row r="59" spans="1:29" s="109" customFormat="1" ht="24" x14ac:dyDescent="0.2">
      <c r="A59" s="97"/>
      <c r="B59" s="116"/>
      <c r="C59" s="117" t="s">
        <v>186</v>
      </c>
      <c r="D59" s="117" t="s">
        <v>69</v>
      </c>
      <c r="E59" s="118" t="s">
        <v>215</v>
      </c>
      <c r="F59" s="119" t="s">
        <v>216</v>
      </c>
      <c r="G59" s="120" t="s">
        <v>138</v>
      </c>
      <c r="H59" s="121">
        <v>3</v>
      </c>
      <c r="I59" s="122">
        <v>2016.23</v>
      </c>
      <c r="J59" s="122">
        <v>6048.69</v>
      </c>
      <c r="K59" s="85">
        <v>0</v>
      </c>
      <c r="L59" s="86">
        <f t="shared" si="0"/>
        <v>2016.23</v>
      </c>
      <c r="M59" s="277">
        <f t="shared" si="1"/>
        <v>0</v>
      </c>
      <c r="N59" s="87">
        <f t="shared" si="2"/>
        <v>3</v>
      </c>
      <c r="O59" s="88">
        <f t="shared" si="3"/>
        <v>2016.23</v>
      </c>
      <c r="P59" s="278">
        <f t="shared" si="4"/>
        <v>6048.6900000000005</v>
      </c>
    </row>
    <row r="60" spans="1:29" s="109" customFormat="1" ht="12" x14ac:dyDescent="0.2">
      <c r="A60" s="97"/>
      <c r="B60" s="116"/>
      <c r="C60" s="123" t="s">
        <v>189</v>
      </c>
      <c r="D60" s="123" t="s">
        <v>127</v>
      </c>
      <c r="E60" s="124" t="s">
        <v>221</v>
      </c>
      <c r="F60" s="125" t="s">
        <v>222</v>
      </c>
      <c r="G60" s="126" t="s">
        <v>138</v>
      </c>
      <c r="H60" s="127">
        <v>3</v>
      </c>
      <c r="I60" s="128">
        <v>14898.16</v>
      </c>
      <c r="J60" s="128">
        <v>44694.48</v>
      </c>
      <c r="K60" s="85">
        <v>0</v>
      </c>
      <c r="L60" s="86">
        <f t="shared" si="0"/>
        <v>14898.16</v>
      </c>
      <c r="M60" s="277">
        <f t="shared" si="1"/>
        <v>0</v>
      </c>
      <c r="N60" s="87">
        <f t="shared" si="2"/>
        <v>3</v>
      </c>
      <c r="O60" s="88">
        <f t="shared" si="3"/>
        <v>14898.16</v>
      </c>
      <c r="P60" s="278">
        <f t="shared" si="4"/>
        <v>44694.479999999996</v>
      </c>
      <c r="Q60" s="151"/>
    </row>
    <row r="61" spans="1:29" s="109" customFormat="1" ht="12" x14ac:dyDescent="0.2">
      <c r="A61" s="97"/>
      <c r="B61" s="116"/>
      <c r="C61" s="123" t="s">
        <v>192</v>
      </c>
      <c r="D61" s="123" t="s">
        <v>127</v>
      </c>
      <c r="E61" s="124" t="s">
        <v>224</v>
      </c>
      <c r="F61" s="125" t="s">
        <v>225</v>
      </c>
      <c r="G61" s="126" t="s">
        <v>138</v>
      </c>
      <c r="H61" s="127">
        <v>3</v>
      </c>
      <c r="I61" s="128">
        <v>1530.92</v>
      </c>
      <c r="J61" s="128">
        <v>4592.76</v>
      </c>
      <c r="K61" s="85">
        <v>0</v>
      </c>
      <c r="L61" s="86">
        <f t="shared" si="0"/>
        <v>1530.92</v>
      </c>
      <c r="M61" s="277">
        <f t="shared" si="1"/>
        <v>0</v>
      </c>
      <c r="N61" s="87">
        <f t="shared" si="2"/>
        <v>3</v>
      </c>
      <c r="O61" s="88">
        <f t="shared" si="3"/>
        <v>1530.92</v>
      </c>
      <c r="P61" s="278">
        <f t="shared" si="4"/>
        <v>4592.76</v>
      </c>
    </row>
    <row r="62" spans="1:29" s="109" customFormat="1" ht="12" x14ac:dyDescent="0.2">
      <c r="A62" s="97"/>
      <c r="B62" s="116"/>
      <c r="C62" s="123" t="s">
        <v>195</v>
      </c>
      <c r="D62" s="123" t="s">
        <v>127</v>
      </c>
      <c r="E62" s="124" t="s">
        <v>230</v>
      </c>
      <c r="F62" s="125" t="s">
        <v>231</v>
      </c>
      <c r="G62" s="126" t="s">
        <v>138</v>
      </c>
      <c r="H62" s="127">
        <v>3</v>
      </c>
      <c r="I62" s="128">
        <v>1202.1099999999999</v>
      </c>
      <c r="J62" s="128">
        <v>3606.33</v>
      </c>
      <c r="K62" s="85">
        <v>0</v>
      </c>
      <c r="L62" s="86">
        <f t="shared" si="0"/>
        <v>1202.1099999999999</v>
      </c>
      <c r="M62" s="277">
        <f t="shared" si="1"/>
        <v>0</v>
      </c>
      <c r="N62" s="87">
        <f t="shared" si="2"/>
        <v>3</v>
      </c>
      <c r="O62" s="88">
        <f t="shared" si="3"/>
        <v>1202.1099999999999</v>
      </c>
      <c r="P62" s="278">
        <f t="shared" si="4"/>
        <v>3606.33</v>
      </c>
    </row>
    <row r="63" spans="1:29" s="109" customFormat="1" ht="12" x14ac:dyDescent="0.2">
      <c r="A63" s="97"/>
      <c r="B63" s="116"/>
      <c r="C63" s="123" t="s">
        <v>198</v>
      </c>
      <c r="D63" s="123" t="s">
        <v>127</v>
      </c>
      <c r="E63" s="124" t="s">
        <v>236</v>
      </c>
      <c r="F63" s="125" t="s">
        <v>237</v>
      </c>
      <c r="G63" s="126" t="s">
        <v>138</v>
      </c>
      <c r="H63" s="127">
        <v>6</v>
      </c>
      <c r="I63" s="128">
        <v>211.75</v>
      </c>
      <c r="J63" s="128">
        <v>1270.5</v>
      </c>
      <c r="K63" s="85">
        <v>0</v>
      </c>
      <c r="L63" s="86">
        <f t="shared" si="0"/>
        <v>211.75</v>
      </c>
      <c r="M63" s="277">
        <f t="shared" si="1"/>
        <v>0</v>
      </c>
      <c r="N63" s="87">
        <f t="shared" si="2"/>
        <v>6</v>
      </c>
      <c r="O63" s="88">
        <f t="shared" si="3"/>
        <v>211.75</v>
      </c>
      <c r="P63" s="278">
        <f t="shared" si="4"/>
        <v>1270.5</v>
      </c>
    </row>
    <row r="64" spans="1:29" s="109" customFormat="1" ht="24" x14ac:dyDescent="0.2">
      <c r="A64" s="97"/>
      <c r="B64" s="116"/>
      <c r="C64" s="117" t="s">
        <v>201</v>
      </c>
      <c r="D64" s="117" t="s">
        <v>69</v>
      </c>
      <c r="E64" s="118" t="s">
        <v>239</v>
      </c>
      <c r="F64" s="119" t="s">
        <v>240</v>
      </c>
      <c r="G64" s="120" t="s">
        <v>138</v>
      </c>
      <c r="H64" s="121">
        <v>3</v>
      </c>
      <c r="I64" s="122">
        <v>5935.59</v>
      </c>
      <c r="J64" s="122">
        <v>17806.77</v>
      </c>
      <c r="K64" s="85">
        <v>0</v>
      </c>
      <c r="L64" s="86">
        <f t="shared" si="0"/>
        <v>5935.59</v>
      </c>
      <c r="M64" s="277">
        <f t="shared" si="1"/>
        <v>0</v>
      </c>
      <c r="N64" s="87">
        <f t="shared" si="2"/>
        <v>3</v>
      </c>
      <c r="O64" s="88">
        <f t="shared" si="3"/>
        <v>5935.59</v>
      </c>
      <c r="P64" s="278">
        <f t="shared" si="4"/>
        <v>17806.77</v>
      </c>
    </row>
    <row r="65" spans="1:28" s="109" customFormat="1" ht="24" x14ac:dyDescent="0.2">
      <c r="A65" s="97"/>
      <c r="B65" s="116"/>
      <c r="C65" s="117" t="s">
        <v>204</v>
      </c>
      <c r="D65" s="117" t="s">
        <v>69</v>
      </c>
      <c r="E65" s="118" t="s">
        <v>242</v>
      </c>
      <c r="F65" s="119" t="s">
        <v>243</v>
      </c>
      <c r="G65" s="120" t="s">
        <v>138</v>
      </c>
      <c r="H65" s="121">
        <v>5</v>
      </c>
      <c r="I65" s="122">
        <v>485.32</v>
      </c>
      <c r="J65" s="122">
        <v>2426.6</v>
      </c>
      <c r="K65" s="85">
        <v>0</v>
      </c>
      <c r="L65" s="86">
        <f t="shared" si="0"/>
        <v>485.32</v>
      </c>
      <c r="M65" s="277">
        <f t="shared" si="1"/>
        <v>0</v>
      </c>
      <c r="N65" s="87">
        <f t="shared" si="2"/>
        <v>5</v>
      </c>
      <c r="O65" s="88">
        <f t="shared" si="3"/>
        <v>485.32</v>
      </c>
      <c r="P65" s="278">
        <f t="shared" si="4"/>
        <v>2426.6</v>
      </c>
    </row>
    <row r="66" spans="1:28" s="109" customFormat="1" ht="24" x14ac:dyDescent="0.2">
      <c r="A66" s="97"/>
      <c r="B66" s="116"/>
      <c r="C66" s="123" t="s">
        <v>207</v>
      </c>
      <c r="D66" s="123" t="s">
        <v>127</v>
      </c>
      <c r="E66" s="124" t="s">
        <v>245</v>
      </c>
      <c r="F66" s="125" t="s">
        <v>246</v>
      </c>
      <c r="G66" s="126" t="s">
        <v>138</v>
      </c>
      <c r="H66" s="127">
        <v>2</v>
      </c>
      <c r="I66" s="128">
        <v>6510.34</v>
      </c>
      <c r="J66" s="128">
        <v>13020.68</v>
      </c>
      <c r="K66" s="85">
        <v>0</v>
      </c>
      <c r="L66" s="86">
        <f t="shared" si="0"/>
        <v>6510.34</v>
      </c>
      <c r="M66" s="277">
        <f t="shared" si="1"/>
        <v>0</v>
      </c>
      <c r="N66" s="87">
        <f t="shared" si="2"/>
        <v>2</v>
      </c>
      <c r="O66" s="88">
        <f t="shared" si="3"/>
        <v>6510.34</v>
      </c>
      <c r="P66" s="278">
        <f t="shared" si="4"/>
        <v>13020.68</v>
      </c>
    </row>
    <row r="67" spans="1:28" s="109" customFormat="1" ht="12" x14ac:dyDescent="0.2">
      <c r="A67" s="97"/>
      <c r="B67" s="116"/>
      <c r="C67" s="123" t="s">
        <v>210</v>
      </c>
      <c r="D67" s="123" t="s">
        <v>127</v>
      </c>
      <c r="E67" s="124" t="s">
        <v>311</v>
      </c>
      <c r="F67" s="125" t="s">
        <v>312</v>
      </c>
      <c r="G67" s="126" t="s">
        <v>138</v>
      </c>
      <c r="H67" s="127">
        <v>1</v>
      </c>
      <c r="I67" s="128">
        <v>6510.34</v>
      </c>
      <c r="J67" s="128">
        <v>6510.34</v>
      </c>
      <c r="K67" s="85">
        <v>0</v>
      </c>
      <c r="L67" s="86">
        <f t="shared" si="0"/>
        <v>6510.34</v>
      </c>
      <c r="M67" s="277">
        <f t="shared" si="1"/>
        <v>0</v>
      </c>
      <c r="N67" s="87">
        <f t="shared" si="2"/>
        <v>1</v>
      </c>
      <c r="O67" s="88">
        <f t="shared" si="3"/>
        <v>6510.34</v>
      </c>
      <c r="P67" s="278">
        <f t="shared" si="4"/>
        <v>6510.34</v>
      </c>
    </row>
    <row r="68" spans="1:28" s="109" customFormat="1" ht="24" x14ac:dyDescent="0.2">
      <c r="A68" s="97"/>
      <c r="B68" s="116"/>
      <c r="C68" s="117" t="s">
        <v>214</v>
      </c>
      <c r="D68" s="117" t="s">
        <v>69</v>
      </c>
      <c r="E68" s="118" t="s">
        <v>254</v>
      </c>
      <c r="F68" s="119" t="s">
        <v>255</v>
      </c>
      <c r="G68" s="120" t="s">
        <v>62</v>
      </c>
      <c r="H68" s="121">
        <v>17</v>
      </c>
      <c r="I68" s="122">
        <v>3059.28</v>
      </c>
      <c r="J68" s="122">
        <v>52007.76</v>
      </c>
      <c r="K68" s="85">
        <f t="shared" ref="K68:K69" si="10">ROUND(125.2/125.83*H68-H68,2)</f>
        <v>-0.09</v>
      </c>
      <c r="L68" s="86">
        <f t="shared" si="0"/>
        <v>3059.28</v>
      </c>
      <c r="M68" s="277">
        <f t="shared" si="1"/>
        <v>-275.33519999999999</v>
      </c>
      <c r="N68" s="87">
        <f t="shared" si="2"/>
        <v>16.91</v>
      </c>
      <c r="O68" s="88">
        <f t="shared" si="3"/>
        <v>3059.28</v>
      </c>
      <c r="P68" s="278">
        <f t="shared" si="4"/>
        <v>51732.424800000001</v>
      </c>
    </row>
    <row r="69" spans="1:28" s="109" customFormat="1" ht="12" x14ac:dyDescent="0.2">
      <c r="A69" s="97"/>
      <c r="B69" s="116"/>
      <c r="C69" s="117" t="s">
        <v>217</v>
      </c>
      <c r="D69" s="117" t="s">
        <v>69</v>
      </c>
      <c r="E69" s="118" t="s">
        <v>266</v>
      </c>
      <c r="F69" s="119" t="s">
        <v>267</v>
      </c>
      <c r="G69" s="120" t="s">
        <v>61</v>
      </c>
      <c r="H69" s="121">
        <v>125.83</v>
      </c>
      <c r="I69" s="122">
        <v>9.2100000000000009</v>
      </c>
      <c r="J69" s="122">
        <v>1158.8900000000001</v>
      </c>
      <c r="K69" s="85">
        <f t="shared" si="10"/>
        <v>-0.63</v>
      </c>
      <c r="L69" s="86">
        <f t="shared" si="0"/>
        <v>9.2100000000000009</v>
      </c>
      <c r="M69" s="277">
        <f t="shared" si="1"/>
        <v>-5.8023000000000007</v>
      </c>
      <c r="N69" s="87">
        <f t="shared" si="2"/>
        <v>125.2</v>
      </c>
      <c r="O69" s="88">
        <f t="shared" si="3"/>
        <v>9.2100000000000009</v>
      </c>
      <c r="P69" s="278">
        <f t="shared" si="4"/>
        <v>1153.0920000000001</v>
      </c>
      <c r="T69" s="148" t="s">
        <v>1068</v>
      </c>
      <c r="U69" s="109" t="s">
        <v>1008</v>
      </c>
    </row>
    <row r="70" spans="1:28" s="110" customFormat="1" ht="12.75" x14ac:dyDescent="0.2">
      <c r="C70" s="245"/>
      <c r="D70" s="246" t="s">
        <v>3</v>
      </c>
      <c r="E70" s="247" t="s">
        <v>93</v>
      </c>
      <c r="F70" s="247" t="s">
        <v>268</v>
      </c>
      <c r="G70" s="245"/>
      <c r="H70" s="245"/>
      <c r="I70" s="245"/>
      <c r="J70" s="248">
        <v>80656.030000000013</v>
      </c>
      <c r="K70" s="243"/>
      <c r="L70" s="244"/>
      <c r="M70" s="279">
        <f>SUM(M71:M76)</f>
        <v>0</v>
      </c>
      <c r="N70" s="280" t="str">
        <f t="shared" si="7"/>
        <v/>
      </c>
      <c r="O70" s="244"/>
      <c r="P70" s="279">
        <f>SUM(P71:P76)</f>
        <v>80656.03360000001</v>
      </c>
    </row>
    <row r="71" spans="1:28" s="109" customFormat="1" ht="36" x14ac:dyDescent="0.2">
      <c r="A71" s="97"/>
      <c r="B71" s="116"/>
      <c r="C71" s="117" t="s">
        <v>220</v>
      </c>
      <c r="D71" s="117" t="s">
        <v>69</v>
      </c>
      <c r="E71" s="118" t="s">
        <v>270</v>
      </c>
      <c r="F71" s="119" t="s">
        <v>271</v>
      </c>
      <c r="G71" s="120" t="s">
        <v>61</v>
      </c>
      <c r="H71" s="121">
        <v>256.08</v>
      </c>
      <c r="I71" s="122">
        <v>87.65</v>
      </c>
      <c r="J71" s="122">
        <v>22445.41</v>
      </c>
      <c r="K71" s="85">
        <v>0</v>
      </c>
      <c r="L71" s="86">
        <f t="shared" si="0"/>
        <v>87.65</v>
      </c>
      <c r="M71" s="277">
        <f t="shared" si="1"/>
        <v>0</v>
      </c>
      <c r="N71" s="87">
        <f t="shared" si="2"/>
        <v>256.08</v>
      </c>
      <c r="O71" s="88">
        <f t="shared" si="3"/>
        <v>87.65</v>
      </c>
      <c r="P71" s="278">
        <f t="shared" si="4"/>
        <v>22445.412</v>
      </c>
    </row>
    <row r="72" spans="1:28" s="109" customFormat="1" ht="24" x14ac:dyDescent="0.2">
      <c r="A72" s="97"/>
      <c r="B72" s="116"/>
      <c r="C72" s="117" t="s">
        <v>223</v>
      </c>
      <c r="D72" s="117" t="s">
        <v>69</v>
      </c>
      <c r="E72" s="118" t="s">
        <v>273</v>
      </c>
      <c r="F72" s="119" t="s">
        <v>274</v>
      </c>
      <c r="G72" s="120" t="s">
        <v>61</v>
      </c>
      <c r="H72" s="121">
        <v>501.16</v>
      </c>
      <c r="I72" s="122">
        <v>32.22</v>
      </c>
      <c r="J72" s="122">
        <v>16147.38</v>
      </c>
      <c r="K72" s="85">
        <v>0</v>
      </c>
      <c r="L72" s="86">
        <f t="shared" si="0"/>
        <v>32.22</v>
      </c>
      <c r="M72" s="277">
        <f t="shared" si="1"/>
        <v>0</v>
      </c>
      <c r="N72" s="87">
        <f t="shared" si="2"/>
        <v>501.16</v>
      </c>
      <c r="O72" s="88">
        <f t="shared" si="3"/>
        <v>32.22</v>
      </c>
      <c r="P72" s="278">
        <f t="shared" si="4"/>
        <v>16147.3752</v>
      </c>
    </row>
    <row r="73" spans="1:28" s="109" customFormat="1" ht="24" x14ac:dyDescent="0.2">
      <c r="A73" s="97"/>
      <c r="B73" s="116"/>
      <c r="C73" s="117" t="s">
        <v>226</v>
      </c>
      <c r="D73" s="117" t="s">
        <v>69</v>
      </c>
      <c r="E73" s="118" t="s">
        <v>350</v>
      </c>
      <c r="F73" s="119" t="s">
        <v>351</v>
      </c>
      <c r="G73" s="120" t="s">
        <v>61</v>
      </c>
      <c r="H73" s="121">
        <v>6.6</v>
      </c>
      <c r="I73" s="122">
        <v>32.22</v>
      </c>
      <c r="J73" s="122">
        <v>212.65</v>
      </c>
      <c r="K73" s="85">
        <v>0</v>
      </c>
      <c r="L73" s="86">
        <f t="shared" si="0"/>
        <v>32.22</v>
      </c>
      <c r="M73" s="277">
        <f t="shared" si="1"/>
        <v>0</v>
      </c>
      <c r="N73" s="87">
        <f t="shared" si="2"/>
        <v>6.6</v>
      </c>
      <c r="O73" s="88">
        <f t="shared" si="3"/>
        <v>32.22</v>
      </c>
      <c r="P73" s="278">
        <f t="shared" si="4"/>
        <v>212.65199999999999</v>
      </c>
    </row>
    <row r="74" spans="1:28" s="109" customFormat="1" ht="12" x14ac:dyDescent="0.2">
      <c r="A74" s="97"/>
      <c r="B74" s="116"/>
      <c r="C74" s="117" t="s">
        <v>229</v>
      </c>
      <c r="D74" s="117" t="s">
        <v>69</v>
      </c>
      <c r="E74" s="118" t="s">
        <v>276</v>
      </c>
      <c r="F74" s="119" t="s">
        <v>277</v>
      </c>
      <c r="G74" s="120" t="s">
        <v>61</v>
      </c>
      <c r="H74" s="121">
        <v>501.16</v>
      </c>
      <c r="I74" s="122">
        <v>72.34</v>
      </c>
      <c r="J74" s="122">
        <v>36253.910000000003</v>
      </c>
      <c r="K74" s="85">
        <v>0</v>
      </c>
      <c r="L74" s="86">
        <f t="shared" si="0"/>
        <v>72.34</v>
      </c>
      <c r="M74" s="277">
        <f t="shared" si="1"/>
        <v>0</v>
      </c>
      <c r="N74" s="87">
        <f t="shared" si="2"/>
        <v>501.16</v>
      </c>
      <c r="O74" s="88">
        <f t="shared" si="3"/>
        <v>72.34</v>
      </c>
      <c r="P74" s="278">
        <f t="shared" si="4"/>
        <v>36253.914400000001</v>
      </c>
    </row>
    <row r="75" spans="1:28" s="109" customFormat="1" ht="24" x14ac:dyDescent="0.2">
      <c r="A75" s="97"/>
      <c r="B75" s="116"/>
      <c r="C75" s="117" t="s">
        <v>232</v>
      </c>
      <c r="D75" s="117" t="s">
        <v>69</v>
      </c>
      <c r="E75" s="118" t="s">
        <v>354</v>
      </c>
      <c r="F75" s="119" t="s">
        <v>355</v>
      </c>
      <c r="G75" s="120" t="s">
        <v>61</v>
      </c>
      <c r="H75" s="121">
        <v>6.6</v>
      </c>
      <c r="I75" s="122">
        <v>94.7</v>
      </c>
      <c r="J75" s="122">
        <v>625.02</v>
      </c>
      <c r="K75" s="85">
        <v>0</v>
      </c>
      <c r="L75" s="86">
        <f t="shared" si="0"/>
        <v>94.7</v>
      </c>
      <c r="M75" s="277">
        <f t="shared" si="1"/>
        <v>0</v>
      </c>
      <c r="N75" s="87">
        <f t="shared" si="2"/>
        <v>6.6</v>
      </c>
      <c r="O75" s="88">
        <f t="shared" si="3"/>
        <v>94.7</v>
      </c>
      <c r="P75" s="278">
        <f t="shared" si="4"/>
        <v>625.02</v>
      </c>
    </row>
    <row r="76" spans="1:28" s="109" customFormat="1" ht="36" x14ac:dyDescent="0.2">
      <c r="A76" s="97"/>
      <c r="B76" s="116"/>
      <c r="C76" s="117" t="s">
        <v>235</v>
      </c>
      <c r="D76" s="117" t="s">
        <v>69</v>
      </c>
      <c r="E76" s="118" t="s">
        <v>279</v>
      </c>
      <c r="F76" s="119" t="s">
        <v>280</v>
      </c>
      <c r="G76" s="120" t="s">
        <v>138</v>
      </c>
      <c r="H76" s="121">
        <v>3</v>
      </c>
      <c r="I76" s="122">
        <v>1657.22</v>
      </c>
      <c r="J76" s="122">
        <v>4971.66</v>
      </c>
      <c r="K76" s="85">
        <v>0</v>
      </c>
      <c r="L76" s="86">
        <f t="shared" si="0"/>
        <v>1657.22</v>
      </c>
      <c r="M76" s="277">
        <f t="shared" si="1"/>
        <v>0</v>
      </c>
      <c r="N76" s="87">
        <f t="shared" si="2"/>
        <v>3</v>
      </c>
      <c r="O76" s="88">
        <f t="shared" si="3"/>
        <v>1657.22</v>
      </c>
      <c r="P76" s="278">
        <f t="shared" si="4"/>
        <v>4971.66</v>
      </c>
    </row>
    <row r="77" spans="1:28" s="110" customFormat="1" ht="12.75" x14ac:dyDescent="0.2">
      <c r="C77" s="245"/>
      <c r="D77" s="246" t="s">
        <v>3</v>
      </c>
      <c r="E77" s="247" t="s">
        <v>281</v>
      </c>
      <c r="F77" s="247" t="s">
        <v>282</v>
      </c>
      <c r="G77" s="245"/>
      <c r="H77" s="245"/>
      <c r="I77" s="245"/>
      <c r="J77" s="248">
        <v>46032.21</v>
      </c>
      <c r="K77" s="243"/>
      <c r="L77" s="244"/>
      <c r="M77" s="279">
        <f>SUM(M78:M82)</f>
        <v>-177.38</v>
      </c>
      <c r="N77" s="280" t="str">
        <f t="shared" si="7"/>
        <v/>
      </c>
      <c r="O77" s="244"/>
      <c r="P77" s="279">
        <f>SUM(P78:P82)</f>
        <v>45854.832319999994</v>
      </c>
    </row>
    <row r="78" spans="1:28" s="109" customFormat="1" ht="24" x14ac:dyDescent="0.2">
      <c r="A78" s="97"/>
      <c r="B78" s="116"/>
      <c r="C78" s="117" t="s">
        <v>238</v>
      </c>
      <c r="D78" s="117" t="s">
        <v>69</v>
      </c>
      <c r="E78" s="118" t="s">
        <v>284</v>
      </c>
      <c r="F78" s="119" t="s">
        <v>285</v>
      </c>
      <c r="G78" s="120" t="s">
        <v>120</v>
      </c>
      <c r="H78" s="121">
        <v>141.01300000000001</v>
      </c>
      <c r="I78" s="122">
        <v>137.6</v>
      </c>
      <c r="J78" s="122">
        <v>19403.39</v>
      </c>
      <c r="K78" s="85">
        <f t="shared" ref="K78" si="11">ROUND(125.2/125.83*H78-H78,2)</f>
        <v>-0.71</v>
      </c>
      <c r="L78" s="86">
        <f t="shared" si="0"/>
        <v>137.6</v>
      </c>
      <c r="M78" s="277">
        <f t="shared" si="1"/>
        <v>-97.695999999999998</v>
      </c>
      <c r="N78" s="87">
        <f t="shared" si="2"/>
        <v>140.303</v>
      </c>
      <c r="O78" s="88">
        <f t="shared" si="3"/>
        <v>137.6</v>
      </c>
      <c r="P78" s="278">
        <f t="shared" si="4"/>
        <v>19305.692799999997</v>
      </c>
      <c r="Z78" s="327" t="s">
        <v>1156</v>
      </c>
      <c r="AA78" s="335" t="s">
        <v>1174</v>
      </c>
      <c r="AB78" s="328" t="s">
        <v>1190</v>
      </c>
    </row>
    <row r="79" spans="1:28" s="109" customFormat="1" ht="24" x14ac:dyDescent="0.2">
      <c r="A79" s="97"/>
      <c r="B79" s="116"/>
      <c r="C79" s="117" t="s">
        <v>241</v>
      </c>
      <c r="D79" s="117" t="s">
        <v>69</v>
      </c>
      <c r="E79" s="118" t="s">
        <v>287</v>
      </c>
      <c r="F79" s="119" t="s">
        <v>288</v>
      </c>
      <c r="G79" s="120" t="s">
        <v>120</v>
      </c>
      <c r="H79" s="121">
        <v>41.561</v>
      </c>
      <c r="I79" s="122">
        <v>257.77999999999997</v>
      </c>
      <c r="J79" s="122">
        <v>10713.59</v>
      </c>
      <c r="K79" s="85">
        <v>0</v>
      </c>
      <c r="L79" s="86">
        <f t="shared" si="0"/>
        <v>257.77999999999997</v>
      </c>
      <c r="M79" s="277">
        <f t="shared" si="1"/>
        <v>0</v>
      </c>
      <c r="N79" s="87">
        <f t="shared" si="2"/>
        <v>41.561</v>
      </c>
      <c r="O79" s="88">
        <f t="shared" si="3"/>
        <v>257.77999999999997</v>
      </c>
      <c r="P79" s="278">
        <f t="shared" si="4"/>
        <v>10713.594579999999</v>
      </c>
      <c r="Z79" s="327"/>
      <c r="AA79" s="335"/>
      <c r="AB79" s="328"/>
    </row>
    <row r="80" spans="1:28" s="109" customFormat="1" ht="24" x14ac:dyDescent="0.2">
      <c r="A80" s="97"/>
      <c r="B80" s="116"/>
      <c r="C80" s="117" t="s">
        <v>244</v>
      </c>
      <c r="D80" s="117" t="s">
        <v>69</v>
      </c>
      <c r="E80" s="118" t="s">
        <v>290</v>
      </c>
      <c r="F80" s="119" t="s">
        <v>119</v>
      </c>
      <c r="G80" s="120" t="s">
        <v>120</v>
      </c>
      <c r="H80" s="121">
        <v>99.451999999999998</v>
      </c>
      <c r="I80" s="122">
        <v>154.66999999999999</v>
      </c>
      <c r="J80" s="122">
        <v>15382.24</v>
      </c>
      <c r="K80" s="85">
        <f t="shared" ref="K80:K82" si="12">ROUND(125.2/125.83*H80-H80,2)</f>
        <v>-0.5</v>
      </c>
      <c r="L80" s="86">
        <f t="shared" ref="L80:L84" si="13">I80</f>
        <v>154.66999999999999</v>
      </c>
      <c r="M80" s="277">
        <f t="shared" ref="M80:M84" si="14">K80*L80</f>
        <v>-77.334999999999994</v>
      </c>
      <c r="N80" s="87">
        <f t="shared" ref="N80:N84" si="15">H80+K80</f>
        <v>98.951999999999998</v>
      </c>
      <c r="O80" s="88">
        <f t="shared" ref="O80:O84" si="16">I80</f>
        <v>154.66999999999999</v>
      </c>
      <c r="P80" s="278">
        <f t="shared" ref="P80:P84" si="17">N80*O80</f>
        <v>15304.905839999998</v>
      </c>
      <c r="W80" s="148" t="s">
        <v>1136</v>
      </c>
    </row>
    <row r="81" spans="1:16" s="109" customFormat="1" ht="24" x14ac:dyDescent="0.2">
      <c r="A81" s="97"/>
      <c r="B81" s="116"/>
      <c r="C81" s="117" t="s">
        <v>247</v>
      </c>
      <c r="D81" s="117" t="s">
        <v>69</v>
      </c>
      <c r="E81" s="118" t="s">
        <v>361</v>
      </c>
      <c r="F81" s="119" t="s">
        <v>362</v>
      </c>
      <c r="G81" s="120" t="s">
        <v>120</v>
      </c>
      <c r="H81" s="121">
        <v>2.2690000000000001</v>
      </c>
      <c r="I81" s="122">
        <v>80.23</v>
      </c>
      <c r="J81" s="122">
        <v>182.04</v>
      </c>
      <c r="K81" s="85">
        <f t="shared" si="12"/>
        <v>-0.01</v>
      </c>
      <c r="L81" s="86">
        <f t="shared" si="13"/>
        <v>80.23</v>
      </c>
      <c r="M81" s="277">
        <f t="shared" si="14"/>
        <v>-0.80230000000000001</v>
      </c>
      <c r="N81" s="87">
        <f t="shared" si="15"/>
        <v>2.2590000000000003</v>
      </c>
      <c r="O81" s="88">
        <f t="shared" si="16"/>
        <v>80.23</v>
      </c>
      <c r="P81" s="278">
        <f t="shared" si="17"/>
        <v>181.23957000000004</v>
      </c>
    </row>
    <row r="82" spans="1:16" s="109" customFormat="1" ht="24" x14ac:dyDescent="0.2">
      <c r="A82" s="97"/>
      <c r="B82" s="116"/>
      <c r="C82" s="117" t="s">
        <v>250</v>
      </c>
      <c r="D82" s="117" t="s">
        <v>69</v>
      </c>
      <c r="E82" s="118" t="s">
        <v>364</v>
      </c>
      <c r="F82" s="119" t="s">
        <v>365</v>
      </c>
      <c r="G82" s="120" t="s">
        <v>120</v>
      </c>
      <c r="H82" s="121">
        <v>2.2690000000000001</v>
      </c>
      <c r="I82" s="122">
        <v>154.66999999999999</v>
      </c>
      <c r="J82" s="122">
        <v>350.95</v>
      </c>
      <c r="K82" s="85">
        <f t="shared" si="12"/>
        <v>-0.01</v>
      </c>
      <c r="L82" s="86">
        <f t="shared" si="13"/>
        <v>154.66999999999999</v>
      </c>
      <c r="M82" s="277">
        <f t="shared" si="14"/>
        <v>-1.5467</v>
      </c>
      <c r="N82" s="87">
        <f t="shared" si="15"/>
        <v>2.2590000000000003</v>
      </c>
      <c r="O82" s="88">
        <f t="shared" si="16"/>
        <v>154.66999999999999</v>
      </c>
      <c r="P82" s="278">
        <f t="shared" si="17"/>
        <v>349.39953000000003</v>
      </c>
    </row>
    <row r="83" spans="1:16" s="110" customFormat="1" ht="12.75" x14ac:dyDescent="0.2">
      <c r="C83" s="245"/>
      <c r="D83" s="246" t="s">
        <v>3</v>
      </c>
      <c r="E83" s="247" t="s">
        <v>291</v>
      </c>
      <c r="F83" s="247" t="s">
        <v>292</v>
      </c>
      <c r="G83" s="245"/>
      <c r="H83" s="245"/>
      <c r="I83" s="245"/>
      <c r="J83" s="248">
        <v>3644.96</v>
      </c>
      <c r="K83" s="243"/>
      <c r="L83" s="244"/>
      <c r="M83" s="279">
        <f>M84</f>
        <v>-18.307200000000002</v>
      </c>
      <c r="N83" s="280"/>
      <c r="O83" s="244"/>
      <c r="P83" s="279">
        <f>P84</f>
        <v>3626.6563200000001</v>
      </c>
    </row>
    <row r="84" spans="1:16" s="109" customFormat="1" ht="24" x14ac:dyDescent="0.2">
      <c r="A84" s="97"/>
      <c r="B84" s="116"/>
      <c r="C84" s="117" t="s">
        <v>253</v>
      </c>
      <c r="D84" s="117" t="s">
        <v>69</v>
      </c>
      <c r="E84" s="118" t="s">
        <v>294</v>
      </c>
      <c r="F84" s="119" t="s">
        <v>295</v>
      </c>
      <c r="G84" s="120" t="s">
        <v>120</v>
      </c>
      <c r="H84" s="121">
        <v>31.856000000000002</v>
      </c>
      <c r="I84" s="122">
        <v>114.42</v>
      </c>
      <c r="J84" s="122">
        <v>3644.96</v>
      </c>
      <c r="K84" s="85">
        <f t="shared" ref="K84" si="18">ROUND(125.2/125.83*H84-H84,2)</f>
        <v>-0.16</v>
      </c>
      <c r="L84" s="86">
        <f t="shared" si="13"/>
        <v>114.42</v>
      </c>
      <c r="M84" s="277">
        <f t="shared" si="14"/>
        <v>-18.307200000000002</v>
      </c>
      <c r="N84" s="87">
        <f t="shared" si="15"/>
        <v>31.696000000000002</v>
      </c>
      <c r="O84" s="88">
        <f t="shared" si="16"/>
        <v>114.42</v>
      </c>
      <c r="P84" s="278">
        <f t="shared" si="17"/>
        <v>3626.6563200000001</v>
      </c>
    </row>
    <row r="86" spans="1:16" ht="12.75" x14ac:dyDescent="0.2">
      <c r="D86" s="89"/>
      <c r="E86" s="141" t="str">
        <f>CONCATENATE("CELKEM ",C12)</f>
        <v>CELKEM 06 - SO 01.F - Stoka A.1.2</v>
      </c>
      <c r="F86" s="90"/>
      <c r="G86" s="90"/>
      <c r="H86" s="91"/>
      <c r="I86" s="90"/>
      <c r="J86" s="92">
        <v>1154587.67</v>
      </c>
      <c r="K86" s="94"/>
      <c r="L86" s="92"/>
      <c r="M86" s="147">
        <f>M83+M77+M70+M53+M43+M40+M38+M14</f>
        <v>-3498.8907999999992</v>
      </c>
      <c r="N86" s="147"/>
      <c r="O86" s="147"/>
      <c r="P86" s="147">
        <f>P83+P77+P70+P53+P43+P40+P38+P14</f>
        <v>1151088.79229</v>
      </c>
    </row>
    <row r="87" spans="1:16" x14ac:dyDescent="0.2">
      <c r="I87" s="95"/>
    </row>
    <row r="88" spans="1:16" ht="14.25" x14ac:dyDescent="0.2">
      <c r="E88" s="58" t="s">
        <v>994</v>
      </c>
      <c r="F88" s="58"/>
      <c r="H88" s="96"/>
      <c r="J88" s="161"/>
      <c r="K88" s="58" t="s">
        <v>995</v>
      </c>
    </row>
  </sheetData>
  <protectedRanges>
    <protectedRange password="CCAA" sqref="K8" name="Oblast1_1_1_1"/>
    <protectedRange password="CCAA" sqref="D9:H10" name="Oblast1_2_1_1"/>
  </protectedRanges>
  <autoFilter ref="C10:P84" xr:uid="{4EF9CDE8-D264-4CD0-AF15-52AA5D170D35}"/>
  <mergeCells count="7">
    <mergeCell ref="AA78:AA79"/>
    <mergeCell ref="K9:M9"/>
    <mergeCell ref="N9:P9"/>
    <mergeCell ref="AB78:AB79"/>
    <mergeCell ref="Z78:Z79"/>
    <mergeCell ref="V12:V14"/>
    <mergeCell ref="T11:T14"/>
  </mergeCells>
  <pageMargins left="0.39370078740157483" right="0.39370078740157483" top="0.39370078740157483" bottom="0.39370078740157483" header="0" footer="0"/>
  <pageSetup paperSize="9" scale="48" fitToHeight="0" orientation="portrait" r:id="rId1"/>
  <headerFooter>
    <oddFooter>&amp;CStrana &amp;P z &amp;N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BA96"/>
  <sheetViews>
    <sheetView showGridLines="0" view="pageBreakPreview" topLeftCell="A76" zoomScale="60" zoomScaleNormal="90" workbookViewId="0">
      <selection activeCell="J96" sqref="J96"/>
    </sheetView>
  </sheetViews>
  <sheetFormatPr defaultColWidth="9.33203125" defaultRowHeight="11.25" x14ac:dyDescent="0.2"/>
  <cols>
    <col min="1" max="1" width="8.33203125" style="60" customWidth="1"/>
    <col min="2" max="2" width="1.6640625" style="60" customWidth="1"/>
    <col min="3" max="3" width="4.1640625" style="60" customWidth="1"/>
    <col min="4" max="4" width="4.33203125" style="60" customWidth="1"/>
    <col min="5" max="5" width="17.1640625" style="60" customWidth="1"/>
    <col min="6" max="6" width="50.83203125" style="60" customWidth="1"/>
    <col min="7" max="7" width="7" style="60" customWidth="1"/>
    <col min="8" max="8" width="11.5" style="60" customWidth="1"/>
    <col min="9" max="10" width="20.1640625" style="60" customWidth="1"/>
    <col min="11" max="11" width="15.1640625" style="60" customWidth="1"/>
    <col min="12" max="12" width="16.5" style="60" customWidth="1"/>
    <col min="13" max="14" width="15.1640625" style="60" customWidth="1"/>
    <col min="15" max="15" width="19.83203125" style="60" bestFit="1" customWidth="1"/>
    <col min="16" max="16" width="21.33203125" style="60" bestFit="1" customWidth="1"/>
    <col min="17" max="22" width="15.1640625" style="60" customWidth="1"/>
    <col min="23" max="45" width="0" style="60" hidden="1" customWidth="1"/>
    <col min="46" max="46" width="23.83203125" style="60" hidden="1" customWidth="1"/>
    <col min="47" max="50" width="0" style="60" hidden="1" customWidth="1"/>
    <col min="51" max="51" width="25.1640625" style="60" hidden="1" customWidth="1"/>
    <col min="52" max="52" width="20.1640625" style="60" hidden="1" customWidth="1"/>
    <col min="53" max="53" width="23.83203125" style="60" hidden="1" customWidth="1"/>
    <col min="54" max="57" width="0" style="60" hidden="1" customWidth="1"/>
    <col min="58" max="16384" width="9.33203125" style="60"/>
  </cols>
  <sheetData>
    <row r="1" spans="1:52" ht="15" x14ac:dyDescent="0.2">
      <c r="F1" s="3"/>
      <c r="G1" s="4"/>
      <c r="H1" s="1"/>
      <c r="J1" s="61"/>
    </row>
    <row r="2" spans="1:52" s="1" customFormat="1" ht="15" x14ac:dyDescent="0.2">
      <c r="E2" s="2"/>
      <c r="F2" s="3" t="s">
        <v>979</v>
      </c>
      <c r="G2" s="4" t="str">
        <f>'[1]VRN 01'!G3</f>
        <v>Odkanalizování povodí Jizery - část B</v>
      </c>
      <c r="I2" s="5"/>
      <c r="J2" s="63"/>
      <c r="K2" s="10"/>
      <c r="L2" s="11"/>
      <c r="M2" s="11"/>
      <c r="N2" s="64"/>
    </row>
    <row r="3" spans="1:52" s="1" customFormat="1" ht="15" x14ac:dyDescent="0.2">
      <c r="E3" s="2"/>
      <c r="F3" s="3" t="s">
        <v>980</v>
      </c>
      <c r="G3" s="4" t="str">
        <f>+'Rekapitulace stavby'!D2</f>
        <v>ÚHERCE, výstavba kanalizace - UZNATELNÉ NÁKLADY - doměrky</v>
      </c>
      <c r="H3" s="2"/>
      <c r="I3" s="5"/>
      <c r="J3" s="63"/>
      <c r="K3" s="10"/>
      <c r="L3" s="11"/>
      <c r="M3" s="11"/>
      <c r="N3" s="64"/>
    </row>
    <row r="4" spans="1:52" s="2" customFormat="1" ht="15" x14ac:dyDescent="0.2">
      <c r="F4" s="12" t="s">
        <v>981</v>
      </c>
      <c r="G4" s="13" t="str">
        <f>'[1]VRN 01'!G5</f>
        <v>VRI/SOD/2020/Ži</v>
      </c>
      <c r="I4" s="5"/>
      <c r="J4" s="65"/>
      <c r="K4" s="18"/>
      <c r="L4" s="19"/>
      <c r="M4" s="19"/>
      <c r="N4" s="66"/>
    </row>
    <row r="5" spans="1:52" s="2" customFormat="1" ht="15" x14ac:dyDescent="0.2">
      <c r="F5" s="12" t="s">
        <v>983</v>
      </c>
      <c r="G5" s="13" t="s">
        <v>1001</v>
      </c>
      <c r="I5" s="5"/>
      <c r="J5" s="65"/>
      <c r="K5" s="18"/>
      <c r="L5" s="19"/>
      <c r="M5" s="19"/>
      <c r="N5" s="66"/>
    </row>
    <row r="6" spans="1:52" s="2" customFormat="1" ht="15" x14ac:dyDescent="0.2">
      <c r="F6" s="3" t="s">
        <v>984</v>
      </c>
      <c r="G6" s="13" t="str">
        <f>'[1]VRN 01'!G7</f>
        <v>Vododvody a kanalizace Mladá Boleslav, a.s.</v>
      </c>
      <c r="I6" s="5"/>
      <c r="J6" s="65"/>
      <c r="K6" s="18"/>
      <c r="L6" s="19"/>
      <c r="M6" s="19"/>
      <c r="N6" s="66"/>
    </row>
    <row r="7" spans="1:52" s="2" customFormat="1" ht="15" x14ac:dyDescent="0.2">
      <c r="F7" s="3" t="s">
        <v>986</v>
      </c>
      <c r="G7" s="20" t="str">
        <f>'[1]VRN 01'!G8</f>
        <v>VCES a.s.</v>
      </c>
      <c r="H7" s="67"/>
      <c r="I7" s="5"/>
      <c r="J7" s="65"/>
      <c r="K7" s="18"/>
      <c r="L7" s="19"/>
      <c r="M7" s="19"/>
      <c r="N7" s="66"/>
    </row>
    <row r="8" spans="1:52" s="68" customFormat="1" ht="12.75" x14ac:dyDescent="0.2">
      <c r="D8" s="69"/>
      <c r="F8" s="3"/>
      <c r="G8" s="20"/>
      <c r="H8" s="67"/>
      <c r="K8" s="72" t="s">
        <v>996</v>
      </c>
      <c r="L8" s="73" t="str">
        <f>+C12</f>
        <v>07 - SO 01.G - Stoka A.2</v>
      </c>
      <c r="M8" s="73"/>
      <c r="O8" s="74"/>
    </row>
    <row r="9" spans="1:52" s="75" customFormat="1" ht="12.75" x14ac:dyDescent="0.2">
      <c r="C9" s="76"/>
      <c r="D9" s="77"/>
      <c r="E9" s="77"/>
      <c r="F9" s="77"/>
      <c r="G9" s="77"/>
      <c r="H9" s="77"/>
      <c r="I9" s="78"/>
      <c r="J9" s="79"/>
      <c r="K9" s="332" t="s">
        <v>1266</v>
      </c>
      <c r="L9" s="332"/>
      <c r="M9" s="332"/>
      <c r="N9" s="339" t="s">
        <v>1267</v>
      </c>
      <c r="O9" s="339"/>
      <c r="P9" s="340"/>
    </row>
    <row r="10" spans="1:52" s="75" customFormat="1" ht="12.75" x14ac:dyDescent="0.2">
      <c r="C10" s="80"/>
      <c r="D10" s="81" t="s">
        <v>997</v>
      </c>
      <c r="E10" s="81" t="s">
        <v>976</v>
      </c>
      <c r="F10" s="81" t="s">
        <v>977</v>
      </c>
      <c r="G10" s="81" t="s">
        <v>64</v>
      </c>
      <c r="H10" s="82" t="s">
        <v>65</v>
      </c>
      <c r="I10" s="83" t="s">
        <v>998</v>
      </c>
      <c r="J10" s="84" t="s">
        <v>978</v>
      </c>
      <c r="K10" s="218" t="s">
        <v>999</v>
      </c>
      <c r="L10" s="219" t="s">
        <v>1260</v>
      </c>
      <c r="M10" s="220" t="s">
        <v>978</v>
      </c>
      <c r="N10" s="263" t="s">
        <v>1264</v>
      </c>
      <c r="O10" s="264" t="s">
        <v>1260</v>
      </c>
      <c r="P10" s="265" t="s">
        <v>978</v>
      </c>
      <c r="Q10" s="157" t="s">
        <v>1059</v>
      </c>
      <c r="AT10" s="157" t="s">
        <v>1083</v>
      </c>
      <c r="AY10" s="157" t="s">
        <v>1110</v>
      </c>
      <c r="AZ10" s="157" t="s">
        <v>1132</v>
      </c>
    </row>
    <row r="11" spans="1:52" s="109" customFormat="1" x14ac:dyDescent="0.2">
      <c r="A11" s="97"/>
      <c r="B11" s="97"/>
      <c r="C11" s="97"/>
      <c r="D11" s="97"/>
      <c r="E11" s="97"/>
      <c r="F11" s="97"/>
      <c r="G11" s="97"/>
      <c r="H11" s="97"/>
      <c r="I11" s="97"/>
      <c r="J11" s="97"/>
    </row>
    <row r="12" spans="1:52" s="109" customFormat="1" ht="15.75" x14ac:dyDescent="0.25">
      <c r="A12" s="97"/>
      <c r="B12" s="97"/>
      <c r="C12" s="98" t="s">
        <v>374</v>
      </c>
      <c r="D12" s="97"/>
      <c r="E12" s="97"/>
      <c r="F12" s="97"/>
      <c r="G12" s="97"/>
      <c r="H12" s="97"/>
      <c r="I12" s="97"/>
      <c r="J12" s="99">
        <v>2194726.27</v>
      </c>
      <c r="AY12" s="329" t="s">
        <v>1111</v>
      </c>
    </row>
    <row r="13" spans="1:52" s="110" customFormat="1" ht="15" x14ac:dyDescent="0.2">
      <c r="D13" s="111" t="s">
        <v>3</v>
      </c>
      <c r="E13" s="112" t="s">
        <v>66</v>
      </c>
      <c r="F13" s="112" t="s">
        <v>67</v>
      </c>
      <c r="J13" s="113">
        <v>2194726.27</v>
      </c>
      <c r="AY13" s="329"/>
    </row>
    <row r="14" spans="1:52" s="110" customFormat="1" ht="12.75" x14ac:dyDescent="0.2">
      <c r="C14" s="252"/>
      <c r="D14" s="253" t="s">
        <v>3</v>
      </c>
      <c r="E14" s="254" t="s">
        <v>7</v>
      </c>
      <c r="F14" s="254" t="s">
        <v>68</v>
      </c>
      <c r="G14" s="252"/>
      <c r="H14" s="252"/>
      <c r="I14" s="252"/>
      <c r="J14" s="255">
        <v>816823.54000000027</v>
      </c>
      <c r="K14" s="284" t="str">
        <f>IF(ISBLANK(H14),"",SUM(#REF!+#REF!+#REF!+#REF!+#REF!+#REF!+#REF!+#REF!+#REF!+#REF!+#REF!,#REF!,#REF!,#REF!,#REF!,#REF!,#REF!,#REF!,#REF!,#REF!,#REF!,#REF!))</f>
        <v/>
      </c>
      <c r="L14" s="285" t="str">
        <f>IF(ISBLANK(H14),"",SUM(#REF!+#REF!+#REF!+#REF!+#REF!+#REF!+#REF!+#REF!+#REF!+#REF!+#REF!,#REF!,#REF!,#REF!,#REF!,#REF!,#REF!,#REF!,#REF!,#REF!,#REF!,#REF!,#REF!))</f>
        <v/>
      </c>
      <c r="M14" s="287">
        <f>SUM(M15:M39)</f>
        <v>1420.1577</v>
      </c>
      <c r="N14" s="286" t="str">
        <f>IF(ISBLANK(H14),"",H14-K14)</f>
        <v/>
      </c>
      <c r="O14" s="285" t="str">
        <f>IF(ISBLANK(H14),"",J14-L14)</f>
        <v/>
      </c>
      <c r="P14" s="287">
        <f>SUM(P15:P39)</f>
        <v>818243.69274999993</v>
      </c>
      <c r="AY14" s="329"/>
    </row>
    <row r="15" spans="1:52" s="109" customFormat="1" ht="60" x14ac:dyDescent="0.2">
      <c r="A15" s="97"/>
      <c r="B15" s="116"/>
      <c r="C15" s="117" t="s">
        <v>7</v>
      </c>
      <c r="D15" s="117" t="s">
        <v>69</v>
      </c>
      <c r="E15" s="118" t="s">
        <v>77</v>
      </c>
      <c r="F15" s="119" t="s">
        <v>78</v>
      </c>
      <c r="G15" s="120" t="s">
        <v>72</v>
      </c>
      <c r="H15" s="121">
        <v>30.074000000000002</v>
      </c>
      <c r="I15" s="122">
        <v>21.04</v>
      </c>
      <c r="J15" s="122">
        <v>632.76</v>
      </c>
      <c r="K15" s="85">
        <v>0</v>
      </c>
      <c r="L15" s="86">
        <f>I15</f>
        <v>21.04</v>
      </c>
      <c r="M15" s="277">
        <f>K15*L15</f>
        <v>0</v>
      </c>
      <c r="N15" s="87">
        <f>H15+K15</f>
        <v>30.074000000000002</v>
      </c>
      <c r="O15" s="88">
        <f>I15</f>
        <v>21.04</v>
      </c>
      <c r="P15" s="278">
        <f>N15*O15</f>
        <v>632.75696000000005</v>
      </c>
      <c r="AY15" s="109" t="s">
        <v>1120</v>
      </c>
    </row>
    <row r="16" spans="1:52" s="109" customFormat="1" ht="60" x14ac:dyDescent="0.2">
      <c r="A16" s="97"/>
      <c r="B16" s="116"/>
      <c r="C16" s="117" t="s">
        <v>8</v>
      </c>
      <c r="D16" s="117" t="s">
        <v>69</v>
      </c>
      <c r="E16" s="118" t="s">
        <v>79</v>
      </c>
      <c r="F16" s="119" t="s">
        <v>80</v>
      </c>
      <c r="G16" s="120" t="s">
        <v>72</v>
      </c>
      <c r="H16" s="121">
        <v>225.643</v>
      </c>
      <c r="I16" s="122">
        <v>26.3</v>
      </c>
      <c r="J16" s="122">
        <v>5934.41</v>
      </c>
      <c r="K16" s="85">
        <v>0</v>
      </c>
      <c r="L16" s="86">
        <f t="shared" ref="L16:L79" si="0">I16</f>
        <v>26.3</v>
      </c>
      <c r="M16" s="277">
        <f t="shared" ref="M16:M79" si="1">K16*L16</f>
        <v>0</v>
      </c>
      <c r="N16" s="87">
        <f t="shared" ref="N16:N79" si="2">H16+K16</f>
        <v>225.643</v>
      </c>
      <c r="O16" s="88">
        <f t="shared" ref="O16:O79" si="3">I16</f>
        <v>26.3</v>
      </c>
      <c r="P16" s="278">
        <f t="shared" ref="P16:P79" si="4">N16*O16</f>
        <v>5934.4108999999999</v>
      </c>
    </row>
    <row r="17" spans="1:16" s="109" customFormat="1" ht="60" x14ac:dyDescent="0.2">
      <c r="A17" s="97"/>
      <c r="B17" s="116"/>
      <c r="C17" s="117" t="s">
        <v>76</v>
      </c>
      <c r="D17" s="117" t="s">
        <v>69</v>
      </c>
      <c r="E17" s="118" t="s">
        <v>74</v>
      </c>
      <c r="F17" s="119" t="s">
        <v>75</v>
      </c>
      <c r="G17" s="120" t="s">
        <v>72</v>
      </c>
      <c r="H17" s="121">
        <v>216.964</v>
      </c>
      <c r="I17" s="122">
        <v>40.770000000000003</v>
      </c>
      <c r="J17" s="122">
        <v>8845.6200000000008</v>
      </c>
      <c r="K17" s="85">
        <v>0</v>
      </c>
      <c r="L17" s="86">
        <f t="shared" si="0"/>
        <v>40.770000000000003</v>
      </c>
      <c r="M17" s="277">
        <f t="shared" si="1"/>
        <v>0</v>
      </c>
      <c r="N17" s="87">
        <f t="shared" si="2"/>
        <v>216.964</v>
      </c>
      <c r="O17" s="88">
        <f t="shared" si="3"/>
        <v>40.770000000000003</v>
      </c>
      <c r="P17" s="278">
        <f t="shared" si="4"/>
        <v>8845.6222800000014</v>
      </c>
    </row>
    <row r="18" spans="1:16" s="109" customFormat="1" ht="60" x14ac:dyDescent="0.2">
      <c r="A18" s="97"/>
      <c r="B18" s="116"/>
      <c r="C18" s="117" t="s">
        <v>73</v>
      </c>
      <c r="D18" s="117" t="s">
        <v>69</v>
      </c>
      <c r="E18" s="118" t="s">
        <v>314</v>
      </c>
      <c r="F18" s="119" t="s">
        <v>315</v>
      </c>
      <c r="G18" s="120" t="s">
        <v>72</v>
      </c>
      <c r="H18" s="121">
        <v>8.6790000000000003</v>
      </c>
      <c r="I18" s="122">
        <v>519.33000000000004</v>
      </c>
      <c r="J18" s="122">
        <v>4507.2700000000004</v>
      </c>
      <c r="K18" s="85">
        <v>0</v>
      </c>
      <c r="L18" s="86">
        <f t="shared" si="0"/>
        <v>519.33000000000004</v>
      </c>
      <c r="M18" s="277">
        <f t="shared" si="1"/>
        <v>0</v>
      </c>
      <c r="N18" s="87">
        <f t="shared" si="2"/>
        <v>8.6790000000000003</v>
      </c>
      <c r="O18" s="88">
        <f t="shared" si="3"/>
        <v>519.33000000000004</v>
      </c>
      <c r="P18" s="278">
        <f t="shared" si="4"/>
        <v>4507.2650700000004</v>
      </c>
    </row>
    <row r="19" spans="1:16" s="109" customFormat="1" ht="60" x14ac:dyDescent="0.2">
      <c r="A19" s="97"/>
      <c r="B19" s="116"/>
      <c r="C19" s="117" t="s">
        <v>81</v>
      </c>
      <c r="D19" s="117" t="s">
        <v>69</v>
      </c>
      <c r="E19" s="118" t="s">
        <v>82</v>
      </c>
      <c r="F19" s="119" t="s">
        <v>83</v>
      </c>
      <c r="G19" s="120" t="s">
        <v>72</v>
      </c>
      <c r="H19" s="121">
        <v>216.964</v>
      </c>
      <c r="I19" s="122">
        <v>39.46</v>
      </c>
      <c r="J19" s="122">
        <v>8561.4</v>
      </c>
      <c r="K19" s="85">
        <v>0</v>
      </c>
      <c r="L19" s="86">
        <f t="shared" si="0"/>
        <v>39.46</v>
      </c>
      <c r="M19" s="277">
        <f t="shared" si="1"/>
        <v>0</v>
      </c>
      <c r="N19" s="87">
        <f t="shared" si="2"/>
        <v>216.964</v>
      </c>
      <c r="O19" s="88">
        <f t="shared" si="3"/>
        <v>39.46</v>
      </c>
      <c r="P19" s="278">
        <f t="shared" si="4"/>
        <v>8561.3994399999992</v>
      </c>
    </row>
    <row r="20" spans="1:16" s="109" customFormat="1" ht="60" x14ac:dyDescent="0.2">
      <c r="A20" s="97"/>
      <c r="B20" s="116"/>
      <c r="C20" s="117" t="s">
        <v>84</v>
      </c>
      <c r="D20" s="117" t="s">
        <v>69</v>
      </c>
      <c r="E20" s="118" t="s">
        <v>316</v>
      </c>
      <c r="F20" s="119" t="s">
        <v>317</v>
      </c>
      <c r="G20" s="120" t="s">
        <v>72</v>
      </c>
      <c r="H20" s="121">
        <v>8.6790000000000003</v>
      </c>
      <c r="I20" s="122">
        <v>77.599999999999994</v>
      </c>
      <c r="J20" s="122">
        <v>673.49</v>
      </c>
      <c r="K20" s="85">
        <v>0</v>
      </c>
      <c r="L20" s="86">
        <f t="shared" si="0"/>
        <v>77.599999999999994</v>
      </c>
      <c r="M20" s="277">
        <f t="shared" si="1"/>
        <v>0</v>
      </c>
      <c r="N20" s="87">
        <f t="shared" si="2"/>
        <v>8.6790000000000003</v>
      </c>
      <c r="O20" s="88">
        <f t="shared" si="3"/>
        <v>77.599999999999994</v>
      </c>
      <c r="P20" s="278">
        <f t="shared" si="4"/>
        <v>673.49040000000002</v>
      </c>
    </row>
    <row r="21" spans="1:16" s="109" customFormat="1" ht="48" x14ac:dyDescent="0.2">
      <c r="A21" s="97"/>
      <c r="B21" s="116"/>
      <c r="C21" s="117" t="s">
        <v>87</v>
      </c>
      <c r="D21" s="117" t="s">
        <v>69</v>
      </c>
      <c r="E21" s="118" t="s">
        <v>85</v>
      </c>
      <c r="F21" s="119" t="s">
        <v>86</v>
      </c>
      <c r="G21" s="120" t="s">
        <v>72</v>
      </c>
      <c r="H21" s="121">
        <v>351.87700000000001</v>
      </c>
      <c r="I21" s="122">
        <v>55.24</v>
      </c>
      <c r="J21" s="122">
        <v>19437.689999999999</v>
      </c>
      <c r="K21" s="85">
        <v>0</v>
      </c>
      <c r="L21" s="86">
        <f t="shared" si="0"/>
        <v>55.24</v>
      </c>
      <c r="M21" s="277">
        <f t="shared" si="1"/>
        <v>0</v>
      </c>
      <c r="N21" s="87">
        <f t="shared" si="2"/>
        <v>351.87700000000001</v>
      </c>
      <c r="O21" s="88">
        <f t="shared" si="3"/>
        <v>55.24</v>
      </c>
      <c r="P21" s="278">
        <f t="shared" si="4"/>
        <v>19437.68548</v>
      </c>
    </row>
    <row r="22" spans="1:16" s="109" customFormat="1" ht="84" x14ac:dyDescent="0.2">
      <c r="A22" s="97"/>
      <c r="B22" s="116"/>
      <c r="C22" s="117" t="s">
        <v>90</v>
      </c>
      <c r="D22" s="117" t="s">
        <v>69</v>
      </c>
      <c r="E22" s="118" t="s">
        <v>88</v>
      </c>
      <c r="F22" s="119" t="s">
        <v>89</v>
      </c>
      <c r="G22" s="120" t="s">
        <v>61</v>
      </c>
      <c r="H22" s="121">
        <v>5.5</v>
      </c>
      <c r="I22" s="122">
        <v>170.98</v>
      </c>
      <c r="J22" s="122">
        <v>940.39</v>
      </c>
      <c r="K22" s="85">
        <f>ROUND(232.9/232.47*H22-H22,2)</f>
        <v>0.01</v>
      </c>
      <c r="L22" s="86">
        <f t="shared" si="0"/>
        <v>170.98</v>
      </c>
      <c r="M22" s="277">
        <f t="shared" si="1"/>
        <v>1.7098</v>
      </c>
      <c r="N22" s="87">
        <f t="shared" si="2"/>
        <v>5.51</v>
      </c>
      <c r="O22" s="88">
        <f t="shared" si="3"/>
        <v>170.98</v>
      </c>
      <c r="P22" s="278">
        <f t="shared" si="4"/>
        <v>942.09979999999996</v>
      </c>
    </row>
    <row r="23" spans="1:16" s="109" customFormat="1" ht="36" x14ac:dyDescent="0.2">
      <c r="A23" s="97"/>
      <c r="B23" s="116"/>
      <c r="C23" s="117" t="s">
        <v>93</v>
      </c>
      <c r="D23" s="117" t="s">
        <v>69</v>
      </c>
      <c r="E23" s="118" t="s">
        <v>318</v>
      </c>
      <c r="F23" s="119" t="s">
        <v>319</v>
      </c>
      <c r="G23" s="120" t="s">
        <v>61</v>
      </c>
      <c r="H23" s="121">
        <v>2.2000000000000002</v>
      </c>
      <c r="I23" s="122">
        <v>257.77999999999997</v>
      </c>
      <c r="J23" s="122">
        <v>567.12</v>
      </c>
      <c r="K23" s="85">
        <f t="shared" ref="K23:K41" si="5">ROUND(232.9/232.47*H23-H23,2)</f>
        <v>0</v>
      </c>
      <c r="L23" s="86">
        <f t="shared" si="0"/>
        <v>257.77999999999997</v>
      </c>
      <c r="M23" s="277">
        <f t="shared" si="1"/>
        <v>0</v>
      </c>
      <c r="N23" s="87">
        <f t="shared" si="2"/>
        <v>2.2000000000000002</v>
      </c>
      <c r="O23" s="88">
        <f t="shared" si="3"/>
        <v>257.77999999999997</v>
      </c>
      <c r="P23" s="278">
        <f t="shared" si="4"/>
        <v>567.11599999999999</v>
      </c>
    </row>
    <row r="24" spans="1:16" s="109" customFormat="1" ht="96" x14ac:dyDescent="0.2">
      <c r="A24" s="97"/>
      <c r="B24" s="116"/>
      <c r="C24" s="117" t="s">
        <v>26</v>
      </c>
      <c r="D24" s="117" t="s">
        <v>69</v>
      </c>
      <c r="E24" s="118" t="s">
        <v>91</v>
      </c>
      <c r="F24" s="119" t="s">
        <v>92</v>
      </c>
      <c r="G24" s="120" t="s">
        <v>61</v>
      </c>
      <c r="H24" s="121">
        <v>3.3</v>
      </c>
      <c r="I24" s="122">
        <v>147.30000000000001</v>
      </c>
      <c r="J24" s="122">
        <v>486.09</v>
      </c>
      <c r="K24" s="85">
        <f t="shared" si="5"/>
        <v>0.01</v>
      </c>
      <c r="L24" s="86">
        <f t="shared" si="0"/>
        <v>147.30000000000001</v>
      </c>
      <c r="M24" s="277">
        <f t="shared" si="1"/>
        <v>1.4730000000000001</v>
      </c>
      <c r="N24" s="87">
        <f t="shared" si="2"/>
        <v>3.3099999999999996</v>
      </c>
      <c r="O24" s="88">
        <f t="shared" si="3"/>
        <v>147.30000000000001</v>
      </c>
      <c r="P24" s="278">
        <f t="shared" si="4"/>
        <v>487.56299999999999</v>
      </c>
    </row>
    <row r="25" spans="1:16" s="109" customFormat="1" ht="36" x14ac:dyDescent="0.2">
      <c r="A25" s="97"/>
      <c r="B25" s="116"/>
      <c r="C25" s="117" t="s">
        <v>28</v>
      </c>
      <c r="D25" s="117" t="s">
        <v>69</v>
      </c>
      <c r="E25" s="118" t="s">
        <v>94</v>
      </c>
      <c r="F25" s="119" t="s">
        <v>95</v>
      </c>
      <c r="G25" s="120" t="s">
        <v>62</v>
      </c>
      <c r="H25" s="121">
        <v>38.86</v>
      </c>
      <c r="I25" s="122">
        <v>257.77999999999997</v>
      </c>
      <c r="J25" s="122">
        <v>10017.33</v>
      </c>
      <c r="K25" s="85">
        <f t="shared" si="5"/>
        <v>7.0000000000000007E-2</v>
      </c>
      <c r="L25" s="86">
        <f t="shared" si="0"/>
        <v>257.77999999999997</v>
      </c>
      <c r="M25" s="277">
        <f t="shared" si="1"/>
        <v>18.044599999999999</v>
      </c>
      <c r="N25" s="87">
        <f t="shared" si="2"/>
        <v>38.93</v>
      </c>
      <c r="O25" s="88">
        <f t="shared" si="3"/>
        <v>257.77999999999997</v>
      </c>
      <c r="P25" s="278">
        <f t="shared" si="4"/>
        <v>10035.375399999999</v>
      </c>
    </row>
    <row r="26" spans="1:16" s="109" customFormat="1" ht="48" x14ac:dyDescent="0.2">
      <c r="A26" s="97"/>
      <c r="B26" s="116"/>
      <c r="C26" s="117" t="s">
        <v>30</v>
      </c>
      <c r="D26" s="117" t="s">
        <v>69</v>
      </c>
      <c r="E26" s="118" t="s">
        <v>96</v>
      </c>
      <c r="F26" s="119" t="s">
        <v>97</v>
      </c>
      <c r="G26" s="120" t="s">
        <v>62</v>
      </c>
      <c r="H26" s="121">
        <v>103.62</v>
      </c>
      <c r="I26" s="122">
        <v>234.11</v>
      </c>
      <c r="J26" s="122">
        <v>24258.48</v>
      </c>
      <c r="K26" s="85">
        <f t="shared" si="5"/>
        <v>0.19</v>
      </c>
      <c r="L26" s="86">
        <f t="shared" si="0"/>
        <v>234.11</v>
      </c>
      <c r="M26" s="277">
        <f t="shared" si="1"/>
        <v>44.480900000000005</v>
      </c>
      <c r="N26" s="87">
        <f t="shared" si="2"/>
        <v>103.81</v>
      </c>
      <c r="O26" s="88">
        <f t="shared" si="3"/>
        <v>234.11</v>
      </c>
      <c r="P26" s="278">
        <f t="shared" si="4"/>
        <v>24302.959100000004</v>
      </c>
    </row>
    <row r="27" spans="1:16" s="109" customFormat="1" ht="48" x14ac:dyDescent="0.2">
      <c r="A27" s="97"/>
      <c r="B27" s="116"/>
      <c r="C27" s="117" t="s">
        <v>32</v>
      </c>
      <c r="D27" s="117" t="s">
        <v>69</v>
      </c>
      <c r="E27" s="118" t="s">
        <v>98</v>
      </c>
      <c r="F27" s="119" t="s">
        <v>99</v>
      </c>
      <c r="G27" s="120" t="s">
        <v>62</v>
      </c>
      <c r="H27" s="121">
        <v>181.33</v>
      </c>
      <c r="I27" s="122">
        <v>257.77999999999997</v>
      </c>
      <c r="J27" s="122">
        <v>46743.25</v>
      </c>
      <c r="K27" s="85">
        <f t="shared" si="5"/>
        <v>0.34</v>
      </c>
      <c r="L27" s="86">
        <f t="shared" si="0"/>
        <v>257.77999999999997</v>
      </c>
      <c r="M27" s="277">
        <f t="shared" si="1"/>
        <v>87.645200000000003</v>
      </c>
      <c r="N27" s="87">
        <f t="shared" si="2"/>
        <v>181.67000000000002</v>
      </c>
      <c r="O27" s="88">
        <f t="shared" si="3"/>
        <v>257.77999999999997</v>
      </c>
      <c r="P27" s="278">
        <f t="shared" si="4"/>
        <v>46830.892599999999</v>
      </c>
    </row>
    <row r="28" spans="1:16" s="109" customFormat="1" ht="48" x14ac:dyDescent="0.2">
      <c r="A28" s="97"/>
      <c r="B28" s="116"/>
      <c r="C28" s="117" t="s">
        <v>34</v>
      </c>
      <c r="D28" s="117" t="s">
        <v>69</v>
      </c>
      <c r="E28" s="118" t="s">
        <v>100</v>
      </c>
      <c r="F28" s="119" t="s">
        <v>101</v>
      </c>
      <c r="G28" s="120" t="s">
        <v>62</v>
      </c>
      <c r="H28" s="121">
        <v>233.14</v>
      </c>
      <c r="I28" s="122">
        <v>315.64999999999998</v>
      </c>
      <c r="J28" s="122">
        <v>73590.64</v>
      </c>
      <c r="K28" s="85">
        <f t="shared" si="5"/>
        <v>0.43</v>
      </c>
      <c r="L28" s="86">
        <f t="shared" si="0"/>
        <v>315.64999999999998</v>
      </c>
      <c r="M28" s="277">
        <f t="shared" si="1"/>
        <v>135.7295</v>
      </c>
      <c r="N28" s="87">
        <f t="shared" si="2"/>
        <v>233.57</v>
      </c>
      <c r="O28" s="88">
        <f t="shared" si="3"/>
        <v>315.64999999999998</v>
      </c>
      <c r="P28" s="278">
        <f t="shared" si="4"/>
        <v>73726.37049999999</v>
      </c>
    </row>
    <row r="29" spans="1:16" s="109" customFormat="1" ht="36" x14ac:dyDescent="0.2">
      <c r="A29" s="97"/>
      <c r="B29" s="116"/>
      <c r="C29" s="117" t="s">
        <v>1</v>
      </c>
      <c r="D29" s="117" t="s">
        <v>69</v>
      </c>
      <c r="E29" s="118" t="s">
        <v>102</v>
      </c>
      <c r="F29" s="119" t="s">
        <v>103</v>
      </c>
      <c r="G29" s="120" t="s">
        <v>72</v>
      </c>
      <c r="H29" s="121">
        <v>1089.8</v>
      </c>
      <c r="I29" s="122">
        <v>69.709999999999994</v>
      </c>
      <c r="J29" s="122">
        <v>75969.960000000006</v>
      </c>
      <c r="K29" s="85">
        <f t="shared" si="5"/>
        <v>2.02</v>
      </c>
      <c r="L29" s="86">
        <f t="shared" si="0"/>
        <v>69.709999999999994</v>
      </c>
      <c r="M29" s="277">
        <f t="shared" si="1"/>
        <v>140.8142</v>
      </c>
      <c r="N29" s="87">
        <f t="shared" si="2"/>
        <v>1091.82</v>
      </c>
      <c r="O29" s="88">
        <f t="shared" si="3"/>
        <v>69.709999999999994</v>
      </c>
      <c r="P29" s="278">
        <f t="shared" si="4"/>
        <v>76110.772199999992</v>
      </c>
    </row>
    <row r="30" spans="1:16" s="109" customFormat="1" ht="48" x14ac:dyDescent="0.2">
      <c r="A30" s="97"/>
      <c r="B30" s="116"/>
      <c r="C30" s="117" t="s">
        <v>37</v>
      </c>
      <c r="D30" s="117" t="s">
        <v>69</v>
      </c>
      <c r="E30" s="118" t="s">
        <v>104</v>
      </c>
      <c r="F30" s="119" t="s">
        <v>105</v>
      </c>
      <c r="G30" s="120" t="s">
        <v>72</v>
      </c>
      <c r="H30" s="121">
        <v>1089.8</v>
      </c>
      <c r="I30" s="122">
        <v>80.23</v>
      </c>
      <c r="J30" s="122">
        <v>87434.65</v>
      </c>
      <c r="K30" s="85">
        <f t="shared" si="5"/>
        <v>2.02</v>
      </c>
      <c r="L30" s="86">
        <f t="shared" si="0"/>
        <v>80.23</v>
      </c>
      <c r="M30" s="277">
        <f t="shared" si="1"/>
        <v>162.06460000000001</v>
      </c>
      <c r="N30" s="87">
        <f t="shared" si="2"/>
        <v>1091.82</v>
      </c>
      <c r="O30" s="88">
        <f t="shared" si="3"/>
        <v>80.23</v>
      </c>
      <c r="P30" s="278">
        <f t="shared" si="4"/>
        <v>87596.718599999993</v>
      </c>
    </row>
    <row r="31" spans="1:16" s="109" customFormat="1" ht="60" x14ac:dyDescent="0.2">
      <c r="A31" s="97"/>
      <c r="B31" s="116"/>
      <c r="C31" s="117" t="s">
        <v>39</v>
      </c>
      <c r="D31" s="117" t="s">
        <v>69</v>
      </c>
      <c r="E31" s="118" t="s">
        <v>106</v>
      </c>
      <c r="F31" s="119" t="s">
        <v>107</v>
      </c>
      <c r="G31" s="120" t="s">
        <v>62</v>
      </c>
      <c r="H31" s="121">
        <v>310.86</v>
      </c>
      <c r="I31" s="122">
        <v>13.15</v>
      </c>
      <c r="J31" s="122">
        <v>4087.81</v>
      </c>
      <c r="K31" s="85">
        <f t="shared" si="5"/>
        <v>0.56999999999999995</v>
      </c>
      <c r="L31" s="86">
        <f t="shared" si="0"/>
        <v>13.15</v>
      </c>
      <c r="M31" s="277">
        <f t="shared" si="1"/>
        <v>7.4954999999999998</v>
      </c>
      <c r="N31" s="87">
        <f t="shared" si="2"/>
        <v>311.43</v>
      </c>
      <c r="O31" s="88">
        <f t="shared" si="3"/>
        <v>13.15</v>
      </c>
      <c r="P31" s="278">
        <f t="shared" si="4"/>
        <v>4095.3045000000002</v>
      </c>
    </row>
    <row r="32" spans="1:16" s="109" customFormat="1" ht="48" x14ac:dyDescent="0.2">
      <c r="A32" s="97"/>
      <c r="B32" s="116"/>
      <c r="C32" s="117" t="s">
        <v>41</v>
      </c>
      <c r="D32" s="117" t="s">
        <v>69</v>
      </c>
      <c r="E32" s="118" t="s">
        <v>108</v>
      </c>
      <c r="F32" s="119" t="s">
        <v>109</v>
      </c>
      <c r="G32" s="120" t="s">
        <v>62</v>
      </c>
      <c r="H32" s="121">
        <v>838.84</v>
      </c>
      <c r="I32" s="122">
        <v>185.6</v>
      </c>
      <c r="J32" s="122">
        <v>155688.70000000001</v>
      </c>
      <c r="K32" s="85">
        <f t="shared" si="5"/>
        <v>1.55</v>
      </c>
      <c r="L32" s="86">
        <f t="shared" si="0"/>
        <v>185.6</v>
      </c>
      <c r="M32" s="277">
        <f t="shared" si="1"/>
        <v>287.68</v>
      </c>
      <c r="N32" s="87">
        <f t="shared" si="2"/>
        <v>840.39</v>
      </c>
      <c r="O32" s="88">
        <f t="shared" si="3"/>
        <v>185.6</v>
      </c>
      <c r="P32" s="278">
        <f t="shared" si="4"/>
        <v>155976.38399999999</v>
      </c>
    </row>
    <row r="33" spans="1:46" s="109" customFormat="1" ht="36" x14ac:dyDescent="0.2">
      <c r="A33" s="97"/>
      <c r="B33" s="116"/>
      <c r="C33" s="117" t="s">
        <v>114</v>
      </c>
      <c r="D33" s="117" t="s">
        <v>69</v>
      </c>
      <c r="E33" s="118" t="s">
        <v>110</v>
      </c>
      <c r="F33" s="119" t="s">
        <v>111</v>
      </c>
      <c r="G33" s="120" t="s">
        <v>62</v>
      </c>
      <c r="H33" s="121">
        <v>518.1</v>
      </c>
      <c r="I33" s="122">
        <v>44.72</v>
      </c>
      <c r="J33" s="122">
        <v>23169.43</v>
      </c>
      <c r="K33" s="85">
        <f t="shared" si="5"/>
        <v>0.96</v>
      </c>
      <c r="L33" s="86">
        <f t="shared" si="0"/>
        <v>44.72</v>
      </c>
      <c r="M33" s="277">
        <f t="shared" si="1"/>
        <v>42.931199999999997</v>
      </c>
      <c r="N33" s="87">
        <f t="shared" si="2"/>
        <v>519.06000000000006</v>
      </c>
      <c r="O33" s="88">
        <f t="shared" si="3"/>
        <v>44.72</v>
      </c>
      <c r="P33" s="278">
        <f t="shared" si="4"/>
        <v>23212.363200000003</v>
      </c>
      <c r="AT33" s="150" t="s">
        <v>1086</v>
      </c>
    </row>
    <row r="34" spans="1:46" s="109" customFormat="1" ht="48" x14ac:dyDescent="0.2">
      <c r="A34" s="97"/>
      <c r="B34" s="116"/>
      <c r="C34" s="117" t="s">
        <v>117</v>
      </c>
      <c r="D34" s="117" t="s">
        <v>69</v>
      </c>
      <c r="E34" s="118" t="s">
        <v>112</v>
      </c>
      <c r="F34" s="119" t="s">
        <v>113</v>
      </c>
      <c r="G34" s="120" t="s">
        <v>62</v>
      </c>
      <c r="H34" s="121">
        <v>195.1</v>
      </c>
      <c r="I34" s="122">
        <v>247.39</v>
      </c>
      <c r="J34" s="122">
        <v>48265.79</v>
      </c>
      <c r="K34" s="85">
        <f t="shared" si="5"/>
        <v>0.36</v>
      </c>
      <c r="L34" s="86">
        <f t="shared" si="0"/>
        <v>247.39</v>
      </c>
      <c r="M34" s="277">
        <f t="shared" si="1"/>
        <v>89.060399999999987</v>
      </c>
      <c r="N34" s="87">
        <f t="shared" si="2"/>
        <v>195.46</v>
      </c>
      <c r="O34" s="88">
        <f t="shared" si="3"/>
        <v>247.39</v>
      </c>
      <c r="P34" s="278">
        <f t="shared" si="4"/>
        <v>48354.849399999999</v>
      </c>
      <c r="AT34" s="150" t="s">
        <v>1086</v>
      </c>
    </row>
    <row r="35" spans="1:46" s="109" customFormat="1" ht="12" x14ac:dyDescent="0.2">
      <c r="A35" s="97"/>
      <c r="B35" s="116"/>
      <c r="C35" s="117" t="s">
        <v>0</v>
      </c>
      <c r="D35" s="117" t="s">
        <v>69</v>
      </c>
      <c r="E35" s="118" t="s">
        <v>115</v>
      </c>
      <c r="F35" s="119" t="s">
        <v>116</v>
      </c>
      <c r="G35" s="120" t="s">
        <v>62</v>
      </c>
      <c r="H35" s="121">
        <v>195.1</v>
      </c>
      <c r="I35" s="122">
        <v>11.84</v>
      </c>
      <c r="J35" s="122">
        <v>2309.98</v>
      </c>
      <c r="K35" s="85">
        <f t="shared" si="5"/>
        <v>0.36</v>
      </c>
      <c r="L35" s="86">
        <f t="shared" si="0"/>
        <v>11.84</v>
      </c>
      <c r="M35" s="277">
        <f t="shared" si="1"/>
        <v>4.2623999999999995</v>
      </c>
      <c r="N35" s="87">
        <f t="shared" si="2"/>
        <v>195.46</v>
      </c>
      <c r="O35" s="88">
        <f t="shared" si="3"/>
        <v>11.84</v>
      </c>
      <c r="P35" s="278">
        <f t="shared" si="4"/>
        <v>2314.2464</v>
      </c>
      <c r="AT35" s="150" t="s">
        <v>1086</v>
      </c>
    </row>
    <row r="36" spans="1:46" s="109" customFormat="1" ht="36" x14ac:dyDescent="0.2">
      <c r="A36" s="97"/>
      <c r="B36" s="116"/>
      <c r="C36" s="117" t="s">
        <v>123</v>
      </c>
      <c r="D36" s="117" t="s">
        <v>69</v>
      </c>
      <c r="E36" s="118" t="s">
        <v>118</v>
      </c>
      <c r="F36" s="119" t="s">
        <v>119</v>
      </c>
      <c r="G36" s="120" t="s">
        <v>120</v>
      </c>
      <c r="H36" s="121">
        <v>311.79899999999998</v>
      </c>
      <c r="I36" s="122">
        <v>116</v>
      </c>
      <c r="J36" s="122">
        <v>36168.68</v>
      </c>
      <c r="K36" s="85">
        <f t="shared" si="5"/>
        <v>0.57999999999999996</v>
      </c>
      <c r="L36" s="86">
        <f t="shared" si="0"/>
        <v>116</v>
      </c>
      <c r="M36" s="277">
        <f t="shared" si="1"/>
        <v>67.28</v>
      </c>
      <c r="N36" s="87">
        <f t="shared" si="2"/>
        <v>312.37899999999996</v>
      </c>
      <c r="O36" s="88">
        <f t="shared" si="3"/>
        <v>116</v>
      </c>
      <c r="P36" s="278">
        <f t="shared" si="4"/>
        <v>36235.963999999993</v>
      </c>
      <c r="AT36" s="150" t="s">
        <v>1087</v>
      </c>
    </row>
    <row r="37" spans="1:46" s="109" customFormat="1" ht="36" x14ac:dyDescent="0.2">
      <c r="A37" s="97"/>
      <c r="B37" s="116"/>
      <c r="C37" s="117" t="s">
        <v>126</v>
      </c>
      <c r="D37" s="117" t="s">
        <v>69</v>
      </c>
      <c r="E37" s="118" t="s">
        <v>121</v>
      </c>
      <c r="F37" s="119" t="s">
        <v>122</v>
      </c>
      <c r="G37" s="120" t="s">
        <v>62</v>
      </c>
      <c r="H37" s="121">
        <v>320.74</v>
      </c>
      <c r="I37" s="122">
        <v>286.72000000000003</v>
      </c>
      <c r="J37" s="122">
        <v>91962.57</v>
      </c>
      <c r="K37" s="85">
        <f t="shared" si="5"/>
        <v>0.59</v>
      </c>
      <c r="L37" s="86">
        <f t="shared" si="0"/>
        <v>286.72000000000003</v>
      </c>
      <c r="M37" s="277">
        <f t="shared" si="1"/>
        <v>169.16480000000001</v>
      </c>
      <c r="N37" s="87">
        <f t="shared" si="2"/>
        <v>321.33</v>
      </c>
      <c r="O37" s="88">
        <f t="shared" si="3"/>
        <v>286.72000000000003</v>
      </c>
      <c r="P37" s="278">
        <f t="shared" si="4"/>
        <v>92131.737600000008</v>
      </c>
    </row>
    <row r="38" spans="1:46" s="109" customFormat="1" ht="60" x14ac:dyDescent="0.2">
      <c r="A38" s="97"/>
      <c r="B38" s="116"/>
      <c r="C38" s="117" t="s">
        <v>131</v>
      </c>
      <c r="D38" s="117" t="s">
        <v>69</v>
      </c>
      <c r="E38" s="118" t="s">
        <v>124</v>
      </c>
      <c r="F38" s="119" t="s">
        <v>125</v>
      </c>
      <c r="G38" s="120" t="s">
        <v>62</v>
      </c>
      <c r="H38" s="121">
        <v>130.84</v>
      </c>
      <c r="I38" s="122">
        <v>318.27999999999997</v>
      </c>
      <c r="J38" s="122">
        <v>41643.760000000002</v>
      </c>
      <c r="K38" s="85">
        <f t="shared" si="5"/>
        <v>0.24</v>
      </c>
      <c r="L38" s="86">
        <f t="shared" si="0"/>
        <v>318.27999999999997</v>
      </c>
      <c r="M38" s="277">
        <f t="shared" si="1"/>
        <v>76.387199999999993</v>
      </c>
      <c r="N38" s="87">
        <f t="shared" si="2"/>
        <v>131.08000000000001</v>
      </c>
      <c r="O38" s="88">
        <f t="shared" si="3"/>
        <v>318.27999999999997</v>
      </c>
      <c r="P38" s="278">
        <f t="shared" si="4"/>
        <v>41720.142399999997</v>
      </c>
    </row>
    <row r="39" spans="1:46" s="109" customFormat="1" ht="12" x14ac:dyDescent="0.2">
      <c r="A39" s="97"/>
      <c r="B39" s="116"/>
      <c r="C39" s="123" t="s">
        <v>135</v>
      </c>
      <c r="D39" s="123" t="s">
        <v>127</v>
      </c>
      <c r="E39" s="124" t="s">
        <v>128</v>
      </c>
      <c r="F39" s="125" t="s">
        <v>129</v>
      </c>
      <c r="G39" s="126" t="s">
        <v>120</v>
      </c>
      <c r="H39" s="127">
        <v>235.512</v>
      </c>
      <c r="I39" s="128">
        <v>190.76</v>
      </c>
      <c r="J39" s="128">
        <v>44926.27</v>
      </c>
      <c r="K39" s="85">
        <f t="shared" si="5"/>
        <v>0.44</v>
      </c>
      <c r="L39" s="86">
        <f t="shared" si="0"/>
        <v>190.76</v>
      </c>
      <c r="M39" s="277">
        <f t="shared" si="1"/>
        <v>83.934399999999997</v>
      </c>
      <c r="N39" s="87">
        <f t="shared" si="2"/>
        <v>235.952</v>
      </c>
      <c r="O39" s="88">
        <f t="shared" si="3"/>
        <v>190.76</v>
      </c>
      <c r="P39" s="278">
        <f t="shared" si="4"/>
        <v>45010.203519999995</v>
      </c>
    </row>
    <row r="40" spans="1:46" s="110" customFormat="1" ht="12.75" x14ac:dyDescent="0.2">
      <c r="C40" s="245"/>
      <c r="D40" s="246" t="s">
        <v>3</v>
      </c>
      <c r="E40" s="247" t="s">
        <v>76</v>
      </c>
      <c r="F40" s="247" t="s">
        <v>130</v>
      </c>
      <c r="G40" s="245"/>
      <c r="H40" s="245"/>
      <c r="I40" s="245"/>
      <c r="J40" s="248">
        <v>7643.61</v>
      </c>
      <c r="K40" s="243"/>
      <c r="L40" s="244"/>
      <c r="M40" s="279">
        <f>M41</f>
        <v>14.138400000000001</v>
      </c>
      <c r="N40" s="311"/>
      <c r="O40" s="244"/>
      <c r="P40" s="279">
        <f>P41</f>
        <v>7657.7520000000004</v>
      </c>
    </row>
    <row r="41" spans="1:46" s="109" customFormat="1" ht="12" x14ac:dyDescent="0.2">
      <c r="A41" s="97"/>
      <c r="B41" s="116"/>
      <c r="C41" s="117" t="s">
        <v>139</v>
      </c>
      <c r="D41" s="117" t="s">
        <v>69</v>
      </c>
      <c r="E41" s="118" t="s">
        <v>132</v>
      </c>
      <c r="F41" s="119" t="s">
        <v>133</v>
      </c>
      <c r="G41" s="120" t="s">
        <v>61</v>
      </c>
      <c r="H41" s="121">
        <v>232.47</v>
      </c>
      <c r="I41" s="122">
        <v>32.880000000000003</v>
      </c>
      <c r="J41" s="122">
        <v>7643.61</v>
      </c>
      <c r="K41" s="85">
        <f t="shared" si="5"/>
        <v>0.43</v>
      </c>
      <c r="L41" s="86">
        <f t="shared" si="0"/>
        <v>32.880000000000003</v>
      </c>
      <c r="M41" s="277">
        <f t="shared" si="1"/>
        <v>14.138400000000001</v>
      </c>
      <c r="N41" s="87">
        <f t="shared" si="2"/>
        <v>232.9</v>
      </c>
      <c r="O41" s="88">
        <f t="shared" si="3"/>
        <v>32.880000000000003</v>
      </c>
      <c r="P41" s="278">
        <f t="shared" si="4"/>
        <v>7657.7520000000004</v>
      </c>
    </row>
    <row r="42" spans="1:46" s="110" customFormat="1" ht="12.75" x14ac:dyDescent="0.2">
      <c r="C42" s="245"/>
      <c r="D42" s="246" t="s">
        <v>3</v>
      </c>
      <c r="E42" s="247" t="s">
        <v>73</v>
      </c>
      <c r="F42" s="247" t="s">
        <v>134</v>
      </c>
      <c r="G42" s="245"/>
      <c r="H42" s="245"/>
      <c r="I42" s="245"/>
      <c r="J42" s="248">
        <v>6602.43</v>
      </c>
      <c r="K42" s="243"/>
      <c r="L42" s="244"/>
      <c r="M42" s="279">
        <f>SUM(M43:M47)</f>
        <v>0</v>
      </c>
      <c r="N42" s="311"/>
      <c r="O42" s="244"/>
      <c r="P42" s="279">
        <f>SUM(P43:P47)</f>
        <v>6602.4299999999994</v>
      </c>
    </row>
    <row r="43" spans="1:46" s="109" customFormat="1" ht="24" x14ac:dyDescent="0.2">
      <c r="A43" s="97"/>
      <c r="B43" s="116"/>
      <c r="C43" s="117" t="s">
        <v>142</v>
      </c>
      <c r="D43" s="117" t="s">
        <v>69</v>
      </c>
      <c r="E43" s="118" t="s">
        <v>136</v>
      </c>
      <c r="F43" s="119" t="s">
        <v>137</v>
      </c>
      <c r="G43" s="120" t="s">
        <v>138</v>
      </c>
      <c r="H43" s="121">
        <v>13</v>
      </c>
      <c r="I43" s="122">
        <v>122.32</v>
      </c>
      <c r="J43" s="122">
        <v>1590.16</v>
      </c>
      <c r="K43" s="85">
        <v>0</v>
      </c>
      <c r="L43" s="86">
        <f t="shared" si="0"/>
        <v>122.32</v>
      </c>
      <c r="M43" s="277">
        <f t="shared" si="1"/>
        <v>0</v>
      </c>
      <c r="N43" s="87">
        <f t="shared" si="2"/>
        <v>13</v>
      </c>
      <c r="O43" s="88">
        <f t="shared" si="3"/>
        <v>122.32</v>
      </c>
      <c r="P43" s="278">
        <f t="shared" si="4"/>
        <v>1590.1599999999999</v>
      </c>
    </row>
    <row r="44" spans="1:46" s="109" customFormat="1" ht="24" x14ac:dyDescent="0.2">
      <c r="A44" s="97"/>
      <c r="B44" s="116"/>
      <c r="C44" s="123" t="s">
        <v>145</v>
      </c>
      <c r="D44" s="123" t="s">
        <v>127</v>
      </c>
      <c r="E44" s="124" t="s">
        <v>143</v>
      </c>
      <c r="F44" s="125" t="s">
        <v>144</v>
      </c>
      <c r="G44" s="126" t="s">
        <v>138</v>
      </c>
      <c r="H44" s="127">
        <v>1</v>
      </c>
      <c r="I44" s="128">
        <v>313.02</v>
      </c>
      <c r="J44" s="128">
        <v>313.02</v>
      </c>
      <c r="K44" s="85">
        <v>0</v>
      </c>
      <c r="L44" s="86">
        <f t="shared" si="0"/>
        <v>313.02</v>
      </c>
      <c r="M44" s="277">
        <f t="shared" si="1"/>
        <v>0</v>
      </c>
      <c r="N44" s="87">
        <f t="shared" si="2"/>
        <v>1</v>
      </c>
      <c r="O44" s="88">
        <f t="shared" si="3"/>
        <v>313.02</v>
      </c>
      <c r="P44" s="278">
        <f t="shared" si="4"/>
        <v>313.02</v>
      </c>
    </row>
    <row r="45" spans="1:46" s="109" customFormat="1" ht="12" x14ac:dyDescent="0.2">
      <c r="A45" s="97"/>
      <c r="B45" s="116"/>
      <c r="C45" s="123" t="s">
        <v>148</v>
      </c>
      <c r="D45" s="123" t="s">
        <v>127</v>
      </c>
      <c r="E45" s="124" t="s">
        <v>146</v>
      </c>
      <c r="F45" s="125" t="s">
        <v>147</v>
      </c>
      <c r="G45" s="126" t="s">
        <v>138</v>
      </c>
      <c r="H45" s="127">
        <v>12</v>
      </c>
      <c r="I45" s="128">
        <v>345.9</v>
      </c>
      <c r="J45" s="128">
        <v>4150.8</v>
      </c>
      <c r="K45" s="85">
        <v>0</v>
      </c>
      <c r="L45" s="86">
        <f t="shared" si="0"/>
        <v>345.9</v>
      </c>
      <c r="M45" s="277">
        <f t="shared" si="1"/>
        <v>0</v>
      </c>
      <c r="N45" s="87">
        <f t="shared" si="2"/>
        <v>12</v>
      </c>
      <c r="O45" s="88">
        <f t="shared" si="3"/>
        <v>345.9</v>
      </c>
      <c r="P45" s="278">
        <f t="shared" si="4"/>
        <v>4150.7999999999993</v>
      </c>
    </row>
    <row r="46" spans="1:46" s="109" customFormat="1" ht="24" x14ac:dyDescent="0.2">
      <c r="A46" s="97"/>
      <c r="B46" s="116"/>
      <c r="C46" s="117" t="s">
        <v>151</v>
      </c>
      <c r="D46" s="117" t="s">
        <v>69</v>
      </c>
      <c r="E46" s="118" t="s">
        <v>149</v>
      </c>
      <c r="F46" s="119" t="s">
        <v>150</v>
      </c>
      <c r="G46" s="120" t="s">
        <v>138</v>
      </c>
      <c r="H46" s="121">
        <v>1</v>
      </c>
      <c r="I46" s="122">
        <v>152.57</v>
      </c>
      <c r="J46" s="122">
        <v>152.57</v>
      </c>
      <c r="K46" s="85">
        <v>0</v>
      </c>
      <c r="L46" s="86">
        <f t="shared" si="0"/>
        <v>152.57</v>
      </c>
      <c r="M46" s="277">
        <f t="shared" si="1"/>
        <v>0</v>
      </c>
      <c r="N46" s="87">
        <f t="shared" si="2"/>
        <v>1</v>
      </c>
      <c r="O46" s="88">
        <f t="shared" si="3"/>
        <v>152.57</v>
      </c>
      <c r="P46" s="278">
        <f t="shared" si="4"/>
        <v>152.57</v>
      </c>
    </row>
    <row r="47" spans="1:46" s="109" customFormat="1" ht="12" x14ac:dyDescent="0.2">
      <c r="A47" s="97"/>
      <c r="B47" s="116"/>
      <c r="C47" s="123" t="s">
        <v>155</v>
      </c>
      <c r="D47" s="123" t="s">
        <v>127</v>
      </c>
      <c r="E47" s="124" t="s">
        <v>152</v>
      </c>
      <c r="F47" s="125" t="s">
        <v>153</v>
      </c>
      <c r="G47" s="126" t="s">
        <v>138</v>
      </c>
      <c r="H47" s="127">
        <v>1</v>
      </c>
      <c r="I47" s="128">
        <v>395.88</v>
      </c>
      <c r="J47" s="128">
        <v>395.88</v>
      </c>
      <c r="K47" s="85">
        <v>0</v>
      </c>
      <c r="L47" s="86">
        <f t="shared" si="0"/>
        <v>395.88</v>
      </c>
      <c r="M47" s="277">
        <f t="shared" si="1"/>
        <v>0</v>
      </c>
      <c r="N47" s="87">
        <f t="shared" si="2"/>
        <v>1</v>
      </c>
      <c r="O47" s="88">
        <f t="shared" si="3"/>
        <v>395.88</v>
      </c>
      <c r="P47" s="278">
        <f t="shared" si="4"/>
        <v>395.88</v>
      </c>
    </row>
    <row r="48" spans="1:46" s="110" customFormat="1" ht="12.75" x14ac:dyDescent="0.2">
      <c r="C48" s="245"/>
      <c r="D48" s="246" t="s">
        <v>3</v>
      </c>
      <c r="E48" s="247" t="s">
        <v>81</v>
      </c>
      <c r="F48" s="247" t="s">
        <v>154</v>
      </c>
      <c r="G48" s="245"/>
      <c r="H48" s="245"/>
      <c r="I48" s="245"/>
      <c r="J48" s="248">
        <v>364292.82</v>
      </c>
      <c r="K48" s="243"/>
      <c r="L48" s="244"/>
      <c r="M48" s="279">
        <f>SUM(M49:M58)</f>
        <v>0</v>
      </c>
      <c r="N48" s="311"/>
      <c r="O48" s="244"/>
      <c r="P48" s="279">
        <f>SUM(P49:P58)</f>
        <v>364292.80976999993</v>
      </c>
    </row>
    <row r="49" spans="1:18" s="109" customFormat="1" ht="36" x14ac:dyDescent="0.2">
      <c r="A49" s="97"/>
      <c r="B49" s="116"/>
      <c r="C49" s="117" t="s">
        <v>158</v>
      </c>
      <c r="D49" s="117" t="s">
        <v>69</v>
      </c>
      <c r="E49" s="118" t="s">
        <v>156</v>
      </c>
      <c r="F49" s="119" t="s">
        <v>157</v>
      </c>
      <c r="G49" s="120" t="s">
        <v>72</v>
      </c>
      <c r="H49" s="121">
        <v>216.964</v>
      </c>
      <c r="I49" s="122">
        <v>319.88</v>
      </c>
      <c r="J49" s="122">
        <v>69402.44</v>
      </c>
      <c r="K49" s="85">
        <v>0</v>
      </c>
      <c r="L49" s="86">
        <f t="shared" si="0"/>
        <v>319.88</v>
      </c>
      <c r="M49" s="277">
        <f t="shared" si="1"/>
        <v>0</v>
      </c>
      <c r="N49" s="87">
        <f t="shared" si="2"/>
        <v>216.964</v>
      </c>
      <c r="O49" s="88">
        <f t="shared" si="3"/>
        <v>319.88</v>
      </c>
      <c r="P49" s="278">
        <f t="shared" si="4"/>
        <v>69402.444319999995</v>
      </c>
    </row>
    <row r="50" spans="1:18" s="109" customFormat="1" ht="24" x14ac:dyDescent="0.2">
      <c r="A50" s="97"/>
      <c r="B50" s="116"/>
      <c r="C50" s="117" t="s">
        <v>161</v>
      </c>
      <c r="D50" s="117" t="s">
        <v>69</v>
      </c>
      <c r="E50" s="118" t="s">
        <v>159</v>
      </c>
      <c r="F50" s="119" t="s">
        <v>160</v>
      </c>
      <c r="G50" s="120" t="s">
        <v>72</v>
      </c>
      <c r="H50" s="121">
        <v>30.074000000000002</v>
      </c>
      <c r="I50" s="122">
        <v>251.97</v>
      </c>
      <c r="J50" s="122">
        <v>7577.75</v>
      </c>
      <c r="K50" s="85">
        <v>0</v>
      </c>
      <c r="L50" s="86">
        <f t="shared" si="0"/>
        <v>251.97</v>
      </c>
      <c r="M50" s="277">
        <f t="shared" si="1"/>
        <v>0</v>
      </c>
      <c r="N50" s="87">
        <f t="shared" si="2"/>
        <v>30.074000000000002</v>
      </c>
      <c r="O50" s="88">
        <f t="shared" si="3"/>
        <v>251.97</v>
      </c>
      <c r="P50" s="278">
        <f t="shared" si="4"/>
        <v>7577.7457800000002</v>
      </c>
    </row>
    <row r="51" spans="1:18" s="109" customFormat="1" ht="24" x14ac:dyDescent="0.2">
      <c r="A51" s="97"/>
      <c r="B51" s="116"/>
      <c r="C51" s="117" t="s">
        <v>164</v>
      </c>
      <c r="D51" s="117" t="s">
        <v>69</v>
      </c>
      <c r="E51" s="118" t="s">
        <v>162</v>
      </c>
      <c r="F51" s="119" t="s">
        <v>163</v>
      </c>
      <c r="G51" s="120" t="s">
        <v>72</v>
      </c>
      <c r="H51" s="121">
        <v>225.643</v>
      </c>
      <c r="I51" s="122">
        <v>155.66999999999999</v>
      </c>
      <c r="J51" s="122">
        <v>35125.85</v>
      </c>
      <c r="K51" s="85">
        <v>0</v>
      </c>
      <c r="L51" s="86">
        <f t="shared" si="0"/>
        <v>155.66999999999999</v>
      </c>
      <c r="M51" s="277">
        <f t="shared" si="1"/>
        <v>0</v>
      </c>
      <c r="N51" s="87">
        <f t="shared" si="2"/>
        <v>225.643</v>
      </c>
      <c r="O51" s="88">
        <f t="shared" si="3"/>
        <v>155.66999999999999</v>
      </c>
      <c r="P51" s="278">
        <f t="shared" si="4"/>
        <v>35125.845809999999</v>
      </c>
    </row>
    <row r="52" spans="1:18" s="109" customFormat="1" ht="48" x14ac:dyDescent="0.2">
      <c r="A52" s="97"/>
      <c r="B52" s="116"/>
      <c r="C52" s="117" t="s">
        <v>167</v>
      </c>
      <c r="D52" s="117" t="s">
        <v>69</v>
      </c>
      <c r="E52" s="118" t="s">
        <v>325</v>
      </c>
      <c r="F52" s="119" t="s">
        <v>326</v>
      </c>
      <c r="G52" s="120" t="s">
        <v>72</v>
      </c>
      <c r="H52" s="121">
        <v>8.6790000000000003</v>
      </c>
      <c r="I52" s="122">
        <v>420.19</v>
      </c>
      <c r="J52" s="122">
        <v>3646.83</v>
      </c>
      <c r="K52" s="85">
        <v>0</v>
      </c>
      <c r="L52" s="86">
        <f t="shared" si="0"/>
        <v>420.19</v>
      </c>
      <c r="M52" s="277">
        <f t="shared" si="1"/>
        <v>0</v>
      </c>
      <c r="N52" s="87">
        <f t="shared" si="2"/>
        <v>8.6790000000000003</v>
      </c>
      <c r="O52" s="88">
        <f t="shared" si="3"/>
        <v>420.19</v>
      </c>
      <c r="P52" s="278">
        <f t="shared" si="4"/>
        <v>3646.8290099999999</v>
      </c>
    </row>
    <row r="53" spans="1:18" s="109" customFormat="1" ht="36" x14ac:dyDescent="0.2">
      <c r="A53" s="97"/>
      <c r="B53" s="116"/>
      <c r="C53" s="117" t="s">
        <v>170</v>
      </c>
      <c r="D53" s="117" t="s">
        <v>69</v>
      </c>
      <c r="E53" s="118" t="s">
        <v>327</v>
      </c>
      <c r="F53" s="119" t="s">
        <v>328</v>
      </c>
      <c r="G53" s="120" t="s">
        <v>72</v>
      </c>
      <c r="H53" s="121">
        <v>8.6790000000000003</v>
      </c>
      <c r="I53" s="122">
        <v>315.11</v>
      </c>
      <c r="J53" s="122">
        <v>2734.84</v>
      </c>
      <c r="K53" s="85">
        <v>0</v>
      </c>
      <c r="L53" s="86">
        <f t="shared" si="0"/>
        <v>315.11</v>
      </c>
      <c r="M53" s="277">
        <f t="shared" si="1"/>
        <v>0</v>
      </c>
      <c r="N53" s="87">
        <f t="shared" si="2"/>
        <v>8.6790000000000003</v>
      </c>
      <c r="O53" s="88">
        <f t="shared" si="3"/>
        <v>315.11</v>
      </c>
      <c r="P53" s="278">
        <f t="shared" si="4"/>
        <v>2734.8396900000002</v>
      </c>
      <c r="Q53" s="150" t="s">
        <v>1071</v>
      </c>
      <c r="R53" s="109" t="s">
        <v>1008</v>
      </c>
    </row>
    <row r="54" spans="1:18" s="109" customFormat="1" ht="24" x14ac:dyDescent="0.2">
      <c r="A54" s="97"/>
      <c r="B54" s="116"/>
      <c r="C54" s="117" t="s">
        <v>173</v>
      </c>
      <c r="D54" s="117" t="s">
        <v>69</v>
      </c>
      <c r="E54" s="118" t="s">
        <v>168</v>
      </c>
      <c r="F54" s="119" t="s">
        <v>169</v>
      </c>
      <c r="G54" s="120" t="s">
        <v>72</v>
      </c>
      <c r="H54" s="121">
        <v>351.87700000000001</v>
      </c>
      <c r="I54" s="122">
        <v>18.04</v>
      </c>
      <c r="J54" s="122">
        <v>6347.86</v>
      </c>
      <c r="K54" s="85">
        <v>0</v>
      </c>
      <c r="L54" s="86">
        <f t="shared" si="0"/>
        <v>18.04</v>
      </c>
      <c r="M54" s="277">
        <f t="shared" si="1"/>
        <v>0</v>
      </c>
      <c r="N54" s="87">
        <f t="shared" si="2"/>
        <v>351.87700000000001</v>
      </c>
      <c r="O54" s="88">
        <f t="shared" si="3"/>
        <v>18.04</v>
      </c>
      <c r="P54" s="278">
        <f t="shared" si="4"/>
        <v>6347.8610799999997</v>
      </c>
    </row>
    <row r="55" spans="1:18" s="109" customFormat="1" ht="48" x14ac:dyDescent="0.2">
      <c r="A55" s="97"/>
      <c r="B55" s="116"/>
      <c r="C55" s="117" t="s">
        <v>176</v>
      </c>
      <c r="D55" s="117" t="s">
        <v>69</v>
      </c>
      <c r="E55" s="118" t="s">
        <v>171</v>
      </c>
      <c r="F55" s="119" t="s">
        <v>172</v>
      </c>
      <c r="G55" s="120" t="s">
        <v>72</v>
      </c>
      <c r="H55" s="121">
        <v>335.30799999999999</v>
      </c>
      <c r="I55" s="122">
        <v>396.71</v>
      </c>
      <c r="J55" s="122">
        <v>133020.04</v>
      </c>
      <c r="K55" s="85">
        <v>0</v>
      </c>
      <c r="L55" s="86">
        <f t="shared" si="0"/>
        <v>396.71</v>
      </c>
      <c r="M55" s="277">
        <f t="shared" si="1"/>
        <v>0</v>
      </c>
      <c r="N55" s="87">
        <f t="shared" si="2"/>
        <v>335.30799999999999</v>
      </c>
      <c r="O55" s="88">
        <f t="shared" si="3"/>
        <v>396.71</v>
      </c>
      <c r="P55" s="278">
        <f t="shared" si="4"/>
        <v>133020.03667999999</v>
      </c>
    </row>
    <row r="56" spans="1:18" s="109" customFormat="1" ht="48" x14ac:dyDescent="0.2">
      <c r="A56" s="97"/>
      <c r="B56" s="116"/>
      <c r="C56" s="117" t="s">
        <v>179</v>
      </c>
      <c r="D56" s="117" t="s">
        <v>69</v>
      </c>
      <c r="E56" s="118" t="s">
        <v>329</v>
      </c>
      <c r="F56" s="119" t="s">
        <v>330</v>
      </c>
      <c r="G56" s="120" t="s">
        <v>72</v>
      </c>
      <c r="H56" s="121">
        <v>16.568999999999999</v>
      </c>
      <c r="I56" s="122">
        <v>396.71</v>
      </c>
      <c r="J56" s="122">
        <v>6573.09</v>
      </c>
      <c r="K56" s="85">
        <v>0</v>
      </c>
      <c r="L56" s="86">
        <f t="shared" si="0"/>
        <v>396.71</v>
      </c>
      <c r="M56" s="277">
        <f t="shared" si="1"/>
        <v>0</v>
      </c>
      <c r="N56" s="87">
        <f t="shared" si="2"/>
        <v>16.568999999999999</v>
      </c>
      <c r="O56" s="88">
        <f t="shared" si="3"/>
        <v>396.71</v>
      </c>
      <c r="P56" s="278">
        <f t="shared" si="4"/>
        <v>6573.0879899999991</v>
      </c>
    </row>
    <row r="57" spans="1:18" s="109" customFormat="1" ht="36" x14ac:dyDescent="0.2">
      <c r="A57" s="97"/>
      <c r="B57" s="116"/>
      <c r="C57" s="117" t="s">
        <v>183</v>
      </c>
      <c r="D57" s="117" t="s">
        <v>69</v>
      </c>
      <c r="E57" s="118" t="s">
        <v>174</v>
      </c>
      <c r="F57" s="119" t="s">
        <v>175</v>
      </c>
      <c r="G57" s="120" t="s">
        <v>72</v>
      </c>
      <c r="H57" s="121">
        <v>216.964</v>
      </c>
      <c r="I57" s="122">
        <v>443.02</v>
      </c>
      <c r="J57" s="122">
        <v>96119.39</v>
      </c>
      <c r="K57" s="85">
        <v>0</v>
      </c>
      <c r="L57" s="86">
        <f t="shared" si="0"/>
        <v>443.02</v>
      </c>
      <c r="M57" s="277">
        <f t="shared" si="1"/>
        <v>0</v>
      </c>
      <c r="N57" s="87">
        <f t="shared" si="2"/>
        <v>216.964</v>
      </c>
      <c r="O57" s="88">
        <f t="shared" si="3"/>
        <v>443.02</v>
      </c>
      <c r="P57" s="278">
        <f t="shared" si="4"/>
        <v>96119.391279999996</v>
      </c>
    </row>
    <row r="58" spans="1:18" s="109" customFormat="1" ht="36" x14ac:dyDescent="0.2">
      <c r="A58" s="97"/>
      <c r="B58" s="116"/>
      <c r="C58" s="117" t="s">
        <v>186</v>
      </c>
      <c r="D58" s="117" t="s">
        <v>69</v>
      </c>
      <c r="E58" s="118" t="s">
        <v>331</v>
      </c>
      <c r="F58" s="119" t="s">
        <v>332</v>
      </c>
      <c r="G58" s="120" t="s">
        <v>72</v>
      </c>
      <c r="H58" s="121">
        <v>8.6790000000000003</v>
      </c>
      <c r="I58" s="122">
        <v>431.47</v>
      </c>
      <c r="J58" s="122">
        <v>3744.73</v>
      </c>
      <c r="K58" s="85">
        <v>0</v>
      </c>
      <c r="L58" s="86">
        <f t="shared" si="0"/>
        <v>431.47</v>
      </c>
      <c r="M58" s="277">
        <f t="shared" si="1"/>
        <v>0</v>
      </c>
      <c r="N58" s="87">
        <f t="shared" si="2"/>
        <v>8.6790000000000003</v>
      </c>
      <c r="O58" s="88">
        <f t="shared" si="3"/>
        <v>431.47</v>
      </c>
      <c r="P58" s="278">
        <f t="shared" si="4"/>
        <v>3744.7281300000004</v>
      </c>
    </row>
    <row r="59" spans="1:18" s="110" customFormat="1" ht="12.75" x14ac:dyDescent="0.2">
      <c r="C59" s="245"/>
      <c r="D59" s="246" t="s">
        <v>3</v>
      </c>
      <c r="E59" s="247" t="s">
        <v>90</v>
      </c>
      <c r="F59" s="247" t="s">
        <v>182</v>
      </c>
      <c r="G59" s="245"/>
      <c r="H59" s="245"/>
      <c r="I59" s="245"/>
      <c r="J59" s="248">
        <v>785702.92999999993</v>
      </c>
      <c r="K59" s="243"/>
      <c r="L59" s="244"/>
      <c r="M59" s="279">
        <f>SUM(M60:M77)</f>
        <v>916.96579728997108</v>
      </c>
      <c r="N59" s="311"/>
      <c r="O59" s="244"/>
      <c r="P59" s="279">
        <f>SUM(P60:P77)</f>
        <v>786619.89958728978</v>
      </c>
    </row>
    <row r="60" spans="1:18" s="109" customFormat="1" ht="36" x14ac:dyDescent="0.2">
      <c r="A60" s="97"/>
      <c r="B60" s="116"/>
      <c r="C60" s="117" t="s">
        <v>189</v>
      </c>
      <c r="D60" s="117" t="s">
        <v>69</v>
      </c>
      <c r="E60" s="118" t="s">
        <v>184</v>
      </c>
      <c r="F60" s="119" t="s">
        <v>185</v>
      </c>
      <c r="G60" s="120" t="s">
        <v>61</v>
      </c>
      <c r="H60" s="121">
        <v>232.47</v>
      </c>
      <c r="I60" s="122">
        <v>552.39</v>
      </c>
      <c r="J60" s="122">
        <v>128414.1</v>
      </c>
      <c r="K60" s="85">
        <f t="shared" ref="K60:K61" si="6">ROUND(232.9/232.47*H60-H60,2)</f>
        <v>0.43</v>
      </c>
      <c r="L60" s="86">
        <f t="shared" si="0"/>
        <v>552.39</v>
      </c>
      <c r="M60" s="277">
        <f t="shared" si="1"/>
        <v>237.52769999999998</v>
      </c>
      <c r="N60" s="87">
        <f t="shared" si="2"/>
        <v>232.9</v>
      </c>
      <c r="O60" s="88">
        <f t="shared" si="3"/>
        <v>552.39</v>
      </c>
      <c r="P60" s="278">
        <f t="shared" si="4"/>
        <v>128651.63099999999</v>
      </c>
    </row>
    <row r="61" spans="1:18" s="109" customFormat="1" ht="24" x14ac:dyDescent="0.2">
      <c r="A61" s="97"/>
      <c r="B61" s="116"/>
      <c r="C61" s="123" t="s">
        <v>192</v>
      </c>
      <c r="D61" s="123" t="s">
        <v>127</v>
      </c>
      <c r="E61" s="124" t="s">
        <v>187</v>
      </c>
      <c r="F61" s="125" t="s">
        <v>188</v>
      </c>
      <c r="G61" s="126" t="s">
        <v>61</v>
      </c>
      <c r="H61" s="127">
        <v>235.95699999999999</v>
      </c>
      <c r="I61" s="128">
        <v>1060.07</v>
      </c>
      <c r="J61" s="128">
        <v>250130.94</v>
      </c>
      <c r="K61" s="85">
        <f t="shared" si="6"/>
        <v>0.44</v>
      </c>
      <c r="L61" s="86">
        <f t="shared" si="0"/>
        <v>1060.07</v>
      </c>
      <c r="M61" s="277">
        <f t="shared" si="1"/>
        <v>466.43079999999998</v>
      </c>
      <c r="N61" s="87">
        <f t="shared" si="2"/>
        <v>236.39699999999999</v>
      </c>
      <c r="O61" s="88">
        <f t="shared" si="3"/>
        <v>1060.07</v>
      </c>
      <c r="P61" s="278">
        <f t="shared" si="4"/>
        <v>250597.36778999999</v>
      </c>
    </row>
    <row r="62" spans="1:18" s="109" customFormat="1" ht="36" x14ac:dyDescent="0.2">
      <c r="A62" s="97"/>
      <c r="B62" s="116"/>
      <c r="C62" s="117" t="s">
        <v>195</v>
      </c>
      <c r="D62" s="117" t="s">
        <v>69</v>
      </c>
      <c r="E62" s="118" t="s">
        <v>202</v>
      </c>
      <c r="F62" s="119" t="s">
        <v>203</v>
      </c>
      <c r="G62" s="120" t="s">
        <v>138</v>
      </c>
      <c r="H62" s="121">
        <v>12</v>
      </c>
      <c r="I62" s="122">
        <v>260.41000000000003</v>
      </c>
      <c r="J62" s="122">
        <v>3124.92</v>
      </c>
      <c r="K62" s="85">
        <v>0</v>
      </c>
      <c r="L62" s="86">
        <f t="shared" si="0"/>
        <v>260.41000000000003</v>
      </c>
      <c r="M62" s="277">
        <f t="shared" si="1"/>
        <v>0</v>
      </c>
      <c r="N62" s="87">
        <f t="shared" si="2"/>
        <v>12</v>
      </c>
      <c r="O62" s="88">
        <f t="shared" si="3"/>
        <v>260.41000000000003</v>
      </c>
      <c r="P62" s="278">
        <f t="shared" si="4"/>
        <v>3124.92</v>
      </c>
    </row>
    <row r="63" spans="1:18" s="109" customFormat="1" ht="36" x14ac:dyDescent="0.2">
      <c r="A63" s="97"/>
      <c r="B63" s="116"/>
      <c r="C63" s="123" t="s">
        <v>198</v>
      </c>
      <c r="D63" s="123" t="s">
        <v>127</v>
      </c>
      <c r="E63" s="124" t="s">
        <v>205</v>
      </c>
      <c r="F63" s="125" t="s">
        <v>206</v>
      </c>
      <c r="G63" s="126" t="s">
        <v>138</v>
      </c>
      <c r="H63" s="127">
        <v>12</v>
      </c>
      <c r="I63" s="128">
        <v>1801.85</v>
      </c>
      <c r="J63" s="128">
        <v>21622.2</v>
      </c>
      <c r="K63" s="85">
        <v>0</v>
      </c>
      <c r="L63" s="86">
        <f t="shared" si="0"/>
        <v>1801.85</v>
      </c>
      <c r="M63" s="277">
        <f t="shared" si="1"/>
        <v>0</v>
      </c>
      <c r="N63" s="87">
        <f t="shared" si="2"/>
        <v>12</v>
      </c>
      <c r="O63" s="88">
        <f t="shared" si="3"/>
        <v>1801.85</v>
      </c>
      <c r="P63" s="278">
        <f t="shared" si="4"/>
        <v>21622.199999999997</v>
      </c>
    </row>
    <row r="64" spans="1:18" s="109" customFormat="1" ht="24" x14ac:dyDescent="0.2">
      <c r="A64" s="97"/>
      <c r="B64" s="116"/>
      <c r="C64" s="117" t="s">
        <v>201</v>
      </c>
      <c r="D64" s="117" t="s">
        <v>69</v>
      </c>
      <c r="E64" s="118" t="s">
        <v>211</v>
      </c>
      <c r="F64" s="119" t="s">
        <v>212</v>
      </c>
      <c r="G64" s="120" t="s">
        <v>213</v>
      </c>
      <c r="H64" s="121">
        <v>5</v>
      </c>
      <c r="I64" s="122">
        <v>2564.6799999999998</v>
      </c>
      <c r="J64" s="122">
        <v>12823.4</v>
      </c>
      <c r="K64" s="85">
        <f t="shared" ref="K64" si="7">ROUND(232.9/232.47*H64-H64,2)</f>
        <v>0.01</v>
      </c>
      <c r="L64" s="86">
        <f t="shared" si="0"/>
        <v>2564.6799999999998</v>
      </c>
      <c r="M64" s="277">
        <f t="shared" si="1"/>
        <v>25.646799999999999</v>
      </c>
      <c r="N64" s="87">
        <f t="shared" si="2"/>
        <v>5.01</v>
      </c>
      <c r="O64" s="88">
        <f t="shared" si="3"/>
        <v>2564.6799999999998</v>
      </c>
      <c r="P64" s="278">
        <f t="shared" si="4"/>
        <v>12849.046799999998</v>
      </c>
    </row>
    <row r="65" spans="1:16" s="109" customFormat="1" ht="24" x14ac:dyDescent="0.2">
      <c r="A65" s="97"/>
      <c r="B65" s="116"/>
      <c r="C65" s="117" t="s">
        <v>204</v>
      </c>
      <c r="D65" s="117" t="s">
        <v>69</v>
      </c>
      <c r="E65" s="118" t="s">
        <v>215</v>
      </c>
      <c r="F65" s="119" t="s">
        <v>216</v>
      </c>
      <c r="G65" s="120" t="s">
        <v>138</v>
      </c>
      <c r="H65" s="121">
        <v>25</v>
      </c>
      <c r="I65" s="122">
        <v>2016.23</v>
      </c>
      <c r="J65" s="122">
        <v>50405.75</v>
      </c>
      <c r="K65" s="85">
        <v>0</v>
      </c>
      <c r="L65" s="86">
        <f t="shared" si="0"/>
        <v>2016.23</v>
      </c>
      <c r="M65" s="277">
        <f t="shared" si="1"/>
        <v>0</v>
      </c>
      <c r="N65" s="87">
        <f t="shared" si="2"/>
        <v>25</v>
      </c>
      <c r="O65" s="88">
        <f t="shared" si="3"/>
        <v>2016.23</v>
      </c>
      <c r="P65" s="278">
        <f t="shared" si="4"/>
        <v>50405.75</v>
      </c>
    </row>
    <row r="66" spans="1:16" s="109" customFormat="1" ht="24" x14ac:dyDescent="0.2">
      <c r="A66" s="97"/>
      <c r="B66" s="116"/>
      <c r="C66" s="123" t="s">
        <v>207</v>
      </c>
      <c r="D66" s="123" t="s">
        <v>127</v>
      </c>
      <c r="E66" s="124" t="s">
        <v>221</v>
      </c>
      <c r="F66" s="125" t="s">
        <v>222</v>
      </c>
      <c r="G66" s="126" t="s">
        <v>138</v>
      </c>
      <c r="H66" s="127">
        <v>7</v>
      </c>
      <c r="I66" s="128">
        <v>14898.16</v>
      </c>
      <c r="J66" s="128">
        <v>104287.12</v>
      </c>
      <c r="K66" s="85">
        <v>0</v>
      </c>
      <c r="L66" s="86">
        <f t="shared" si="0"/>
        <v>14898.16</v>
      </c>
      <c r="M66" s="277">
        <f t="shared" si="1"/>
        <v>0</v>
      </c>
      <c r="N66" s="87">
        <f t="shared" si="2"/>
        <v>7</v>
      </c>
      <c r="O66" s="88">
        <f t="shared" si="3"/>
        <v>14898.16</v>
      </c>
      <c r="P66" s="278">
        <f t="shared" si="4"/>
        <v>104287.12</v>
      </c>
    </row>
    <row r="67" spans="1:16" s="109" customFormat="1" ht="24" x14ac:dyDescent="0.2">
      <c r="A67" s="97"/>
      <c r="B67" s="116"/>
      <c r="C67" s="123" t="s">
        <v>210</v>
      </c>
      <c r="D67" s="123" t="s">
        <v>127</v>
      </c>
      <c r="E67" s="124" t="s">
        <v>224</v>
      </c>
      <c r="F67" s="125" t="s">
        <v>225</v>
      </c>
      <c r="G67" s="126" t="s">
        <v>138</v>
      </c>
      <c r="H67" s="127">
        <v>7</v>
      </c>
      <c r="I67" s="128">
        <v>1530.92</v>
      </c>
      <c r="J67" s="128">
        <v>10716.44</v>
      </c>
      <c r="K67" s="85">
        <v>0</v>
      </c>
      <c r="L67" s="86">
        <f t="shared" si="0"/>
        <v>1530.92</v>
      </c>
      <c r="M67" s="277">
        <f t="shared" si="1"/>
        <v>0</v>
      </c>
      <c r="N67" s="87">
        <f t="shared" si="2"/>
        <v>7</v>
      </c>
      <c r="O67" s="88">
        <f t="shared" si="3"/>
        <v>1530.92</v>
      </c>
      <c r="P67" s="278">
        <f t="shared" si="4"/>
        <v>10716.44</v>
      </c>
    </row>
    <row r="68" spans="1:16" s="109" customFormat="1" ht="24" x14ac:dyDescent="0.2">
      <c r="A68" s="97"/>
      <c r="B68" s="116"/>
      <c r="C68" s="123" t="s">
        <v>214</v>
      </c>
      <c r="D68" s="123" t="s">
        <v>127</v>
      </c>
      <c r="E68" s="124" t="s">
        <v>227</v>
      </c>
      <c r="F68" s="125" t="s">
        <v>228</v>
      </c>
      <c r="G68" s="126" t="s">
        <v>138</v>
      </c>
      <c r="H68" s="127">
        <v>1</v>
      </c>
      <c r="I68" s="128">
        <v>775.98</v>
      </c>
      <c r="J68" s="128">
        <v>775.98</v>
      </c>
      <c r="K68" s="85">
        <v>0</v>
      </c>
      <c r="L68" s="86">
        <f t="shared" si="0"/>
        <v>775.98</v>
      </c>
      <c r="M68" s="277">
        <f t="shared" si="1"/>
        <v>0</v>
      </c>
      <c r="N68" s="87">
        <f t="shared" si="2"/>
        <v>1</v>
      </c>
      <c r="O68" s="88">
        <f t="shared" si="3"/>
        <v>775.98</v>
      </c>
      <c r="P68" s="278">
        <f t="shared" si="4"/>
        <v>775.98</v>
      </c>
    </row>
    <row r="69" spans="1:16" s="109" customFormat="1" ht="24" x14ac:dyDescent="0.2">
      <c r="A69" s="97"/>
      <c r="B69" s="116"/>
      <c r="C69" s="123" t="s">
        <v>217</v>
      </c>
      <c r="D69" s="123" t="s">
        <v>127</v>
      </c>
      <c r="E69" s="124" t="s">
        <v>230</v>
      </c>
      <c r="F69" s="125" t="s">
        <v>231</v>
      </c>
      <c r="G69" s="126" t="s">
        <v>138</v>
      </c>
      <c r="H69" s="127">
        <v>7</v>
      </c>
      <c r="I69" s="128">
        <v>1202.1099999999999</v>
      </c>
      <c r="J69" s="128">
        <v>8414.77</v>
      </c>
      <c r="K69" s="85">
        <v>0</v>
      </c>
      <c r="L69" s="86">
        <f t="shared" si="0"/>
        <v>1202.1099999999999</v>
      </c>
      <c r="M69" s="277">
        <f t="shared" si="1"/>
        <v>0</v>
      </c>
      <c r="N69" s="87">
        <f t="shared" si="2"/>
        <v>7</v>
      </c>
      <c r="O69" s="88">
        <f t="shared" si="3"/>
        <v>1202.1099999999999</v>
      </c>
      <c r="P69" s="278">
        <f t="shared" si="4"/>
        <v>8414.7699999999986</v>
      </c>
    </row>
    <row r="70" spans="1:16" s="109" customFormat="1" ht="24" x14ac:dyDescent="0.2">
      <c r="A70" s="97"/>
      <c r="B70" s="116"/>
      <c r="C70" s="123" t="s">
        <v>220</v>
      </c>
      <c r="D70" s="123" t="s">
        <v>127</v>
      </c>
      <c r="E70" s="124" t="s">
        <v>236</v>
      </c>
      <c r="F70" s="125" t="s">
        <v>237</v>
      </c>
      <c r="G70" s="126" t="s">
        <v>138</v>
      </c>
      <c r="H70" s="127">
        <v>15</v>
      </c>
      <c r="I70" s="128">
        <v>211.75</v>
      </c>
      <c r="J70" s="128">
        <v>3176.25</v>
      </c>
      <c r="K70" s="85">
        <v>0</v>
      </c>
      <c r="L70" s="86">
        <f t="shared" si="0"/>
        <v>211.75</v>
      </c>
      <c r="M70" s="277">
        <f t="shared" si="1"/>
        <v>0</v>
      </c>
      <c r="N70" s="87">
        <f t="shared" si="2"/>
        <v>15</v>
      </c>
      <c r="O70" s="88">
        <f t="shared" si="3"/>
        <v>211.75</v>
      </c>
      <c r="P70" s="278">
        <f t="shared" si="4"/>
        <v>3176.25</v>
      </c>
    </row>
    <row r="71" spans="1:16" s="109" customFormat="1" ht="36" x14ac:dyDescent="0.2">
      <c r="A71" s="97"/>
      <c r="B71" s="116"/>
      <c r="C71" s="117" t="s">
        <v>223</v>
      </c>
      <c r="D71" s="117" t="s">
        <v>69</v>
      </c>
      <c r="E71" s="118" t="s">
        <v>239</v>
      </c>
      <c r="F71" s="119" t="s">
        <v>240</v>
      </c>
      <c r="G71" s="120" t="s">
        <v>138</v>
      </c>
      <c r="H71" s="121">
        <v>7</v>
      </c>
      <c r="I71" s="122">
        <v>5935.59</v>
      </c>
      <c r="J71" s="122">
        <v>41549.129999999997</v>
      </c>
      <c r="K71" s="85">
        <v>0</v>
      </c>
      <c r="L71" s="86">
        <f t="shared" si="0"/>
        <v>5935.59</v>
      </c>
      <c r="M71" s="277">
        <f t="shared" si="1"/>
        <v>0</v>
      </c>
      <c r="N71" s="87">
        <f t="shared" si="2"/>
        <v>7</v>
      </c>
      <c r="O71" s="88">
        <f t="shared" si="3"/>
        <v>5935.59</v>
      </c>
      <c r="P71" s="278">
        <f t="shared" si="4"/>
        <v>41549.130000000005</v>
      </c>
    </row>
    <row r="72" spans="1:16" s="109" customFormat="1" ht="24" x14ac:dyDescent="0.2">
      <c r="A72" s="97"/>
      <c r="B72" s="116"/>
      <c r="C72" s="117" t="s">
        <v>226</v>
      </c>
      <c r="D72" s="117" t="s">
        <v>69</v>
      </c>
      <c r="E72" s="118" t="s">
        <v>242</v>
      </c>
      <c r="F72" s="119" t="s">
        <v>243</v>
      </c>
      <c r="G72" s="120" t="s">
        <v>138</v>
      </c>
      <c r="H72" s="121">
        <v>7</v>
      </c>
      <c r="I72" s="122">
        <v>485.32</v>
      </c>
      <c r="J72" s="122">
        <v>3397.24</v>
      </c>
      <c r="K72" s="85">
        <v>0</v>
      </c>
      <c r="L72" s="86">
        <f t="shared" si="0"/>
        <v>485.32</v>
      </c>
      <c r="M72" s="277">
        <f t="shared" si="1"/>
        <v>0</v>
      </c>
      <c r="N72" s="87">
        <f t="shared" si="2"/>
        <v>7</v>
      </c>
      <c r="O72" s="88">
        <f t="shared" si="3"/>
        <v>485.32</v>
      </c>
      <c r="P72" s="278">
        <f t="shared" si="4"/>
        <v>3397.24</v>
      </c>
    </row>
    <row r="73" spans="1:16" s="109" customFormat="1" ht="24" x14ac:dyDescent="0.2">
      <c r="A73" s="97"/>
      <c r="B73" s="116"/>
      <c r="C73" s="123" t="s">
        <v>229</v>
      </c>
      <c r="D73" s="123" t="s">
        <v>127</v>
      </c>
      <c r="E73" s="124" t="s">
        <v>245</v>
      </c>
      <c r="F73" s="125" t="s">
        <v>246</v>
      </c>
      <c r="G73" s="126" t="s">
        <v>138</v>
      </c>
      <c r="H73" s="127">
        <v>5</v>
      </c>
      <c r="I73" s="128">
        <v>6510.34</v>
      </c>
      <c r="J73" s="128">
        <v>32551.7</v>
      </c>
      <c r="K73" s="85">
        <v>0</v>
      </c>
      <c r="L73" s="86">
        <f t="shared" si="0"/>
        <v>6510.34</v>
      </c>
      <c r="M73" s="277">
        <f t="shared" si="1"/>
        <v>0</v>
      </c>
      <c r="N73" s="87">
        <f t="shared" si="2"/>
        <v>5</v>
      </c>
      <c r="O73" s="88">
        <f t="shared" si="3"/>
        <v>6510.34</v>
      </c>
      <c r="P73" s="278">
        <f t="shared" si="4"/>
        <v>32551.7</v>
      </c>
    </row>
    <row r="74" spans="1:16" s="109" customFormat="1" ht="24" x14ac:dyDescent="0.2">
      <c r="A74" s="97"/>
      <c r="B74" s="116"/>
      <c r="C74" s="123" t="s">
        <v>232</v>
      </c>
      <c r="D74" s="123" t="s">
        <v>127</v>
      </c>
      <c r="E74" s="124" t="s">
        <v>248</v>
      </c>
      <c r="F74" s="125" t="s">
        <v>249</v>
      </c>
      <c r="G74" s="126" t="s">
        <v>138</v>
      </c>
      <c r="H74" s="127">
        <v>1</v>
      </c>
      <c r="I74" s="128">
        <v>6510.34</v>
      </c>
      <c r="J74" s="128">
        <v>6510.34</v>
      </c>
      <c r="K74" s="85">
        <v>0</v>
      </c>
      <c r="L74" s="86">
        <f t="shared" si="0"/>
        <v>6510.34</v>
      </c>
      <c r="M74" s="277">
        <f t="shared" si="1"/>
        <v>0</v>
      </c>
      <c r="N74" s="87">
        <f t="shared" si="2"/>
        <v>1</v>
      </c>
      <c r="O74" s="88">
        <f t="shared" si="3"/>
        <v>6510.34</v>
      </c>
      <c r="P74" s="278">
        <f t="shared" si="4"/>
        <v>6510.34</v>
      </c>
    </row>
    <row r="75" spans="1:16" s="109" customFormat="1" ht="24" x14ac:dyDescent="0.2">
      <c r="A75" s="97"/>
      <c r="B75" s="116"/>
      <c r="C75" s="123" t="s">
        <v>235</v>
      </c>
      <c r="D75" s="123" t="s">
        <v>127</v>
      </c>
      <c r="E75" s="124" t="s">
        <v>251</v>
      </c>
      <c r="F75" s="125" t="s">
        <v>252</v>
      </c>
      <c r="G75" s="126" t="s">
        <v>138</v>
      </c>
      <c r="H75" s="127">
        <v>1</v>
      </c>
      <c r="I75" s="128">
        <v>6510.34</v>
      </c>
      <c r="J75" s="128">
        <v>6510.34</v>
      </c>
      <c r="K75" s="85">
        <v>0</v>
      </c>
      <c r="L75" s="86">
        <f t="shared" si="0"/>
        <v>6510.34</v>
      </c>
      <c r="M75" s="277">
        <f t="shared" si="1"/>
        <v>0</v>
      </c>
      <c r="N75" s="87">
        <f t="shared" si="2"/>
        <v>1</v>
      </c>
      <c r="O75" s="88">
        <f t="shared" si="3"/>
        <v>6510.34</v>
      </c>
      <c r="P75" s="278">
        <f t="shared" si="4"/>
        <v>6510.34</v>
      </c>
    </row>
    <row r="76" spans="1:16" s="109" customFormat="1" ht="24" x14ac:dyDescent="0.2">
      <c r="A76" s="97"/>
      <c r="B76" s="116"/>
      <c r="C76" s="117" t="s">
        <v>238</v>
      </c>
      <c r="D76" s="117" t="s">
        <v>69</v>
      </c>
      <c r="E76" s="118" t="s">
        <v>254</v>
      </c>
      <c r="F76" s="119" t="s">
        <v>255</v>
      </c>
      <c r="G76" s="120" t="s">
        <v>62</v>
      </c>
      <c r="H76" s="121">
        <v>32.409999999999997</v>
      </c>
      <c r="I76" s="122">
        <v>3059.28</v>
      </c>
      <c r="J76" s="122">
        <v>99151.26</v>
      </c>
      <c r="K76" s="85">
        <f t="shared" ref="K76" si="8">232.9/232.47*H76-H76</f>
        <v>5.9948810599216529E-2</v>
      </c>
      <c r="L76" s="86">
        <f t="shared" si="0"/>
        <v>3059.28</v>
      </c>
      <c r="M76" s="277">
        <f t="shared" si="1"/>
        <v>183.40019728997115</v>
      </c>
      <c r="N76" s="87">
        <f t="shared" si="2"/>
        <v>32.469948810599213</v>
      </c>
      <c r="O76" s="88">
        <f t="shared" si="3"/>
        <v>3059.28</v>
      </c>
      <c r="P76" s="278">
        <f t="shared" si="4"/>
        <v>99334.664997289961</v>
      </c>
    </row>
    <row r="77" spans="1:16" s="109" customFormat="1" ht="12" x14ac:dyDescent="0.2">
      <c r="A77" s="97"/>
      <c r="B77" s="116"/>
      <c r="C77" s="117" t="s">
        <v>241</v>
      </c>
      <c r="D77" s="117" t="s">
        <v>69</v>
      </c>
      <c r="E77" s="118" t="s">
        <v>266</v>
      </c>
      <c r="F77" s="119" t="s">
        <v>267</v>
      </c>
      <c r="G77" s="120" t="s">
        <v>61</v>
      </c>
      <c r="H77" s="121">
        <v>232.47</v>
      </c>
      <c r="I77" s="122">
        <v>9.2100000000000009</v>
      </c>
      <c r="J77" s="122">
        <v>2141.0500000000002</v>
      </c>
      <c r="K77" s="85">
        <f t="shared" ref="K77" si="9">ROUND(232.9/232.47*H77-H77,2)</f>
        <v>0.43</v>
      </c>
      <c r="L77" s="86">
        <f t="shared" si="0"/>
        <v>9.2100000000000009</v>
      </c>
      <c r="M77" s="277">
        <f t="shared" si="1"/>
        <v>3.9603000000000002</v>
      </c>
      <c r="N77" s="87">
        <f t="shared" si="2"/>
        <v>232.9</v>
      </c>
      <c r="O77" s="88">
        <f t="shared" si="3"/>
        <v>9.2100000000000009</v>
      </c>
      <c r="P77" s="278">
        <f t="shared" si="4"/>
        <v>2145.0090000000005</v>
      </c>
    </row>
    <row r="78" spans="1:16" s="110" customFormat="1" ht="12.75" x14ac:dyDescent="0.2">
      <c r="C78" s="245"/>
      <c r="D78" s="246" t="s">
        <v>3</v>
      </c>
      <c r="E78" s="247" t="s">
        <v>93</v>
      </c>
      <c r="F78" s="247" t="s">
        <v>268</v>
      </c>
      <c r="G78" s="245"/>
      <c r="H78" s="245"/>
      <c r="I78" s="245"/>
      <c r="J78" s="248">
        <v>129473.04000000001</v>
      </c>
      <c r="K78" s="243"/>
      <c r="L78" s="244"/>
      <c r="M78" s="279">
        <f>SUM(M79:M84)</f>
        <v>0</v>
      </c>
      <c r="N78" s="311"/>
      <c r="O78" s="244"/>
      <c r="P78" s="279">
        <f>SUM(P79:P84)</f>
        <v>129473.03720000001</v>
      </c>
    </row>
    <row r="79" spans="1:16" s="109" customFormat="1" ht="48" x14ac:dyDescent="0.2">
      <c r="A79" s="97"/>
      <c r="B79" s="116"/>
      <c r="C79" s="117" t="s">
        <v>244</v>
      </c>
      <c r="D79" s="117" t="s">
        <v>69</v>
      </c>
      <c r="E79" s="118" t="s">
        <v>270</v>
      </c>
      <c r="F79" s="119" t="s">
        <v>271</v>
      </c>
      <c r="G79" s="120" t="s">
        <v>61</v>
      </c>
      <c r="H79" s="121">
        <v>405.48</v>
      </c>
      <c r="I79" s="122">
        <v>87.65</v>
      </c>
      <c r="J79" s="122">
        <v>35540.32</v>
      </c>
      <c r="K79" s="85">
        <v>0</v>
      </c>
      <c r="L79" s="86">
        <f t="shared" si="0"/>
        <v>87.65</v>
      </c>
      <c r="M79" s="277">
        <f t="shared" si="1"/>
        <v>0</v>
      </c>
      <c r="N79" s="87">
        <f t="shared" si="2"/>
        <v>405.48</v>
      </c>
      <c r="O79" s="88">
        <f t="shared" si="3"/>
        <v>87.65</v>
      </c>
      <c r="P79" s="278">
        <f t="shared" si="4"/>
        <v>35540.322000000007</v>
      </c>
    </row>
    <row r="80" spans="1:16" s="109" customFormat="1" ht="36" x14ac:dyDescent="0.2">
      <c r="A80" s="97"/>
      <c r="B80" s="116"/>
      <c r="C80" s="117" t="s">
        <v>247</v>
      </c>
      <c r="D80" s="117" t="s">
        <v>69</v>
      </c>
      <c r="E80" s="118" t="s">
        <v>273</v>
      </c>
      <c r="F80" s="119" t="s">
        <v>274</v>
      </c>
      <c r="G80" s="120" t="s">
        <v>61</v>
      </c>
      <c r="H80" s="121">
        <v>799.96</v>
      </c>
      <c r="I80" s="122">
        <v>32.22</v>
      </c>
      <c r="J80" s="122">
        <v>25774.71</v>
      </c>
      <c r="K80" s="85">
        <v>0</v>
      </c>
      <c r="L80" s="86">
        <f t="shared" ref="L80:L92" si="10">I80</f>
        <v>32.22</v>
      </c>
      <c r="M80" s="277">
        <f t="shared" ref="M80:M92" si="11">K80*L80</f>
        <v>0</v>
      </c>
      <c r="N80" s="87">
        <f t="shared" ref="N80:N92" si="12">H80+K80</f>
        <v>799.96</v>
      </c>
      <c r="O80" s="88">
        <f t="shared" ref="O80:O92" si="13">I80</f>
        <v>32.22</v>
      </c>
      <c r="P80" s="278">
        <f t="shared" ref="P80:P92" si="14">N80*O80</f>
        <v>25774.711200000002</v>
      </c>
    </row>
    <row r="81" spans="1:52" s="109" customFormat="1" ht="36" x14ac:dyDescent="0.2">
      <c r="A81" s="97"/>
      <c r="B81" s="116"/>
      <c r="C81" s="117" t="s">
        <v>250</v>
      </c>
      <c r="D81" s="117" t="s">
        <v>69</v>
      </c>
      <c r="E81" s="118" t="s">
        <v>350</v>
      </c>
      <c r="F81" s="119" t="s">
        <v>351</v>
      </c>
      <c r="G81" s="120" t="s">
        <v>61</v>
      </c>
      <c r="H81" s="121">
        <v>15.78</v>
      </c>
      <c r="I81" s="122">
        <v>32.22</v>
      </c>
      <c r="J81" s="122">
        <v>508.43</v>
      </c>
      <c r="K81" s="85">
        <v>0</v>
      </c>
      <c r="L81" s="86">
        <f t="shared" si="10"/>
        <v>32.22</v>
      </c>
      <c r="M81" s="277">
        <f t="shared" si="11"/>
        <v>0</v>
      </c>
      <c r="N81" s="87">
        <f t="shared" si="12"/>
        <v>15.78</v>
      </c>
      <c r="O81" s="88">
        <f t="shared" si="13"/>
        <v>32.22</v>
      </c>
      <c r="P81" s="278">
        <f t="shared" si="14"/>
        <v>508.43159999999995</v>
      </c>
    </row>
    <row r="82" spans="1:52" s="109" customFormat="1" ht="24" x14ac:dyDescent="0.2">
      <c r="A82" s="97"/>
      <c r="B82" s="116"/>
      <c r="C82" s="117" t="s">
        <v>253</v>
      </c>
      <c r="D82" s="117" t="s">
        <v>69</v>
      </c>
      <c r="E82" s="118" t="s">
        <v>276</v>
      </c>
      <c r="F82" s="119" t="s">
        <v>277</v>
      </c>
      <c r="G82" s="120" t="s">
        <v>61</v>
      </c>
      <c r="H82" s="121">
        <v>799.96</v>
      </c>
      <c r="I82" s="122">
        <v>72.34</v>
      </c>
      <c r="J82" s="122">
        <v>57869.11</v>
      </c>
      <c r="K82" s="85">
        <v>0</v>
      </c>
      <c r="L82" s="86">
        <f t="shared" si="10"/>
        <v>72.34</v>
      </c>
      <c r="M82" s="277">
        <f t="shared" si="11"/>
        <v>0</v>
      </c>
      <c r="N82" s="87">
        <f t="shared" si="12"/>
        <v>799.96</v>
      </c>
      <c r="O82" s="88">
        <f t="shared" si="13"/>
        <v>72.34</v>
      </c>
      <c r="P82" s="278">
        <f t="shared" si="14"/>
        <v>57869.106400000004</v>
      </c>
    </row>
    <row r="83" spans="1:52" s="109" customFormat="1" ht="24" x14ac:dyDescent="0.2">
      <c r="A83" s="97"/>
      <c r="B83" s="116"/>
      <c r="C83" s="117" t="s">
        <v>256</v>
      </c>
      <c r="D83" s="117" t="s">
        <v>69</v>
      </c>
      <c r="E83" s="118" t="s">
        <v>354</v>
      </c>
      <c r="F83" s="119" t="s">
        <v>355</v>
      </c>
      <c r="G83" s="120" t="s">
        <v>61</v>
      </c>
      <c r="H83" s="121">
        <v>15.78</v>
      </c>
      <c r="I83" s="122">
        <v>94.7</v>
      </c>
      <c r="J83" s="122">
        <v>1494.37</v>
      </c>
      <c r="K83" s="85">
        <v>0</v>
      </c>
      <c r="L83" s="86">
        <f t="shared" si="10"/>
        <v>94.7</v>
      </c>
      <c r="M83" s="277">
        <f t="shared" si="11"/>
        <v>0</v>
      </c>
      <c r="N83" s="87">
        <f t="shared" si="12"/>
        <v>15.78</v>
      </c>
      <c r="O83" s="88">
        <f t="shared" si="13"/>
        <v>94.7</v>
      </c>
      <c r="P83" s="278">
        <f t="shared" si="14"/>
        <v>1494.366</v>
      </c>
    </row>
    <row r="84" spans="1:52" s="109" customFormat="1" ht="48" x14ac:dyDescent="0.2">
      <c r="A84" s="97"/>
      <c r="B84" s="116"/>
      <c r="C84" s="117" t="s">
        <v>259</v>
      </c>
      <c r="D84" s="117" t="s">
        <v>69</v>
      </c>
      <c r="E84" s="118" t="s">
        <v>279</v>
      </c>
      <c r="F84" s="119" t="s">
        <v>280</v>
      </c>
      <c r="G84" s="120" t="s">
        <v>138</v>
      </c>
      <c r="H84" s="121">
        <v>5</v>
      </c>
      <c r="I84" s="122">
        <v>1657.22</v>
      </c>
      <c r="J84" s="122">
        <v>8286.1</v>
      </c>
      <c r="K84" s="85">
        <v>0</v>
      </c>
      <c r="L84" s="86">
        <f t="shared" si="10"/>
        <v>1657.22</v>
      </c>
      <c r="M84" s="277">
        <f t="shared" si="11"/>
        <v>0</v>
      </c>
      <c r="N84" s="87">
        <f t="shared" si="12"/>
        <v>5</v>
      </c>
      <c r="O84" s="88">
        <f t="shared" si="13"/>
        <v>1657.22</v>
      </c>
      <c r="P84" s="278">
        <f t="shared" si="14"/>
        <v>8286.1</v>
      </c>
    </row>
    <row r="85" spans="1:52" s="110" customFormat="1" ht="12.75" x14ac:dyDescent="0.2">
      <c r="C85" s="245"/>
      <c r="D85" s="246" t="s">
        <v>3</v>
      </c>
      <c r="E85" s="247" t="s">
        <v>281</v>
      </c>
      <c r="F85" s="247" t="s">
        <v>282</v>
      </c>
      <c r="G85" s="245"/>
      <c r="H85" s="245"/>
      <c r="I85" s="245"/>
      <c r="J85" s="248">
        <v>76675.76999999999</v>
      </c>
      <c r="K85" s="243"/>
      <c r="L85" s="244"/>
      <c r="M85" s="279">
        <f>SUM(M86:M90)</f>
        <v>109.14219999999999</v>
      </c>
      <c r="N85" s="311"/>
      <c r="O85" s="244"/>
      <c r="P85" s="279">
        <f>SUM(P86:P90)</f>
        <v>76784.912489999988</v>
      </c>
    </row>
    <row r="86" spans="1:52" s="109" customFormat="1" ht="36" x14ac:dyDescent="0.2">
      <c r="A86" s="97"/>
      <c r="B86" s="116"/>
      <c r="C86" s="117" t="s">
        <v>262</v>
      </c>
      <c r="D86" s="117" t="s">
        <v>69</v>
      </c>
      <c r="E86" s="118" t="s">
        <v>284</v>
      </c>
      <c r="F86" s="119" t="s">
        <v>285</v>
      </c>
      <c r="G86" s="120" t="s">
        <v>120</v>
      </c>
      <c r="H86" s="121">
        <v>234.524</v>
      </c>
      <c r="I86" s="122">
        <v>136.85</v>
      </c>
      <c r="J86" s="122">
        <v>32094.61</v>
      </c>
      <c r="K86" s="85">
        <f t="shared" ref="K86" si="15">ROUND(232.9/232.47*H86-H86,2)</f>
        <v>0.43</v>
      </c>
      <c r="L86" s="86">
        <f t="shared" si="10"/>
        <v>136.85</v>
      </c>
      <c r="M86" s="277">
        <f t="shared" si="11"/>
        <v>58.845499999999994</v>
      </c>
      <c r="N86" s="87">
        <f t="shared" si="12"/>
        <v>234.95400000000001</v>
      </c>
      <c r="O86" s="88">
        <f t="shared" si="13"/>
        <v>136.85</v>
      </c>
      <c r="P86" s="278">
        <f t="shared" si="14"/>
        <v>32153.454900000001</v>
      </c>
    </row>
    <row r="87" spans="1:52" s="109" customFormat="1" ht="48" x14ac:dyDescent="0.2">
      <c r="A87" s="97"/>
      <c r="B87" s="116"/>
      <c r="C87" s="117" t="s">
        <v>265</v>
      </c>
      <c r="D87" s="117" t="s">
        <v>69</v>
      </c>
      <c r="E87" s="118" t="s">
        <v>287</v>
      </c>
      <c r="F87" s="119" t="s">
        <v>288</v>
      </c>
      <c r="G87" s="120" t="s">
        <v>120</v>
      </c>
      <c r="H87" s="121">
        <v>68.210999999999999</v>
      </c>
      <c r="I87" s="122">
        <v>257.77999999999997</v>
      </c>
      <c r="J87" s="122">
        <v>17583.43</v>
      </c>
      <c r="K87" s="85">
        <v>0</v>
      </c>
      <c r="L87" s="86">
        <f t="shared" si="10"/>
        <v>257.77999999999997</v>
      </c>
      <c r="M87" s="277">
        <f t="shared" si="11"/>
        <v>0</v>
      </c>
      <c r="N87" s="87">
        <f t="shared" si="12"/>
        <v>68.210999999999999</v>
      </c>
      <c r="O87" s="88">
        <f t="shared" si="13"/>
        <v>257.77999999999997</v>
      </c>
      <c r="P87" s="278">
        <f t="shared" si="14"/>
        <v>17583.431579999997</v>
      </c>
    </row>
    <row r="88" spans="1:52" s="109" customFormat="1" ht="36" x14ac:dyDescent="0.2">
      <c r="A88" s="97"/>
      <c r="B88" s="116"/>
      <c r="C88" s="117" t="s">
        <v>269</v>
      </c>
      <c r="D88" s="117" t="s">
        <v>69</v>
      </c>
      <c r="E88" s="118" t="s">
        <v>290</v>
      </c>
      <c r="F88" s="119" t="s">
        <v>119</v>
      </c>
      <c r="G88" s="120" t="s">
        <v>120</v>
      </c>
      <c r="H88" s="121">
        <v>166.31299999999999</v>
      </c>
      <c r="I88" s="122">
        <v>154.66999999999999</v>
      </c>
      <c r="J88" s="122">
        <v>25723.63</v>
      </c>
      <c r="K88" s="85">
        <f t="shared" ref="K88:K90" si="16">ROUND(232.9/232.47*H88-H88,2)</f>
        <v>0.31</v>
      </c>
      <c r="L88" s="86">
        <f t="shared" si="10"/>
        <v>154.66999999999999</v>
      </c>
      <c r="M88" s="277">
        <f t="shared" si="11"/>
        <v>47.947699999999998</v>
      </c>
      <c r="N88" s="87">
        <f t="shared" si="12"/>
        <v>166.62299999999999</v>
      </c>
      <c r="O88" s="88">
        <f t="shared" si="13"/>
        <v>154.66999999999999</v>
      </c>
      <c r="P88" s="278">
        <f t="shared" si="14"/>
        <v>25771.579409999995</v>
      </c>
      <c r="AZ88" s="148" t="s">
        <v>1137</v>
      </c>
    </row>
    <row r="89" spans="1:52" s="109" customFormat="1" ht="36" x14ac:dyDescent="0.2">
      <c r="A89" s="97"/>
      <c r="B89" s="116"/>
      <c r="C89" s="117" t="s">
        <v>272</v>
      </c>
      <c r="D89" s="117" t="s">
        <v>69</v>
      </c>
      <c r="E89" s="118" t="s">
        <v>361</v>
      </c>
      <c r="F89" s="119" t="s">
        <v>362</v>
      </c>
      <c r="G89" s="120" t="s">
        <v>120</v>
      </c>
      <c r="H89" s="121">
        <v>5.4240000000000004</v>
      </c>
      <c r="I89" s="122">
        <v>80.23</v>
      </c>
      <c r="J89" s="122">
        <v>435.17</v>
      </c>
      <c r="K89" s="85">
        <f t="shared" si="16"/>
        <v>0.01</v>
      </c>
      <c r="L89" s="86">
        <f t="shared" si="10"/>
        <v>80.23</v>
      </c>
      <c r="M89" s="277">
        <f t="shared" si="11"/>
        <v>0.80230000000000001</v>
      </c>
      <c r="N89" s="87">
        <f t="shared" si="12"/>
        <v>5.4340000000000002</v>
      </c>
      <c r="O89" s="88">
        <f t="shared" si="13"/>
        <v>80.23</v>
      </c>
      <c r="P89" s="278">
        <f t="shared" si="14"/>
        <v>435.96982000000003</v>
      </c>
    </row>
    <row r="90" spans="1:52" s="109" customFormat="1" ht="36" x14ac:dyDescent="0.2">
      <c r="A90" s="97"/>
      <c r="B90" s="116"/>
      <c r="C90" s="117" t="s">
        <v>275</v>
      </c>
      <c r="D90" s="117" t="s">
        <v>69</v>
      </c>
      <c r="E90" s="118" t="s">
        <v>364</v>
      </c>
      <c r="F90" s="119" t="s">
        <v>365</v>
      </c>
      <c r="G90" s="120" t="s">
        <v>120</v>
      </c>
      <c r="H90" s="121">
        <v>5.4240000000000004</v>
      </c>
      <c r="I90" s="122">
        <v>154.66999999999999</v>
      </c>
      <c r="J90" s="122">
        <v>838.93</v>
      </c>
      <c r="K90" s="85">
        <f t="shared" si="16"/>
        <v>0.01</v>
      </c>
      <c r="L90" s="86">
        <f t="shared" si="10"/>
        <v>154.66999999999999</v>
      </c>
      <c r="M90" s="277">
        <f t="shared" si="11"/>
        <v>1.5467</v>
      </c>
      <c r="N90" s="87">
        <f t="shared" si="12"/>
        <v>5.4340000000000002</v>
      </c>
      <c r="O90" s="88">
        <f t="shared" si="13"/>
        <v>154.66999999999999</v>
      </c>
      <c r="P90" s="278">
        <f t="shared" si="14"/>
        <v>840.47677999999996</v>
      </c>
    </row>
    <row r="91" spans="1:52" s="110" customFormat="1" ht="12.75" x14ac:dyDescent="0.2">
      <c r="C91" s="245"/>
      <c r="D91" s="246" t="s">
        <v>3</v>
      </c>
      <c r="E91" s="247" t="s">
        <v>291</v>
      </c>
      <c r="F91" s="247" t="s">
        <v>292</v>
      </c>
      <c r="G91" s="245"/>
      <c r="H91" s="245"/>
      <c r="I91" s="245"/>
      <c r="J91" s="248">
        <v>7512.13</v>
      </c>
      <c r="K91" s="243"/>
      <c r="L91" s="244"/>
      <c r="M91" s="279">
        <f>M92</f>
        <v>13.730399999999999</v>
      </c>
      <c r="N91" s="311"/>
      <c r="O91" s="244"/>
      <c r="P91" s="279">
        <f>P92</f>
        <v>7525.8610800000006</v>
      </c>
    </row>
    <row r="92" spans="1:52" s="109" customFormat="1" ht="36" x14ac:dyDescent="0.2">
      <c r="A92" s="97"/>
      <c r="B92" s="116"/>
      <c r="C92" s="117" t="s">
        <v>278</v>
      </c>
      <c r="D92" s="117" t="s">
        <v>69</v>
      </c>
      <c r="E92" s="118" t="s">
        <v>294</v>
      </c>
      <c r="F92" s="119" t="s">
        <v>295</v>
      </c>
      <c r="G92" s="120" t="s">
        <v>120</v>
      </c>
      <c r="H92" s="121">
        <v>65.653999999999996</v>
      </c>
      <c r="I92" s="122">
        <v>114.42</v>
      </c>
      <c r="J92" s="122">
        <v>7512.13</v>
      </c>
      <c r="K92" s="85">
        <f t="shared" ref="K92" si="17">ROUND(232.9/232.47*H92-H92,2)</f>
        <v>0.12</v>
      </c>
      <c r="L92" s="86">
        <f t="shared" si="10"/>
        <v>114.42</v>
      </c>
      <c r="M92" s="277">
        <f t="shared" si="11"/>
        <v>13.730399999999999</v>
      </c>
      <c r="N92" s="87">
        <f t="shared" si="12"/>
        <v>65.774000000000001</v>
      </c>
      <c r="O92" s="88">
        <f t="shared" si="13"/>
        <v>114.42</v>
      </c>
      <c r="P92" s="278">
        <f t="shared" si="14"/>
        <v>7525.8610800000006</v>
      </c>
    </row>
    <row r="94" spans="1:52" ht="12.75" x14ac:dyDescent="0.2">
      <c r="D94" s="89"/>
      <c r="E94" s="141" t="str">
        <f>CONCATENATE("CELKEM ",C12)</f>
        <v>CELKEM 07 - SO 01.G - Stoka A.2</v>
      </c>
      <c r="F94" s="90"/>
      <c r="G94" s="90"/>
      <c r="H94" s="91"/>
      <c r="I94" s="90"/>
      <c r="J94" s="92">
        <v>2194726.27</v>
      </c>
      <c r="K94" s="94"/>
      <c r="L94" s="92"/>
      <c r="M94" s="147">
        <f>M91+M85+M78+M59+M48+M42+M40+M14</f>
        <v>2474.134497289971</v>
      </c>
      <c r="N94" s="147"/>
      <c r="O94" s="147"/>
      <c r="P94" s="147">
        <f t="shared" ref="P94" si="18">P91+P85+P78+P59+P48+P42+P40+P14</f>
        <v>2197200.3948772894</v>
      </c>
    </row>
    <row r="95" spans="1:52" x14ac:dyDescent="0.2">
      <c r="I95" s="95"/>
    </row>
    <row r="96" spans="1:52" ht="14.25" x14ac:dyDescent="0.2">
      <c r="E96" s="58" t="s">
        <v>994</v>
      </c>
      <c r="F96" s="58"/>
      <c r="H96" s="96"/>
      <c r="J96" s="161"/>
      <c r="K96" s="58" t="s">
        <v>995</v>
      </c>
    </row>
  </sheetData>
  <protectedRanges>
    <protectedRange password="CCAA" sqref="K8" name="Oblast1_1_1_1"/>
    <protectedRange password="CCAA" sqref="D9:H10" name="Oblast1_2_1_1"/>
  </protectedRanges>
  <autoFilter ref="C10:P92" xr:uid="{932EEFE5-3DD0-419F-A010-8429B7151355}"/>
  <mergeCells count="3">
    <mergeCell ref="AY12:AY14"/>
    <mergeCell ref="K9:M9"/>
    <mergeCell ref="N9:P9"/>
  </mergeCells>
  <conditionalFormatting sqref="D3:E7 H3:J7 K8:GF8 Q9:GF10 D1:J2 K1:GE7 K14:L92">
    <cfRule type="cellIs" dxfId="276" priority="89" operator="lessThan">
      <formula>0</formula>
    </cfRule>
  </conditionalFormatting>
  <conditionalFormatting sqref="G4">
    <cfRule type="cellIs" dxfId="275" priority="88" operator="lessThan">
      <formula>0</formula>
    </cfRule>
  </conditionalFormatting>
  <conditionalFormatting sqref="G3">
    <cfRule type="cellIs" dxfId="274" priority="87" operator="lessThan">
      <formula>0</formula>
    </cfRule>
  </conditionalFormatting>
  <conditionalFormatting sqref="D8:E8 H8:J8">
    <cfRule type="cellIs" dxfId="273" priority="86" operator="lessThan">
      <formula>0</formula>
    </cfRule>
  </conditionalFormatting>
  <conditionalFormatting sqref="N14:O92">
    <cfRule type="cellIs" dxfId="272" priority="37" operator="lessThan">
      <formula>0</formula>
    </cfRule>
  </conditionalFormatting>
  <conditionalFormatting sqref="N14:O92">
    <cfRule type="cellIs" dxfId="271" priority="36" operator="lessThan">
      <formula>0</formula>
    </cfRule>
  </conditionalFormatting>
  <conditionalFormatting sqref="K94 Q94:GP94">
    <cfRule type="cellIs" dxfId="270" priority="35" operator="lessThan">
      <formula>0</formula>
    </cfRule>
  </conditionalFormatting>
  <conditionalFormatting sqref="D94 F94:J94">
    <cfRule type="cellIs" dxfId="269" priority="33" operator="lessThan">
      <formula>0</formula>
    </cfRule>
  </conditionalFormatting>
  <conditionalFormatting sqref="L96:HS96 D96 G96:I96">
    <cfRule type="cellIs" dxfId="268" priority="23" operator="lessThan">
      <formula>0</formula>
    </cfRule>
  </conditionalFormatting>
  <conditionalFormatting sqref="G96:I96 L96:M96">
    <cfRule type="cellIs" dxfId="267" priority="22" operator="lessThan">
      <formula>0</formula>
    </cfRule>
  </conditionalFormatting>
  <conditionalFormatting sqref="G96:I96">
    <cfRule type="cellIs" dxfId="266" priority="21" operator="lessThan">
      <formula>0</formula>
    </cfRule>
  </conditionalFormatting>
  <conditionalFormatting sqref="G96:I96">
    <cfRule type="cellIs" dxfId="265" priority="20" operator="lessThan">
      <formula>0</formula>
    </cfRule>
  </conditionalFormatting>
  <conditionalFormatting sqref="M94:P94">
    <cfRule type="cellIs" dxfId="264" priority="10" operator="lessThan">
      <formula>0</formula>
    </cfRule>
  </conditionalFormatting>
  <conditionalFormatting sqref="L94">
    <cfRule type="cellIs" dxfId="263" priority="7" operator="lessThan">
      <formula>0</formula>
    </cfRule>
  </conditionalFormatting>
  <conditionalFormatting sqref="E94">
    <cfRule type="cellIs" dxfId="262" priority="6" operator="lessThan">
      <formula>0</formula>
    </cfRule>
  </conditionalFormatting>
  <conditionalFormatting sqref="D9:J10">
    <cfRule type="cellIs" dxfId="261" priority="5" operator="lessThan">
      <formula>0</formula>
    </cfRule>
  </conditionalFormatting>
  <conditionalFormatting sqref="N9">
    <cfRule type="cellIs" dxfId="260" priority="4" operator="lessThan">
      <formula>0</formula>
    </cfRule>
  </conditionalFormatting>
  <conditionalFormatting sqref="K10:L10 K9">
    <cfRule type="cellIs" dxfId="259" priority="3" operator="lessThan">
      <formula>0</formula>
    </cfRule>
  </conditionalFormatting>
  <conditionalFormatting sqref="M10:N10">
    <cfRule type="cellIs" dxfId="258" priority="2" operator="lessThan">
      <formula>0</formula>
    </cfRule>
  </conditionalFormatting>
  <conditionalFormatting sqref="O10:P10">
    <cfRule type="cellIs" dxfId="257" priority="1" operator="lessThan">
      <formula>0</formula>
    </cfRule>
  </conditionalFormatting>
  <pageMargins left="0.39370078740157483" right="0.39370078740157483" top="0.39370078740157483" bottom="0.39370078740157483" header="0" footer="0"/>
  <pageSetup paperSize="9" scale="50" fitToHeight="0" orientation="portrait" r:id="rId1"/>
  <headerFooter>
    <oddFooter>&amp;CStrana &amp;P z &amp;N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00B0F0"/>
    <pageSetUpPr fitToPage="1"/>
  </sheetPr>
  <dimension ref="A1:AN82"/>
  <sheetViews>
    <sheetView showGridLines="0" view="pageBreakPreview" zoomScale="60" zoomScaleNormal="90" workbookViewId="0">
      <selection activeCell="J82" sqref="J82"/>
    </sheetView>
  </sheetViews>
  <sheetFormatPr defaultColWidth="9.33203125" defaultRowHeight="11.25" x14ac:dyDescent="0.2"/>
  <cols>
    <col min="1" max="1" width="8.33203125" style="60" customWidth="1"/>
    <col min="2" max="2" width="1.6640625" style="60" customWidth="1"/>
    <col min="3" max="3" width="4.1640625" style="60" customWidth="1"/>
    <col min="4" max="4" width="4.33203125" style="60" customWidth="1"/>
    <col min="5" max="5" width="17.1640625" style="60" customWidth="1"/>
    <col min="6" max="6" width="50.83203125" style="60" customWidth="1"/>
    <col min="7" max="7" width="7" style="60" customWidth="1"/>
    <col min="8" max="8" width="11.5" style="60" customWidth="1"/>
    <col min="9" max="9" width="10.33203125" style="60" customWidth="1"/>
    <col min="10" max="10" width="20.1640625" style="60" customWidth="1"/>
    <col min="11" max="13" width="16.1640625" style="60" customWidth="1"/>
    <col min="14" max="14" width="13.83203125" style="60" customWidth="1"/>
    <col min="15" max="15" width="14.33203125" style="60" customWidth="1"/>
    <col min="16" max="16" width="19.6640625" style="60" bestFit="1" customWidth="1"/>
    <col min="17" max="17" width="21.33203125" style="60" bestFit="1" customWidth="1"/>
    <col min="18" max="18" width="28" style="60" bestFit="1" customWidth="1"/>
    <col min="19" max="26" width="0" style="60" hidden="1" customWidth="1"/>
    <col min="27" max="27" width="20.1640625" style="60" bestFit="1" customWidth="1"/>
    <col min="28" max="31" width="0" style="60" hidden="1" customWidth="1"/>
    <col min="32" max="32" width="15.6640625" style="60" bestFit="1" customWidth="1"/>
    <col min="33" max="33" width="37.6640625" style="60" bestFit="1" customWidth="1"/>
    <col min="34" max="34" width="30.5" style="60" bestFit="1" customWidth="1"/>
    <col min="35" max="36" width="9.33203125" style="60" hidden="1" customWidth="1"/>
    <col min="37" max="37" width="14.83203125" style="60" hidden="1" customWidth="1"/>
    <col min="38" max="38" width="25.1640625" style="60" hidden="1" customWidth="1"/>
    <col min="39" max="39" width="15.1640625" style="60" hidden="1" customWidth="1"/>
    <col min="40" max="40" width="23.33203125" style="60" hidden="1" customWidth="1"/>
    <col min="41" max="16384" width="9.33203125" style="60"/>
  </cols>
  <sheetData>
    <row r="1" spans="1:32" ht="18.95" customHeight="1" x14ac:dyDescent="0.2">
      <c r="F1" s="3"/>
      <c r="G1" s="4"/>
      <c r="H1" s="1"/>
      <c r="J1" s="61"/>
    </row>
    <row r="2" spans="1:32" s="1" customFormat="1" ht="18" customHeight="1" x14ac:dyDescent="0.2">
      <c r="E2" s="2"/>
      <c r="F2" s="3" t="s">
        <v>979</v>
      </c>
      <c r="G2" s="4" t="str">
        <f>'[1]VRN 01'!G3</f>
        <v>Odkanalizování povodí Jizery - část B</v>
      </c>
      <c r="I2" s="5"/>
      <c r="J2" s="63"/>
      <c r="K2" s="10"/>
      <c r="L2" s="11"/>
      <c r="M2" s="11"/>
      <c r="N2" s="64"/>
    </row>
    <row r="3" spans="1:32" s="1" customFormat="1" ht="18" customHeight="1" x14ac:dyDescent="0.2">
      <c r="E3" s="2"/>
      <c r="F3" s="3" t="s">
        <v>980</v>
      </c>
      <c r="G3" s="4" t="str">
        <f>+'Rekapitulace stavby'!D2</f>
        <v>ÚHERCE, výstavba kanalizace - UZNATELNÉ NÁKLADY - doměrky</v>
      </c>
      <c r="H3" s="2"/>
      <c r="I3" s="5"/>
      <c r="J3" s="63"/>
      <c r="K3" s="10"/>
      <c r="L3" s="11"/>
      <c r="M3" s="11"/>
      <c r="N3" s="64"/>
    </row>
    <row r="4" spans="1:32" s="2" customFormat="1" ht="18" customHeight="1" x14ac:dyDescent="0.2">
      <c r="F4" s="12" t="s">
        <v>981</v>
      </c>
      <c r="G4" s="13" t="str">
        <f>'[1]VRN 01'!G5</f>
        <v>VRI/SOD/2020/Ži</v>
      </c>
      <c r="I4" s="5"/>
      <c r="J4" s="65"/>
      <c r="K4" s="18"/>
      <c r="L4" s="19"/>
      <c r="M4" s="19"/>
      <c r="N4" s="66"/>
    </row>
    <row r="5" spans="1:32" s="2" customFormat="1" ht="18" customHeight="1" x14ac:dyDescent="0.2">
      <c r="F5" s="12" t="s">
        <v>983</v>
      </c>
      <c r="G5" s="13" t="s">
        <v>1001</v>
      </c>
      <c r="I5" s="5"/>
      <c r="J5" s="65"/>
      <c r="K5" s="18"/>
      <c r="L5" s="19"/>
      <c r="M5" s="19"/>
      <c r="N5" s="66"/>
    </row>
    <row r="6" spans="1:32" s="2" customFormat="1" ht="18" customHeight="1" x14ac:dyDescent="0.2">
      <c r="F6" s="3" t="s">
        <v>984</v>
      </c>
      <c r="G6" s="13" t="str">
        <f>'[1]VRN 01'!G7</f>
        <v>Vododvody a kanalizace Mladá Boleslav, a.s.</v>
      </c>
      <c r="I6" s="5"/>
      <c r="J6" s="65"/>
      <c r="K6" s="18"/>
      <c r="L6" s="19"/>
      <c r="M6" s="19"/>
      <c r="N6" s="66"/>
    </row>
    <row r="7" spans="1:32" s="2" customFormat="1" ht="18" customHeight="1" x14ac:dyDescent="0.2">
      <c r="F7" s="3" t="s">
        <v>986</v>
      </c>
      <c r="G7" s="20" t="str">
        <f>'[1]VRN 01'!G8</f>
        <v>VCES a.s.</v>
      </c>
      <c r="H7" s="67"/>
      <c r="I7" s="5"/>
      <c r="J7" s="65"/>
      <c r="K7" s="18"/>
      <c r="L7" s="19"/>
      <c r="M7" s="19"/>
      <c r="N7" s="66"/>
    </row>
    <row r="8" spans="1:32" s="68" customFormat="1" ht="18" customHeight="1" x14ac:dyDescent="0.2">
      <c r="D8" s="69"/>
      <c r="F8" s="3"/>
      <c r="G8" s="20"/>
      <c r="H8" s="67"/>
      <c r="K8" s="72" t="s">
        <v>996</v>
      </c>
      <c r="L8" s="73" t="str">
        <f>+C12</f>
        <v>08 - SO 01.H - Stoka A.2.1</v>
      </c>
      <c r="M8" s="73"/>
      <c r="O8" s="74"/>
    </row>
    <row r="9" spans="1:32" s="75" customFormat="1" ht="12.75" x14ac:dyDescent="0.2">
      <c r="C9" s="76"/>
      <c r="D9" s="77"/>
      <c r="E9" s="77"/>
      <c r="F9" s="77"/>
      <c r="G9" s="77"/>
      <c r="H9" s="77"/>
      <c r="I9" s="78"/>
      <c r="J9" s="79"/>
      <c r="K9" s="332" t="s">
        <v>1266</v>
      </c>
      <c r="L9" s="332"/>
      <c r="M9" s="332"/>
      <c r="N9" s="339" t="s">
        <v>1267</v>
      </c>
      <c r="O9" s="339"/>
      <c r="P9" s="340"/>
    </row>
    <row r="10" spans="1:32" s="75" customFormat="1" ht="12.75" x14ac:dyDescent="0.2">
      <c r="C10" s="80"/>
      <c r="D10" s="81" t="s">
        <v>997</v>
      </c>
      <c r="E10" s="81" t="s">
        <v>976</v>
      </c>
      <c r="F10" s="81" t="s">
        <v>977</v>
      </c>
      <c r="G10" s="81" t="s">
        <v>64</v>
      </c>
      <c r="H10" s="82" t="s">
        <v>65</v>
      </c>
      <c r="I10" s="83" t="s">
        <v>998</v>
      </c>
      <c r="J10" s="84" t="s">
        <v>978</v>
      </c>
      <c r="K10" s="218" t="s">
        <v>999</v>
      </c>
      <c r="L10" s="219" t="s">
        <v>1260</v>
      </c>
      <c r="M10" s="220" t="s">
        <v>978</v>
      </c>
      <c r="N10" s="263" t="s">
        <v>1264</v>
      </c>
      <c r="O10" s="264" t="s">
        <v>1260</v>
      </c>
      <c r="P10" s="265" t="s">
        <v>978</v>
      </c>
      <c r="Q10" s="157" t="s">
        <v>1103</v>
      </c>
      <c r="R10" s="157" t="s">
        <v>1127</v>
      </c>
      <c r="AA10" s="157" t="s">
        <v>1132</v>
      </c>
      <c r="AF10" s="75" t="s">
        <v>1211</v>
      </c>
    </row>
    <row r="11" spans="1:32" s="109" customFormat="1" x14ac:dyDescent="0.2">
      <c r="A11" s="97"/>
      <c r="B11" s="97"/>
      <c r="C11" s="97"/>
      <c r="D11" s="97"/>
      <c r="E11" s="97"/>
      <c r="F11" s="97"/>
      <c r="G11" s="97"/>
      <c r="H11" s="97"/>
      <c r="I11" s="97"/>
      <c r="J11" s="97"/>
    </row>
    <row r="12" spans="1:32" s="109" customFormat="1" ht="15.75" x14ac:dyDescent="0.25">
      <c r="A12" s="97"/>
      <c r="B12" s="97"/>
      <c r="C12" s="98" t="s">
        <v>375</v>
      </c>
      <c r="D12" s="97"/>
      <c r="E12" s="97"/>
      <c r="F12" s="97"/>
      <c r="G12" s="97"/>
      <c r="H12" s="97"/>
      <c r="I12" s="97"/>
      <c r="J12" s="99">
        <v>2501731.9699999997</v>
      </c>
      <c r="R12" s="327" t="s">
        <v>1128</v>
      </c>
    </row>
    <row r="13" spans="1:32" s="110" customFormat="1" ht="15" x14ac:dyDescent="0.2">
      <c r="D13" s="111" t="s">
        <v>3</v>
      </c>
      <c r="E13" s="112" t="s">
        <v>66</v>
      </c>
      <c r="F13" s="112" t="s">
        <v>67</v>
      </c>
      <c r="J13" s="113">
        <v>2501731.9699999997</v>
      </c>
      <c r="Q13" s="176" t="s">
        <v>1003</v>
      </c>
      <c r="R13" s="327"/>
    </row>
    <row r="14" spans="1:32" s="110" customFormat="1" ht="12.75" x14ac:dyDescent="0.2">
      <c r="C14" s="252"/>
      <c r="D14" s="253" t="s">
        <v>3</v>
      </c>
      <c r="E14" s="254" t="s">
        <v>7</v>
      </c>
      <c r="F14" s="254" t="s">
        <v>68</v>
      </c>
      <c r="G14" s="252"/>
      <c r="H14" s="252"/>
      <c r="I14" s="252"/>
      <c r="J14" s="255">
        <v>917860.25</v>
      </c>
      <c r="K14" s="284" t="str">
        <f>IF(ISBLANK(H14),"",SUM(#REF!+#REF!+#REF!+#REF!+#REF!+#REF!+#REF!+#REF!+#REF!+#REF!+#REF!,#REF!,#REF!,#REF!,#REF!,#REF!,#REF!,#REF!,#REF!,#REF!,#REF!,#REF!))</f>
        <v/>
      </c>
      <c r="L14" s="285" t="str">
        <f>IF(ISBLANK(H14),"",SUM(#REF!+#REF!+#REF!+#REF!+#REF!+#REF!+#REF!+#REF!+#REF!+#REF!+#REF!,#REF!,#REF!,#REF!,#REF!,#REF!,#REF!,#REF!,#REF!,#REF!,#REF!,#REF!,#REF!))</f>
        <v/>
      </c>
      <c r="M14" s="287">
        <f>SUM(M15:M36)</f>
        <v>1213.7166</v>
      </c>
      <c r="N14" s="287"/>
      <c r="O14" s="287"/>
      <c r="P14" s="287">
        <f t="shared" ref="P14" si="0">SUM(P15:P36)</f>
        <v>919073.93955000013</v>
      </c>
    </row>
    <row r="15" spans="1:32" s="109" customFormat="1" ht="60" x14ac:dyDescent="0.2">
      <c r="A15" s="97"/>
      <c r="B15" s="116"/>
      <c r="C15" s="117" t="s">
        <v>7</v>
      </c>
      <c r="D15" s="117" t="s">
        <v>69</v>
      </c>
      <c r="E15" s="118" t="s">
        <v>79</v>
      </c>
      <c r="F15" s="119" t="s">
        <v>80</v>
      </c>
      <c r="G15" s="120" t="s">
        <v>72</v>
      </c>
      <c r="H15" s="121">
        <v>288.673</v>
      </c>
      <c r="I15" s="122">
        <v>26.3</v>
      </c>
      <c r="J15" s="122">
        <v>7592.1</v>
      </c>
      <c r="K15" s="85">
        <v>0</v>
      </c>
      <c r="L15" s="86">
        <f>I15</f>
        <v>26.3</v>
      </c>
      <c r="M15" s="277">
        <f>K15*L15</f>
        <v>0</v>
      </c>
      <c r="N15" s="87">
        <f>H15+K15</f>
        <v>288.673</v>
      </c>
      <c r="O15" s="88">
        <f>I15</f>
        <v>26.3</v>
      </c>
      <c r="P15" s="278">
        <f>N15*O15</f>
        <v>7592.0999000000002</v>
      </c>
    </row>
    <row r="16" spans="1:32" s="109" customFormat="1" ht="60" x14ac:dyDescent="0.2">
      <c r="A16" s="97"/>
      <c r="B16" s="116"/>
      <c r="C16" s="117" t="s">
        <v>8</v>
      </c>
      <c r="D16" s="117" t="s">
        <v>69</v>
      </c>
      <c r="E16" s="118" t="s">
        <v>74</v>
      </c>
      <c r="F16" s="119" t="s">
        <v>75</v>
      </c>
      <c r="G16" s="120" t="s">
        <v>72</v>
      </c>
      <c r="H16" s="121">
        <v>288.673</v>
      </c>
      <c r="I16" s="122">
        <v>40.770000000000003</v>
      </c>
      <c r="J16" s="122">
        <v>11769.2</v>
      </c>
      <c r="K16" s="85">
        <v>0</v>
      </c>
      <c r="L16" s="86">
        <f t="shared" ref="L16:L78" si="1">I16</f>
        <v>40.770000000000003</v>
      </c>
      <c r="M16" s="277">
        <f t="shared" ref="M16:M78" si="2">K16*L16</f>
        <v>0</v>
      </c>
      <c r="N16" s="87">
        <f t="shared" ref="N16:N78" si="3">H16+K16</f>
        <v>288.673</v>
      </c>
      <c r="O16" s="88">
        <f t="shared" ref="O16:O78" si="4">I16</f>
        <v>40.770000000000003</v>
      </c>
      <c r="P16" s="278">
        <f t="shared" ref="P16:P78" si="5">N16*O16</f>
        <v>11769.19821</v>
      </c>
    </row>
    <row r="17" spans="1:34" s="109" customFormat="1" ht="60" x14ac:dyDescent="0.2">
      <c r="A17" s="97"/>
      <c r="B17" s="116"/>
      <c r="C17" s="117" t="s">
        <v>76</v>
      </c>
      <c r="D17" s="117" t="s">
        <v>69</v>
      </c>
      <c r="E17" s="118" t="s">
        <v>82</v>
      </c>
      <c r="F17" s="119" t="s">
        <v>83</v>
      </c>
      <c r="G17" s="120" t="s">
        <v>72</v>
      </c>
      <c r="H17" s="121">
        <v>288.673</v>
      </c>
      <c r="I17" s="122">
        <v>39.46</v>
      </c>
      <c r="J17" s="122">
        <v>11391.04</v>
      </c>
      <c r="K17" s="85">
        <v>0</v>
      </c>
      <c r="L17" s="86">
        <f t="shared" si="1"/>
        <v>39.46</v>
      </c>
      <c r="M17" s="277">
        <f t="shared" si="2"/>
        <v>0</v>
      </c>
      <c r="N17" s="87">
        <f t="shared" si="3"/>
        <v>288.673</v>
      </c>
      <c r="O17" s="88">
        <f t="shared" si="4"/>
        <v>39.46</v>
      </c>
      <c r="P17" s="278">
        <f t="shared" si="5"/>
        <v>11391.03658</v>
      </c>
    </row>
    <row r="18" spans="1:34" s="109" customFormat="1" ht="48" x14ac:dyDescent="0.2">
      <c r="A18" s="97"/>
      <c r="B18" s="116"/>
      <c r="C18" s="117" t="s">
        <v>73</v>
      </c>
      <c r="D18" s="117" t="s">
        <v>69</v>
      </c>
      <c r="E18" s="118" t="s">
        <v>85</v>
      </c>
      <c r="F18" s="119" t="s">
        <v>86</v>
      </c>
      <c r="G18" s="120" t="s">
        <v>72</v>
      </c>
      <c r="H18" s="121">
        <v>446.13099999999997</v>
      </c>
      <c r="I18" s="122">
        <v>55.24</v>
      </c>
      <c r="J18" s="122">
        <v>24644.28</v>
      </c>
      <c r="K18" s="85">
        <v>0</v>
      </c>
      <c r="L18" s="86">
        <f t="shared" si="1"/>
        <v>55.24</v>
      </c>
      <c r="M18" s="277">
        <f t="shared" si="2"/>
        <v>0</v>
      </c>
      <c r="N18" s="87">
        <f t="shared" si="3"/>
        <v>446.13099999999997</v>
      </c>
      <c r="O18" s="88">
        <f t="shared" si="4"/>
        <v>55.24</v>
      </c>
      <c r="P18" s="278">
        <f t="shared" si="5"/>
        <v>24644.276439999998</v>
      </c>
    </row>
    <row r="19" spans="1:34" s="109" customFormat="1" ht="84" x14ac:dyDescent="0.2">
      <c r="A19" s="97"/>
      <c r="B19" s="116"/>
      <c r="C19" s="117" t="s">
        <v>81</v>
      </c>
      <c r="D19" s="117" t="s">
        <v>69</v>
      </c>
      <c r="E19" s="118" t="s">
        <v>88</v>
      </c>
      <c r="F19" s="119" t="s">
        <v>89</v>
      </c>
      <c r="G19" s="120" t="s">
        <v>61</v>
      </c>
      <c r="H19" s="121">
        <v>17.600000000000001</v>
      </c>
      <c r="I19" s="122">
        <v>170.98</v>
      </c>
      <c r="J19" s="122">
        <v>3009.25</v>
      </c>
      <c r="K19" s="85">
        <f>ROUND(262.8/262.43*H19-H19,2)</f>
        <v>0.02</v>
      </c>
      <c r="L19" s="86">
        <f t="shared" si="1"/>
        <v>170.98</v>
      </c>
      <c r="M19" s="277">
        <f t="shared" si="2"/>
        <v>3.4196</v>
      </c>
      <c r="N19" s="87">
        <f t="shared" si="3"/>
        <v>17.62</v>
      </c>
      <c r="O19" s="88">
        <f t="shared" si="4"/>
        <v>170.98</v>
      </c>
      <c r="P19" s="278">
        <f t="shared" si="5"/>
        <v>3012.6675999999998</v>
      </c>
    </row>
    <row r="20" spans="1:34" s="109" customFormat="1" ht="36" x14ac:dyDescent="0.2">
      <c r="A20" s="97"/>
      <c r="B20" s="116"/>
      <c r="C20" s="117" t="s">
        <v>84</v>
      </c>
      <c r="D20" s="117" t="s">
        <v>69</v>
      </c>
      <c r="E20" s="118" t="s">
        <v>318</v>
      </c>
      <c r="F20" s="119" t="s">
        <v>319</v>
      </c>
      <c r="G20" s="120" t="s">
        <v>61</v>
      </c>
      <c r="H20" s="121">
        <v>2.2000000000000002</v>
      </c>
      <c r="I20" s="122">
        <v>257.77999999999997</v>
      </c>
      <c r="J20" s="122">
        <v>567.12</v>
      </c>
      <c r="K20" s="85">
        <f t="shared" ref="K20:K38" si="6">ROUND(262.8/262.43*H20-H20,2)</f>
        <v>0</v>
      </c>
      <c r="L20" s="86">
        <f t="shared" si="1"/>
        <v>257.77999999999997</v>
      </c>
      <c r="M20" s="277">
        <f t="shared" si="2"/>
        <v>0</v>
      </c>
      <c r="N20" s="87">
        <f t="shared" si="3"/>
        <v>2.2000000000000002</v>
      </c>
      <c r="O20" s="88">
        <f t="shared" si="4"/>
        <v>257.77999999999997</v>
      </c>
      <c r="P20" s="278">
        <f t="shared" si="5"/>
        <v>567.11599999999999</v>
      </c>
    </row>
    <row r="21" spans="1:34" s="109" customFormat="1" ht="96" x14ac:dyDescent="0.2">
      <c r="A21" s="97"/>
      <c r="B21" s="116"/>
      <c r="C21" s="117" t="s">
        <v>87</v>
      </c>
      <c r="D21" s="117" t="s">
        <v>69</v>
      </c>
      <c r="E21" s="118" t="s">
        <v>91</v>
      </c>
      <c r="F21" s="119" t="s">
        <v>92</v>
      </c>
      <c r="G21" s="120" t="s">
        <v>61</v>
      </c>
      <c r="H21" s="121">
        <v>3.3</v>
      </c>
      <c r="I21" s="122">
        <v>147.30000000000001</v>
      </c>
      <c r="J21" s="122">
        <v>486.09</v>
      </c>
      <c r="K21" s="85">
        <f t="shared" si="6"/>
        <v>0</v>
      </c>
      <c r="L21" s="86">
        <f t="shared" si="1"/>
        <v>147.30000000000001</v>
      </c>
      <c r="M21" s="277">
        <f t="shared" si="2"/>
        <v>0</v>
      </c>
      <c r="N21" s="87">
        <f t="shared" si="3"/>
        <v>3.3</v>
      </c>
      <c r="O21" s="88">
        <f t="shared" si="4"/>
        <v>147.30000000000001</v>
      </c>
      <c r="P21" s="278">
        <f t="shared" si="5"/>
        <v>486.09000000000003</v>
      </c>
    </row>
    <row r="22" spans="1:34" s="109" customFormat="1" ht="36" x14ac:dyDescent="0.2">
      <c r="A22" s="97"/>
      <c r="B22" s="116"/>
      <c r="C22" s="117" t="s">
        <v>90</v>
      </c>
      <c r="D22" s="117" t="s">
        <v>69</v>
      </c>
      <c r="E22" s="118" t="s">
        <v>94</v>
      </c>
      <c r="F22" s="119" t="s">
        <v>95</v>
      </c>
      <c r="G22" s="120" t="s">
        <v>62</v>
      </c>
      <c r="H22" s="121">
        <v>82.53</v>
      </c>
      <c r="I22" s="122">
        <v>257.77999999999997</v>
      </c>
      <c r="J22" s="122">
        <v>21274.58</v>
      </c>
      <c r="K22" s="85">
        <f t="shared" si="6"/>
        <v>0.12</v>
      </c>
      <c r="L22" s="86">
        <f t="shared" si="1"/>
        <v>257.77999999999997</v>
      </c>
      <c r="M22" s="277">
        <f t="shared" si="2"/>
        <v>30.933599999999995</v>
      </c>
      <c r="N22" s="87">
        <f t="shared" si="3"/>
        <v>82.65</v>
      </c>
      <c r="O22" s="88">
        <f t="shared" si="4"/>
        <v>257.77999999999997</v>
      </c>
      <c r="P22" s="278">
        <f t="shared" si="5"/>
        <v>21305.517</v>
      </c>
    </row>
    <row r="23" spans="1:34" s="109" customFormat="1" ht="48" x14ac:dyDescent="0.2">
      <c r="A23" s="97"/>
      <c r="B23" s="116"/>
      <c r="C23" s="117" t="s">
        <v>93</v>
      </c>
      <c r="D23" s="117" t="s">
        <v>69</v>
      </c>
      <c r="E23" s="118" t="s">
        <v>96</v>
      </c>
      <c r="F23" s="119" t="s">
        <v>97</v>
      </c>
      <c r="G23" s="120" t="s">
        <v>62</v>
      </c>
      <c r="H23" s="121">
        <v>113.83</v>
      </c>
      <c r="I23" s="122">
        <v>234.11</v>
      </c>
      <c r="J23" s="122">
        <v>26648.74</v>
      </c>
      <c r="K23" s="85">
        <f t="shared" si="6"/>
        <v>0.16</v>
      </c>
      <c r="L23" s="86">
        <f t="shared" si="1"/>
        <v>234.11</v>
      </c>
      <c r="M23" s="277">
        <f t="shared" si="2"/>
        <v>37.457600000000006</v>
      </c>
      <c r="N23" s="87">
        <f t="shared" si="3"/>
        <v>113.99</v>
      </c>
      <c r="O23" s="88">
        <f t="shared" si="4"/>
        <v>234.11</v>
      </c>
      <c r="P23" s="278">
        <f t="shared" si="5"/>
        <v>26686.198899999999</v>
      </c>
    </row>
    <row r="24" spans="1:34" s="109" customFormat="1" ht="48" x14ac:dyDescent="0.2">
      <c r="A24" s="97"/>
      <c r="B24" s="116"/>
      <c r="C24" s="117" t="s">
        <v>26</v>
      </c>
      <c r="D24" s="117" t="s">
        <v>69</v>
      </c>
      <c r="E24" s="118" t="s">
        <v>98</v>
      </c>
      <c r="F24" s="119" t="s">
        <v>99</v>
      </c>
      <c r="G24" s="120" t="s">
        <v>62</v>
      </c>
      <c r="H24" s="121">
        <v>212.69</v>
      </c>
      <c r="I24" s="122">
        <v>257.77999999999997</v>
      </c>
      <c r="J24" s="122">
        <v>54827.23</v>
      </c>
      <c r="K24" s="85">
        <f t="shared" si="6"/>
        <v>0.3</v>
      </c>
      <c r="L24" s="86">
        <f t="shared" si="1"/>
        <v>257.77999999999997</v>
      </c>
      <c r="M24" s="277">
        <f t="shared" si="2"/>
        <v>77.333999999999989</v>
      </c>
      <c r="N24" s="87">
        <f t="shared" si="3"/>
        <v>212.99</v>
      </c>
      <c r="O24" s="88">
        <f t="shared" si="4"/>
        <v>257.77999999999997</v>
      </c>
      <c r="P24" s="278">
        <f t="shared" si="5"/>
        <v>54904.562199999993</v>
      </c>
    </row>
    <row r="25" spans="1:34" s="109" customFormat="1" ht="48" x14ac:dyDescent="0.2">
      <c r="A25" s="97"/>
      <c r="B25" s="116"/>
      <c r="C25" s="117" t="s">
        <v>28</v>
      </c>
      <c r="D25" s="117" t="s">
        <v>69</v>
      </c>
      <c r="E25" s="118" t="s">
        <v>100</v>
      </c>
      <c r="F25" s="119" t="s">
        <v>101</v>
      </c>
      <c r="G25" s="120" t="s">
        <v>62</v>
      </c>
      <c r="H25" s="121">
        <v>242.64</v>
      </c>
      <c r="I25" s="122">
        <v>315.64999999999998</v>
      </c>
      <c r="J25" s="122">
        <v>76589.320000000007</v>
      </c>
      <c r="K25" s="85">
        <f t="shared" si="6"/>
        <v>0.34</v>
      </c>
      <c r="L25" s="86">
        <f t="shared" si="1"/>
        <v>315.64999999999998</v>
      </c>
      <c r="M25" s="277">
        <f t="shared" si="2"/>
        <v>107.321</v>
      </c>
      <c r="N25" s="87">
        <f t="shared" si="3"/>
        <v>242.98</v>
      </c>
      <c r="O25" s="88">
        <f t="shared" si="4"/>
        <v>315.64999999999998</v>
      </c>
      <c r="P25" s="278">
        <f t="shared" si="5"/>
        <v>76696.636999999988</v>
      </c>
    </row>
    <row r="26" spans="1:34" s="109" customFormat="1" ht="36" x14ac:dyDescent="0.2">
      <c r="A26" s="97"/>
      <c r="B26" s="116"/>
      <c r="C26" s="117" t="s">
        <v>30</v>
      </c>
      <c r="D26" s="117" t="s">
        <v>69</v>
      </c>
      <c r="E26" s="118" t="s">
        <v>102</v>
      </c>
      <c r="F26" s="119" t="s">
        <v>103</v>
      </c>
      <c r="G26" s="120" t="s">
        <v>72</v>
      </c>
      <c r="H26" s="121">
        <v>1230.6600000000001</v>
      </c>
      <c r="I26" s="122">
        <v>69.709999999999994</v>
      </c>
      <c r="J26" s="122">
        <v>85789.31</v>
      </c>
      <c r="K26" s="85">
        <f t="shared" si="6"/>
        <v>1.74</v>
      </c>
      <c r="L26" s="86">
        <f t="shared" si="1"/>
        <v>69.709999999999994</v>
      </c>
      <c r="M26" s="277">
        <f t="shared" si="2"/>
        <v>121.29539999999999</v>
      </c>
      <c r="N26" s="87">
        <f t="shared" si="3"/>
        <v>1232.4000000000001</v>
      </c>
      <c r="O26" s="88">
        <f t="shared" si="4"/>
        <v>69.709999999999994</v>
      </c>
      <c r="P26" s="278">
        <f t="shared" si="5"/>
        <v>85910.603999999992</v>
      </c>
      <c r="AF26" s="327" t="s">
        <v>1212</v>
      </c>
      <c r="AG26" s="341" t="s">
        <v>1227</v>
      </c>
      <c r="AH26" s="327" t="s">
        <v>1247</v>
      </c>
    </row>
    <row r="27" spans="1:34" s="109" customFormat="1" ht="48" x14ac:dyDescent="0.2">
      <c r="A27" s="97"/>
      <c r="B27" s="116"/>
      <c r="C27" s="117" t="s">
        <v>32</v>
      </c>
      <c r="D27" s="117" t="s">
        <v>69</v>
      </c>
      <c r="E27" s="118" t="s">
        <v>104</v>
      </c>
      <c r="F27" s="119" t="s">
        <v>105</v>
      </c>
      <c r="G27" s="120" t="s">
        <v>72</v>
      </c>
      <c r="H27" s="121">
        <v>1230.6600000000001</v>
      </c>
      <c r="I27" s="122">
        <v>80.23</v>
      </c>
      <c r="J27" s="122">
        <v>98735.85</v>
      </c>
      <c r="K27" s="85">
        <f t="shared" si="6"/>
        <v>1.74</v>
      </c>
      <c r="L27" s="86">
        <f t="shared" si="1"/>
        <v>80.23</v>
      </c>
      <c r="M27" s="277">
        <f t="shared" si="2"/>
        <v>139.6002</v>
      </c>
      <c r="N27" s="87">
        <f t="shared" si="3"/>
        <v>1232.4000000000001</v>
      </c>
      <c r="O27" s="88">
        <f t="shared" si="4"/>
        <v>80.23</v>
      </c>
      <c r="P27" s="278">
        <f t="shared" si="5"/>
        <v>98875.452000000019</v>
      </c>
      <c r="AF27" s="327"/>
      <c r="AG27" s="341"/>
      <c r="AH27" s="327"/>
    </row>
    <row r="28" spans="1:34" s="109" customFormat="1" ht="60" x14ac:dyDescent="0.2">
      <c r="A28" s="97"/>
      <c r="B28" s="116"/>
      <c r="C28" s="117" t="s">
        <v>34</v>
      </c>
      <c r="D28" s="117" t="s">
        <v>69</v>
      </c>
      <c r="E28" s="118" t="s">
        <v>106</v>
      </c>
      <c r="F28" s="119" t="s">
        <v>107</v>
      </c>
      <c r="G28" s="120" t="s">
        <v>62</v>
      </c>
      <c r="H28" s="121">
        <v>341.49599999999998</v>
      </c>
      <c r="I28" s="122">
        <v>13.15</v>
      </c>
      <c r="J28" s="122">
        <v>4490.67</v>
      </c>
      <c r="K28" s="85">
        <f t="shared" si="6"/>
        <v>0.48</v>
      </c>
      <c r="L28" s="86">
        <f t="shared" si="1"/>
        <v>13.15</v>
      </c>
      <c r="M28" s="277">
        <f t="shared" si="2"/>
        <v>6.3120000000000003</v>
      </c>
      <c r="N28" s="87">
        <f t="shared" si="3"/>
        <v>341.976</v>
      </c>
      <c r="O28" s="88">
        <f t="shared" si="4"/>
        <v>13.15</v>
      </c>
      <c r="P28" s="278">
        <f t="shared" si="5"/>
        <v>4496.9844000000003</v>
      </c>
    </row>
    <row r="29" spans="1:34" s="109" customFormat="1" ht="48" x14ac:dyDescent="0.2">
      <c r="A29" s="97"/>
      <c r="B29" s="116"/>
      <c r="C29" s="117" t="s">
        <v>1</v>
      </c>
      <c r="D29" s="117" t="s">
        <v>69</v>
      </c>
      <c r="E29" s="118" t="s">
        <v>108</v>
      </c>
      <c r="F29" s="119" t="s">
        <v>109</v>
      </c>
      <c r="G29" s="120" t="s">
        <v>62</v>
      </c>
      <c r="H29" s="121">
        <v>916.74</v>
      </c>
      <c r="I29" s="122">
        <v>185.39</v>
      </c>
      <c r="J29" s="122">
        <v>169954.43</v>
      </c>
      <c r="K29" s="85">
        <f t="shared" si="6"/>
        <v>1.29</v>
      </c>
      <c r="L29" s="86">
        <f t="shared" si="1"/>
        <v>185.39</v>
      </c>
      <c r="M29" s="277">
        <f t="shared" si="2"/>
        <v>239.15309999999999</v>
      </c>
      <c r="N29" s="87">
        <f t="shared" si="3"/>
        <v>918.03</v>
      </c>
      <c r="O29" s="88">
        <f t="shared" si="4"/>
        <v>185.39</v>
      </c>
      <c r="P29" s="278">
        <f t="shared" si="5"/>
        <v>170193.58169999998</v>
      </c>
    </row>
    <row r="30" spans="1:34" s="109" customFormat="1" ht="36" x14ac:dyDescent="0.2">
      <c r="A30" s="97"/>
      <c r="B30" s="116"/>
      <c r="C30" s="117" t="s">
        <v>37</v>
      </c>
      <c r="D30" s="117" t="s">
        <v>69</v>
      </c>
      <c r="E30" s="118" t="s">
        <v>110</v>
      </c>
      <c r="F30" s="119" t="s">
        <v>111</v>
      </c>
      <c r="G30" s="120" t="s">
        <v>62</v>
      </c>
      <c r="H30" s="121">
        <v>569.16</v>
      </c>
      <c r="I30" s="122">
        <v>44.72</v>
      </c>
      <c r="J30" s="122">
        <v>25452.84</v>
      </c>
      <c r="K30" s="85">
        <f t="shared" si="6"/>
        <v>0.8</v>
      </c>
      <c r="L30" s="86">
        <f t="shared" si="1"/>
        <v>44.72</v>
      </c>
      <c r="M30" s="277">
        <f t="shared" si="2"/>
        <v>35.776000000000003</v>
      </c>
      <c r="N30" s="87">
        <f t="shared" si="3"/>
        <v>569.95999999999992</v>
      </c>
      <c r="O30" s="88">
        <f t="shared" si="4"/>
        <v>44.72</v>
      </c>
      <c r="P30" s="278">
        <f t="shared" si="5"/>
        <v>25488.611199999996</v>
      </c>
    </row>
    <row r="31" spans="1:34" s="109" customFormat="1" ht="48" x14ac:dyDescent="0.2">
      <c r="A31" s="97"/>
      <c r="B31" s="116"/>
      <c r="C31" s="117" t="s">
        <v>39</v>
      </c>
      <c r="D31" s="117" t="s">
        <v>69</v>
      </c>
      <c r="E31" s="118" t="s">
        <v>112</v>
      </c>
      <c r="F31" s="119" t="s">
        <v>113</v>
      </c>
      <c r="G31" s="120" t="s">
        <v>62</v>
      </c>
      <c r="H31" s="121">
        <v>219.2</v>
      </c>
      <c r="I31" s="122">
        <v>247.39</v>
      </c>
      <c r="J31" s="122">
        <v>54227.89</v>
      </c>
      <c r="K31" s="85">
        <f t="shared" si="6"/>
        <v>0.31</v>
      </c>
      <c r="L31" s="86">
        <f t="shared" si="1"/>
        <v>247.39</v>
      </c>
      <c r="M31" s="277">
        <f t="shared" si="2"/>
        <v>76.690899999999999</v>
      </c>
      <c r="N31" s="87">
        <f t="shared" si="3"/>
        <v>219.51</v>
      </c>
      <c r="O31" s="88">
        <f t="shared" si="4"/>
        <v>247.39</v>
      </c>
      <c r="P31" s="278">
        <f t="shared" si="5"/>
        <v>54304.578899999993</v>
      </c>
    </row>
    <row r="32" spans="1:34" s="109" customFormat="1" ht="12" x14ac:dyDescent="0.2">
      <c r="A32" s="97"/>
      <c r="B32" s="116"/>
      <c r="C32" s="117" t="s">
        <v>41</v>
      </c>
      <c r="D32" s="117" t="s">
        <v>69</v>
      </c>
      <c r="E32" s="118" t="s">
        <v>115</v>
      </c>
      <c r="F32" s="119" t="s">
        <v>116</v>
      </c>
      <c r="G32" s="120" t="s">
        <v>62</v>
      </c>
      <c r="H32" s="121">
        <v>219.2</v>
      </c>
      <c r="I32" s="122">
        <v>11.84</v>
      </c>
      <c r="J32" s="122">
        <v>2595.33</v>
      </c>
      <c r="K32" s="85">
        <f t="shared" si="6"/>
        <v>0.31</v>
      </c>
      <c r="L32" s="86">
        <f t="shared" si="1"/>
        <v>11.84</v>
      </c>
      <c r="M32" s="277">
        <f t="shared" si="2"/>
        <v>3.6703999999999999</v>
      </c>
      <c r="N32" s="87">
        <f t="shared" si="3"/>
        <v>219.51</v>
      </c>
      <c r="O32" s="88">
        <f t="shared" si="4"/>
        <v>11.84</v>
      </c>
      <c r="P32" s="278">
        <f t="shared" si="5"/>
        <v>2598.9983999999999</v>
      </c>
    </row>
    <row r="33" spans="1:34" s="109" customFormat="1" ht="36" x14ac:dyDescent="0.2">
      <c r="A33" s="97"/>
      <c r="B33" s="116"/>
      <c r="C33" s="117" t="s">
        <v>114</v>
      </c>
      <c r="D33" s="117" t="s">
        <v>69</v>
      </c>
      <c r="E33" s="118" t="s">
        <v>118</v>
      </c>
      <c r="F33" s="119" t="s">
        <v>119</v>
      </c>
      <c r="G33" s="120" t="s">
        <v>120</v>
      </c>
      <c r="H33" s="121">
        <v>350.315</v>
      </c>
      <c r="I33" s="122">
        <v>116</v>
      </c>
      <c r="J33" s="122">
        <v>40636.54</v>
      </c>
      <c r="K33" s="85">
        <f t="shared" si="6"/>
        <v>0.49</v>
      </c>
      <c r="L33" s="86">
        <f t="shared" si="1"/>
        <v>116</v>
      </c>
      <c r="M33" s="277">
        <f t="shared" si="2"/>
        <v>56.839999999999996</v>
      </c>
      <c r="N33" s="87">
        <f t="shared" si="3"/>
        <v>350.80500000000001</v>
      </c>
      <c r="O33" s="88">
        <f t="shared" si="4"/>
        <v>116</v>
      </c>
      <c r="P33" s="278">
        <f t="shared" si="5"/>
        <v>40693.379999999997</v>
      </c>
    </row>
    <row r="34" spans="1:34" s="109" customFormat="1" ht="36" x14ac:dyDescent="0.2">
      <c r="A34" s="97"/>
      <c r="B34" s="116"/>
      <c r="C34" s="117" t="s">
        <v>117</v>
      </c>
      <c r="D34" s="117" t="s">
        <v>69</v>
      </c>
      <c r="E34" s="118" t="s">
        <v>121</v>
      </c>
      <c r="F34" s="119" t="s">
        <v>122</v>
      </c>
      <c r="G34" s="120" t="s">
        <v>62</v>
      </c>
      <c r="H34" s="121">
        <v>347.58</v>
      </c>
      <c r="I34" s="122">
        <v>286.72000000000003</v>
      </c>
      <c r="J34" s="122">
        <v>99658.14</v>
      </c>
      <c r="K34" s="85">
        <f t="shared" si="6"/>
        <v>0.49</v>
      </c>
      <c r="L34" s="86">
        <f t="shared" si="1"/>
        <v>286.72000000000003</v>
      </c>
      <c r="M34" s="277">
        <f t="shared" si="2"/>
        <v>140.49280000000002</v>
      </c>
      <c r="N34" s="87">
        <f t="shared" si="3"/>
        <v>348.07</v>
      </c>
      <c r="O34" s="88">
        <f t="shared" si="4"/>
        <v>286.72000000000003</v>
      </c>
      <c r="P34" s="278">
        <f t="shared" si="5"/>
        <v>99798.630400000009</v>
      </c>
    </row>
    <row r="35" spans="1:34" s="109" customFormat="1" ht="60" x14ac:dyDescent="0.2">
      <c r="A35" s="97"/>
      <c r="B35" s="116"/>
      <c r="C35" s="117" t="s">
        <v>0</v>
      </c>
      <c r="D35" s="117" t="s">
        <v>69</v>
      </c>
      <c r="E35" s="118" t="s">
        <v>124</v>
      </c>
      <c r="F35" s="119" t="s">
        <v>125</v>
      </c>
      <c r="G35" s="120" t="s">
        <v>62</v>
      </c>
      <c r="H35" s="121">
        <v>147.38999999999999</v>
      </c>
      <c r="I35" s="122">
        <v>318.27999999999997</v>
      </c>
      <c r="J35" s="122">
        <v>46911.29</v>
      </c>
      <c r="K35" s="85">
        <f t="shared" si="6"/>
        <v>0.21</v>
      </c>
      <c r="L35" s="86">
        <f t="shared" si="1"/>
        <v>318.27999999999997</v>
      </c>
      <c r="M35" s="277">
        <f t="shared" si="2"/>
        <v>66.838799999999992</v>
      </c>
      <c r="N35" s="87">
        <f t="shared" si="3"/>
        <v>147.6</v>
      </c>
      <c r="O35" s="88">
        <f t="shared" si="4"/>
        <v>318.27999999999997</v>
      </c>
      <c r="P35" s="278">
        <f t="shared" si="5"/>
        <v>46978.127999999997</v>
      </c>
    </row>
    <row r="36" spans="1:34" s="109" customFormat="1" ht="12" x14ac:dyDescent="0.2">
      <c r="A36" s="97"/>
      <c r="B36" s="116"/>
      <c r="C36" s="123" t="s">
        <v>123</v>
      </c>
      <c r="D36" s="123" t="s">
        <v>127</v>
      </c>
      <c r="E36" s="124" t="s">
        <v>128</v>
      </c>
      <c r="F36" s="125" t="s">
        <v>129</v>
      </c>
      <c r="G36" s="126" t="s">
        <v>120</v>
      </c>
      <c r="H36" s="127">
        <v>265.30200000000002</v>
      </c>
      <c r="I36" s="128">
        <v>190.76</v>
      </c>
      <c r="J36" s="128">
        <v>50609.01</v>
      </c>
      <c r="K36" s="85">
        <f t="shared" si="6"/>
        <v>0.37</v>
      </c>
      <c r="L36" s="86">
        <f t="shared" si="1"/>
        <v>190.76</v>
      </c>
      <c r="M36" s="277">
        <f t="shared" si="2"/>
        <v>70.581199999999995</v>
      </c>
      <c r="N36" s="87">
        <f t="shared" si="3"/>
        <v>265.67200000000003</v>
      </c>
      <c r="O36" s="88">
        <f t="shared" si="4"/>
        <v>190.76</v>
      </c>
      <c r="P36" s="278">
        <f t="shared" si="5"/>
        <v>50679.59072</v>
      </c>
    </row>
    <row r="37" spans="1:34" s="110" customFormat="1" ht="12.75" x14ac:dyDescent="0.2">
      <c r="C37" s="245"/>
      <c r="D37" s="246" t="s">
        <v>3</v>
      </c>
      <c r="E37" s="247" t="s">
        <v>76</v>
      </c>
      <c r="F37" s="247" t="s">
        <v>130</v>
      </c>
      <c r="G37" s="245"/>
      <c r="H37" s="245"/>
      <c r="I37" s="245"/>
      <c r="J37" s="248">
        <v>8628.7000000000007</v>
      </c>
      <c r="K37" s="243"/>
      <c r="L37" s="244"/>
      <c r="M37" s="279">
        <f>M38</f>
        <v>12.165600000000001</v>
      </c>
      <c r="N37" s="280"/>
      <c r="O37" s="244"/>
      <c r="P37" s="279">
        <f>P38</f>
        <v>8640.8640000000014</v>
      </c>
    </row>
    <row r="38" spans="1:34" s="109" customFormat="1" ht="33.75" x14ac:dyDescent="0.2">
      <c r="A38" s="97"/>
      <c r="B38" s="116"/>
      <c r="C38" s="117" t="s">
        <v>126</v>
      </c>
      <c r="D38" s="117" t="s">
        <v>69</v>
      </c>
      <c r="E38" s="118" t="s">
        <v>132</v>
      </c>
      <c r="F38" s="119" t="s">
        <v>133</v>
      </c>
      <c r="G38" s="120" t="s">
        <v>61</v>
      </c>
      <c r="H38" s="121">
        <v>262.43</v>
      </c>
      <c r="I38" s="122">
        <v>32.880000000000003</v>
      </c>
      <c r="J38" s="122">
        <v>8628.7000000000007</v>
      </c>
      <c r="K38" s="85">
        <f t="shared" si="6"/>
        <v>0.37</v>
      </c>
      <c r="L38" s="86">
        <f t="shared" si="1"/>
        <v>32.880000000000003</v>
      </c>
      <c r="M38" s="277">
        <f t="shared" si="2"/>
        <v>12.165600000000001</v>
      </c>
      <c r="N38" s="87">
        <f t="shared" si="3"/>
        <v>262.8</v>
      </c>
      <c r="O38" s="88">
        <f t="shared" si="4"/>
        <v>32.880000000000003</v>
      </c>
      <c r="P38" s="278">
        <f t="shared" si="5"/>
        <v>8640.8640000000014</v>
      </c>
      <c r="AF38" s="150" t="s">
        <v>1215</v>
      </c>
      <c r="AG38" s="149" t="s">
        <v>1232</v>
      </c>
      <c r="AH38" s="150" t="s">
        <v>1248</v>
      </c>
    </row>
    <row r="39" spans="1:34" s="110" customFormat="1" ht="12.75" x14ac:dyDescent="0.2">
      <c r="C39" s="245"/>
      <c r="D39" s="246" t="s">
        <v>3</v>
      </c>
      <c r="E39" s="247" t="s">
        <v>73</v>
      </c>
      <c r="F39" s="247" t="s">
        <v>134</v>
      </c>
      <c r="G39" s="245"/>
      <c r="H39" s="245"/>
      <c r="I39" s="245"/>
      <c r="J39" s="248">
        <v>7972.9</v>
      </c>
      <c r="K39" s="243"/>
      <c r="L39" s="244"/>
      <c r="M39" s="279">
        <f>SUM(M40:M43)</f>
        <v>0</v>
      </c>
      <c r="N39" s="280"/>
      <c r="O39" s="244"/>
      <c r="P39" s="279">
        <f>SUM(P40:P43)</f>
        <v>7972.9</v>
      </c>
    </row>
    <row r="40" spans="1:34" s="109" customFormat="1" ht="24" x14ac:dyDescent="0.2">
      <c r="A40" s="97"/>
      <c r="B40" s="116"/>
      <c r="C40" s="117" t="s">
        <v>131</v>
      </c>
      <c r="D40" s="117" t="s">
        <v>69</v>
      </c>
      <c r="E40" s="118" t="s">
        <v>136</v>
      </c>
      <c r="F40" s="119" t="s">
        <v>137</v>
      </c>
      <c r="G40" s="120" t="s">
        <v>138</v>
      </c>
      <c r="H40" s="121">
        <v>10</v>
      </c>
      <c r="I40" s="122">
        <v>122.32</v>
      </c>
      <c r="J40" s="122">
        <v>1223.2</v>
      </c>
      <c r="K40" s="85">
        <v>0</v>
      </c>
      <c r="L40" s="86">
        <f t="shared" si="1"/>
        <v>122.32</v>
      </c>
      <c r="M40" s="277">
        <f t="shared" si="2"/>
        <v>0</v>
      </c>
      <c r="N40" s="87">
        <f t="shared" si="3"/>
        <v>10</v>
      </c>
      <c r="O40" s="88">
        <f t="shared" si="4"/>
        <v>122.32</v>
      </c>
      <c r="P40" s="278">
        <f t="shared" si="5"/>
        <v>1223.1999999999998</v>
      </c>
    </row>
    <row r="41" spans="1:34" s="109" customFormat="1" ht="12" x14ac:dyDescent="0.2">
      <c r="A41" s="97"/>
      <c r="B41" s="116"/>
      <c r="C41" s="123" t="s">
        <v>135</v>
      </c>
      <c r="D41" s="123" t="s">
        <v>127</v>
      </c>
      <c r="E41" s="124" t="s">
        <v>146</v>
      </c>
      <c r="F41" s="125" t="s">
        <v>147</v>
      </c>
      <c r="G41" s="126" t="s">
        <v>138</v>
      </c>
      <c r="H41" s="127">
        <v>10</v>
      </c>
      <c r="I41" s="128">
        <v>345.9</v>
      </c>
      <c r="J41" s="128">
        <v>3459</v>
      </c>
      <c r="K41" s="85">
        <v>0</v>
      </c>
      <c r="L41" s="86">
        <f t="shared" si="1"/>
        <v>345.9</v>
      </c>
      <c r="M41" s="277">
        <f t="shared" si="2"/>
        <v>0</v>
      </c>
      <c r="N41" s="87">
        <f t="shared" si="3"/>
        <v>10</v>
      </c>
      <c r="O41" s="88">
        <f t="shared" si="4"/>
        <v>345.9</v>
      </c>
      <c r="P41" s="278">
        <f t="shared" si="5"/>
        <v>3459</v>
      </c>
    </row>
    <row r="42" spans="1:34" s="109" customFormat="1" ht="24" x14ac:dyDescent="0.2">
      <c r="A42" s="97"/>
      <c r="B42" s="116"/>
      <c r="C42" s="117" t="s">
        <v>139</v>
      </c>
      <c r="D42" s="117" t="s">
        <v>69</v>
      </c>
      <c r="E42" s="118" t="s">
        <v>149</v>
      </c>
      <c r="F42" s="119" t="s">
        <v>150</v>
      </c>
      <c r="G42" s="120" t="s">
        <v>138</v>
      </c>
      <c r="H42" s="121">
        <v>6</v>
      </c>
      <c r="I42" s="122">
        <v>152.57</v>
      </c>
      <c r="J42" s="122">
        <v>915.42</v>
      </c>
      <c r="K42" s="85">
        <v>0</v>
      </c>
      <c r="L42" s="86">
        <f t="shared" si="1"/>
        <v>152.57</v>
      </c>
      <c r="M42" s="277">
        <f t="shared" si="2"/>
        <v>0</v>
      </c>
      <c r="N42" s="87">
        <f t="shared" si="3"/>
        <v>6</v>
      </c>
      <c r="O42" s="88">
        <f t="shared" si="4"/>
        <v>152.57</v>
      </c>
      <c r="P42" s="278">
        <f t="shared" si="5"/>
        <v>915.42</v>
      </c>
    </row>
    <row r="43" spans="1:34" s="109" customFormat="1" ht="12" x14ac:dyDescent="0.2">
      <c r="A43" s="97"/>
      <c r="B43" s="116"/>
      <c r="C43" s="123" t="s">
        <v>142</v>
      </c>
      <c r="D43" s="123" t="s">
        <v>127</v>
      </c>
      <c r="E43" s="124" t="s">
        <v>152</v>
      </c>
      <c r="F43" s="125" t="s">
        <v>153</v>
      </c>
      <c r="G43" s="126" t="s">
        <v>138</v>
      </c>
      <c r="H43" s="127">
        <v>6</v>
      </c>
      <c r="I43" s="128">
        <v>395.88</v>
      </c>
      <c r="J43" s="128">
        <v>2375.2800000000002</v>
      </c>
      <c r="K43" s="85">
        <v>0</v>
      </c>
      <c r="L43" s="86">
        <f t="shared" si="1"/>
        <v>395.88</v>
      </c>
      <c r="M43" s="277">
        <f t="shared" si="2"/>
        <v>0</v>
      </c>
      <c r="N43" s="87">
        <f t="shared" si="3"/>
        <v>6</v>
      </c>
      <c r="O43" s="88">
        <f t="shared" si="4"/>
        <v>395.88</v>
      </c>
      <c r="P43" s="278">
        <f t="shared" si="5"/>
        <v>2375.2799999999997</v>
      </c>
    </row>
    <row r="44" spans="1:34" s="110" customFormat="1" ht="12.75" x14ac:dyDescent="0.2">
      <c r="C44" s="245"/>
      <c r="D44" s="246" t="s">
        <v>3</v>
      </c>
      <c r="E44" s="247" t="s">
        <v>81</v>
      </c>
      <c r="F44" s="247" t="s">
        <v>154</v>
      </c>
      <c r="G44" s="245"/>
      <c r="H44" s="245"/>
      <c r="I44" s="245"/>
      <c r="J44" s="248">
        <v>450199.19000000006</v>
      </c>
      <c r="K44" s="243"/>
      <c r="L44" s="244"/>
      <c r="M44" s="279">
        <f>SUM(M45:M49)</f>
        <v>0</v>
      </c>
      <c r="N44" s="280"/>
      <c r="O44" s="244"/>
      <c r="P44" s="279">
        <f>SUM(P45:P49)</f>
        <v>450199.18985999993</v>
      </c>
    </row>
    <row r="45" spans="1:34" s="109" customFormat="1" ht="36" x14ac:dyDescent="0.2">
      <c r="A45" s="97"/>
      <c r="B45" s="116"/>
      <c r="C45" s="117" t="s">
        <v>145</v>
      </c>
      <c r="D45" s="117" t="s">
        <v>69</v>
      </c>
      <c r="E45" s="118" t="s">
        <v>156</v>
      </c>
      <c r="F45" s="119" t="s">
        <v>157</v>
      </c>
      <c r="G45" s="120" t="s">
        <v>72</v>
      </c>
      <c r="H45" s="121">
        <v>288.673</v>
      </c>
      <c r="I45" s="122">
        <v>319.88</v>
      </c>
      <c r="J45" s="122">
        <v>92340.72</v>
      </c>
      <c r="K45" s="85">
        <v>0</v>
      </c>
      <c r="L45" s="86">
        <f t="shared" si="1"/>
        <v>319.88</v>
      </c>
      <c r="M45" s="277">
        <f t="shared" si="2"/>
        <v>0</v>
      </c>
      <c r="N45" s="87">
        <f t="shared" si="3"/>
        <v>288.673</v>
      </c>
      <c r="O45" s="88">
        <f t="shared" si="4"/>
        <v>319.88</v>
      </c>
      <c r="P45" s="278">
        <f t="shared" si="5"/>
        <v>92340.719240000006</v>
      </c>
    </row>
    <row r="46" spans="1:34" s="109" customFormat="1" ht="24" x14ac:dyDescent="0.2">
      <c r="A46" s="97"/>
      <c r="B46" s="116"/>
      <c r="C46" s="117" t="s">
        <v>148</v>
      </c>
      <c r="D46" s="117" t="s">
        <v>69</v>
      </c>
      <c r="E46" s="118" t="s">
        <v>162</v>
      </c>
      <c r="F46" s="119" t="s">
        <v>163</v>
      </c>
      <c r="G46" s="120" t="s">
        <v>72</v>
      </c>
      <c r="H46" s="121">
        <v>288.673</v>
      </c>
      <c r="I46" s="122">
        <v>155.66999999999999</v>
      </c>
      <c r="J46" s="122">
        <v>44937.73</v>
      </c>
      <c r="K46" s="85">
        <v>0</v>
      </c>
      <c r="L46" s="86">
        <f t="shared" si="1"/>
        <v>155.66999999999999</v>
      </c>
      <c r="M46" s="277">
        <f t="shared" si="2"/>
        <v>0</v>
      </c>
      <c r="N46" s="87">
        <f t="shared" si="3"/>
        <v>288.673</v>
      </c>
      <c r="O46" s="88">
        <f t="shared" si="4"/>
        <v>155.66999999999999</v>
      </c>
      <c r="P46" s="278">
        <f t="shared" si="5"/>
        <v>44937.725909999994</v>
      </c>
    </row>
    <row r="47" spans="1:34" s="109" customFormat="1" ht="24" x14ac:dyDescent="0.2">
      <c r="A47" s="97"/>
      <c r="B47" s="116"/>
      <c r="C47" s="117" t="s">
        <v>151</v>
      </c>
      <c r="D47" s="117" t="s">
        <v>69</v>
      </c>
      <c r="E47" s="118" t="s">
        <v>168</v>
      </c>
      <c r="F47" s="119" t="s">
        <v>169</v>
      </c>
      <c r="G47" s="120" t="s">
        <v>72</v>
      </c>
      <c r="H47" s="121">
        <v>446.13099999999997</v>
      </c>
      <c r="I47" s="122">
        <v>18.04</v>
      </c>
      <c r="J47" s="122">
        <v>8048.2</v>
      </c>
      <c r="K47" s="85">
        <v>0</v>
      </c>
      <c r="L47" s="86">
        <f t="shared" si="1"/>
        <v>18.04</v>
      </c>
      <c r="M47" s="277">
        <f t="shared" si="2"/>
        <v>0</v>
      </c>
      <c r="N47" s="87">
        <f t="shared" si="3"/>
        <v>446.13099999999997</v>
      </c>
      <c r="O47" s="88">
        <f t="shared" si="4"/>
        <v>18.04</v>
      </c>
      <c r="P47" s="278">
        <f t="shared" si="5"/>
        <v>8048.2032399999989</v>
      </c>
    </row>
    <row r="48" spans="1:34" s="109" customFormat="1" ht="48" x14ac:dyDescent="0.2">
      <c r="A48" s="97"/>
      <c r="B48" s="116"/>
      <c r="C48" s="117" t="s">
        <v>155</v>
      </c>
      <c r="D48" s="117" t="s">
        <v>69</v>
      </c>
      <c r="E48" s="118" t="s">
        <v>171</v>
      </c>
      <c r="F48" s="119" t="s">
        <v>172</v>
      </c>
      <c r="G48" s="120" t="s">
        <v>72</v>
      </c>
      <c r="H48" s="121">
        <v>446.13099999999997</v>
      </c>
      <c r="I48" s="122">
        <v>396.71</v>
      </c>
      <c r="J48" s="122">
        <v>176984.63</v>
      </c>
      <c r="K48" s="85">
        <v>0</v>
      </c>
      <c r="L48" s="86">
        <f t="shared" si="1"/>
        <v>396.71</v>
      </c>
      <c r="M48" s="277">
        <f t="shared" si="2"/>
        <v>0</v>
      </c>
      <c r="N48" s="87">
        <f t="shared" si="3"/>
        <v>446.13099999999997</v>
      </c>
      <c r="O48" s="88">
        <f t="shared" si="4"/>
        <v>396.71</v>
      </c>
      <c r="P48" s="278">
        <f t="shared" si="5"/>
        <v>176984.62900999998</v>
      </c>
    </row>
    <row r="49" spans="1:34" s="109" customFormat="1" ht="36" x14ac:dyDescent="0.2">
      <c r="A49" s="97"/>
      <c r="B49" s="116"/>
      <c r="C49" s="117" t="s">
        <v>158</v>
      </c>
      <c r="D49" s="117" t="s">
        <v>69</v>
      </c>
      <c r="E49" s="118" t="s">
        <v>174</v>
      </c>
      <c r="F49" s="119" t="s">
        <v>175</v>
      </c>
      <c r="G49" s="120" t="s">
        <v>72</v>
      </c>
      <c r="H49" s="121">
        <v>288.673</v>
      </c>
      <c r="I49" s="122">
        <v>443.02</v>
      </c>
      <c r="J49" s="122">
        <v>127887.91</v>
      </c>
      <c r="K49" s="85">
        <v>0</v>
      </c>
      <c r="L49" s="86">
        <f t="shared" si="1"/>
        <v>443.02</v>
      </c>
      <c r="M49" s="277">
        <f t="shared" si="2"/>
        <v>0</v>
      </c>
      <c r="N49" s="87">
        <f t="shared" si="3"/>
        <v>288.673</v>
      </c>
      <c r="O49" s="88">
        <f t="shared" si="4"/>
        <v>443.02</v>
      </c>
      <c r="P49" s="278">
        <f t="shared" si="5"/>
        <v>127887.91245999999</v>
      </c>
    </row>
    <row r="50" spans="1:34" s="110" customFormat="1" ht="12.75" x14ac:dyDescent="0.2">
      <c r="C50" s="245"/>
      <c r="D50" s="246" t="s">
        <v>3</v>
      </c>
      <c r="E50" s="247" t="s">
        <v>90</v>
      </c>
      <c r="F50" s="247" t="s">
        <v>182</v>
      </c>
      <c r="G50" s="245"/>
      <c r="H50" s="245"/>
      <c r="I50" s="245"/>
      <c r="J50" s="248">
        <v>844353.73999999987</v>
      </c>
      <c r="K50" s="243"/>
      <c r="L50" s="244"/>
      <c r="M50" s="279">
        <f>SUM(M51:M67)</f>
        <v>789.22940000000006</v>
      </c>
      <c r="N50" s="280"/>
      <c r="O50" s="244"/>
      <c r="P50" s="279">
        <f>SUM(P51:P67)</f>
        <v>845142.96662000008</v>
      </c>
    </row>
    <row r="51" spans="1:34" s="109" customFormat="1" ht="36" x14ac:dyDescent="0.2">
      <c r="A51" s="97"/>
      <c r="B51" s="116"/>
      <c r="C51" s="117" t="s">
        <v>161</v>
      </c>
      <c r="D51" s="117" t="s">
        <v>69</v>
      </c>
      <c r="E51" s="118" t="s">
        <v>184</v>
      </c>
      <c r="F51" s="119" t="s">
        <v>185</v>
      </c>
      <c r="G51" s="120" t="s">
        <v>61</v>
      </c>
      <c r="H51" s="121">
        <v>262.43</v>
      </c>
      <c r="I51" s="122">
        <v>552.39</v>
      </c>
      <c r="J51" s="122">
        <v>144963.71</v>
      </c>
      <c r="K51" s="85">
        <f t="shared" ref="K51:K52" si="7">ROUND(262.8/262.43*H51-H51,2)</f>
        <v>0.37</v>
      </c>
      <c r="L51" s="86">
        <f t="shared" si="1"/>
        <v>552.39</v>
      </c>
      <c r="M51" s="277">
        <f t="shared" si="2"/>
        <v>204.3843</v>
      </c>
      <c r="N51" s="87">
        <f t="shared" si="3"/>
        <v>262.8</v>
      </c>
      <c r="O51" s="88">
        <f t="shared" si="4"/>
        <v>552.39</v>
      </c>
      <c r="P51" s="278">
        <f t="shared" si="5"/>
        <v>145168.092</v>
      </c>
    </row>
    <row r="52" spans="1:34" s="109" customFormat="1" ht="24" x14ac:dyDescent="0.2">
      <c r="A52" s="97"/>
      <c r="B52" s="116"/>
      <c r="C52" s="123" t="s">
        <v>164</v>
      </c>
      <c r="D52" s="123" t="s">
        <v>127</v>
      </c>
      <c r="E52" s="124" t="s">
        <v>187</v>
      </c>
      <c r="F52" s="125" t="s">
        <v>188</v>
      </c>
      <c r="G52" s="126" t="s">
        <v>61</v>
      </c>
      <c r="H52" s="127">
        <v>266.36599999999999</v>
      </c>
      <c r="I52" s="128">
        <v>1060.07</v>
      </c>
      <c r="J52" s="128">
        <v>282366.61</v>
      </c>
      <c r="K52" s="85">
        <f t="shared" si="7"/>
        <v>0.38</v>
      </c>
      <c r="L52" s="86">
        <f t="shared" si="1"/>
        <v>1060.07</v>
      </c>
      <c r="M52" s="277">
        <f t="shared" si="2"/>
        <v>402.82659999999998</v>
      </c>
      <c r="N52" s="87">
        <f t="shared" si="3"/>
        <v>266.74599999999998</v>
      </c>
      <c r="O52" s="88">
        <f t="shared" si="4"/>
        <v>1060.07</v>
      </c>
      <c r="P52" s="278">
        <f t="shared" si="5"/>
        <v>282769.43221999996</v>
      </c>
    </row>
    <row r="53" spans="1:34" s="109" customFormat="1" ht="36" x14ac:dyDescent="0.2">
      <c r="A53" s="97"/>
      <c r="B53" s="116"/>
      <c r="C53" s="117" t="s">
        <v>167</v>
      </c>
      <c r="D53" s="117" t="s">
        <v>69</v>
      </c>
      <c r="E53" s="118" t="s">
        <v>202</v>
      </c>
      <c r="F53" s="119" t="s">
        <v>203</v>
      </c>
      <c r="G53" s="120" t="s">
        <v>138</v>
      </c>
      <c r="H53" s="121">
        <v>12</v>
      </c>
      <c r="I53" s="122">
        <v>260.41000000000003</v>
      </c>
      <c r="J53" s="122">
        <v>3124.92</v>
      </c>
      <c r="K53" s="85">
        <v>0</v>
      </c>
      <c r="L53" s="86">
        <f t="shared" si="1"/>
        <v>260.41000000000003</v>
      </c>
      <c r="M53" s="277">
        <f t="shared" si="2"/>
        <v>0</v>
      </c>
      <c r="N53" s="87">
        <f t="shared" si="3"/>
        <v>12</v>
      </c>
      <c r="O53" s="88">
        <f t="shared" si="4"/>
        <v>260.41000000000003</v>
      </c>
      <c r="P53" s="278">
        <f t="shared" si="5"/>
        <v>3124.92</v>
      </c>
    </row>
    <row r="54" spans="1:34" s="109" customFormat="1" ht="36" x14ac:dyDescent="0.2">
      <c r="A54" s="97"/>
      <c r="B54" s="116"/>
      <c r="C54" s="123" t="s">
        <v>170</v>
      </c>
      <c r="D54" s="123" t="s">
        <v>127</v>
      </c>
      <c r="E54" s="124" t="s">
        <v>205</v>
      </c>
      <c r="F54" s="125" t="s">
        <v>206</v>
      </c>
      <c r="G54" s="126" t="s">
        <v>138</v>
      </c>
      <c r="H54" s="127">
        <v>12</v>
      </c>
      <c r="I54" s="128">
        <v>1801.85</v>
      </c>
      <c r="J54" s="128">
        <v>21622.2</v>
      </c>
      <c r="K54" s="85">
        <v>0</v>
      </c>
      <c r="L54" s="86">
        <f t="shared" si="1"/>
        <v>1801.85</v>
      </c>
      <c r="M54" s="277">
        <f t="shared" si="2"/>
        <v>0</v>
      </c>
      <c r="N54" s="87">
        <f t="shared" si="3"/>
        <v>12</v>
      </c>
      <c r="O54" s="88">
        <f t="shared" si="4"/>
        <v>1801.85</v>
      </c>
      <c r="P54" s="278">
        <f t="shared" si="5"/>
        <v>21622.199999999997</v>
      </c>
    </row>
    <row r="55" spans="1:34" s="109" customFormat="1" ht="24" x14ac:dyDescent="0.2">
      <c r="A55" s="97"/>
      <c r="B55" s="116"/>
      <c r="C55" s="117" t="s">
        <v>173</v>
      </c>
      <c r="D55" s="117" t="s">
        <v>69</v>
      </c>
      <c r="E55" s="118" t="s">
        <v>211</v>
      </c>
      <c r="F55" s="119" t="s">
        <v>212</v>
      </c>
      <c r="G55" s="120" t="s">
        <v>213</v>
      </c>
      <c r="H55" s="121">
        <v>5</v>
      </c>
      <c r="I55" s="122">
        <v>2564.6799999999998</v>
      </c>
      <c r="J55" s="122">
        <v>12823.4</v>
      </c>
      <c r="K55" s="85">
        <f t="shared" ref="K55" si="8">ROUND(262.8/262.43*H55-H55,2)</f>
        <v>0.01</v>
      </c>
      <c r="L55" s="86">
        <f t="shared" si="1"/>
        <v>2564.6799999999998</v>
      </c>
      <c r="M55" s="277">
        <f t="shared" si="2"/>
        <v>25.646799999999999</v>
      </c>
      <c r="N55" s="87">
        <f t="shared" si="3"/>
        <v>5.01</v>
      </c>
      <c r="O55" s="88">
        <f t="shared" si="4"/>
        <v>2564.6799999999998</v>
      </c>
      <c r="P55" s="278">
        <f t="shared" si="5"/>
        <v>12849.046799999998</v>
      </c>
      <c r="AF55" s="150" t="s">
        <v>1213</v>
      </c>
      <c r="AG55" s="149" t="s">
        <v>1231</v>
      </c>
      <c r="AH55" s="148" t="s">
        <v>1245</v>
      </c>
    </row>
    <row r="56" spans="1:34" s="109" customFormat="1" ht="24" x14ac:dyDescent="0.2">
      <c r="A56" s="97"/>
      <c r="B56" s="116"/>
      <c r="C56" s="117" t="s">
        <v>176</v>
      </c>
      <c r="D56" s="117" t="s">
        <v>69</v>
      </c>
      <c r="E56" s="118" t="s">
        <v>215</v>
      </c>
      <c r="F56" s="119" t="s">
        <v>216</v>
      </c>
      <c r="G56" s="120" t="s">
        <v>138</v>
      </c>
      <c r="H56" s="121">
        <v>8</v>
      </c>
      <c r="I56" s="122">
        <v>2016.23</v>
      </c>
      <c r="J56" s="122">
        <v>16129.84</v>
      </c>
      <c r="K56" s="85">
        <v>0</v>
      </c>
      <c r="L56" s="86">
        <f t="shared" si="1"/>
        <v>2016.23</v>
      </c>
      <c r="M56" s="277">
        <f t="shared" si="2"/>
        <v>0</v>
      </c>
      <c r="N56" s="87">
        <f t="shared" si="3"/>
        <v>8</v>
      </c>
      <c r="O56" s="88">
        <f t="shared" si="4"/>
        <v>2016.23</v>
      </c>
      <c r="P56" s="278">
        <f t="shared" si="5"/>
        <v>16129.84</v>
      </c>
    </row>
    <row r="57" spans="1:34" s="109" customFormat="1" ht="24" x14ac:dyDescent="0.2">
      <c r="A57" s="97"/>
      <c r="B57" s="116"/>
      <c r="C57" s="123" t="s">
        <v>179</v>
      </c>
      <c r="D57" s="123" t="s">
        <v>127</v>
      </c>
      <c r="E57" s="124" t="s">
        <v>221</v>
      </c>
      <c r="F57" s="125" t="s">
        <v>222</v>
      </c>
      <c r="G57" s="126" t="s">
        <v>138</v>
      </c>
      <c r="H57" s="127">
        <v>4</v>
      </c>
      <c r="I57" s="128">
        <v>14898.16</v>
      </c>
      <c r="J57" s="128">
        <v>59592.639999999999</v>
      </c>
      <c r="K57" s="85">
        <v>0</v>
      </c>
      <c r="L57" s="86">
        <f t="shared" si="1"/>
        <v>14898.16</v>
      </c>
      <c r="M57" s="277">
        <f t="shared" si="2"/>
        <v>0</v>
      </c>
      <c r="N57" s="87">
        <f t="shared" si="3"/>
        <v>4</v>
      </c>
      <c r="O57" s="88">
        <f t="shared" si="4"/>
        <v>14898.16</v>
      </c>
      <c r="P57" s="278">
        <f t="shared" si="5"/>
        <v>59592.639999999999</v>
      </c>
    </row>
    <row r="58" spans="1:34" s="109" customFormat="1" ht="24" x14ac:dyDescent="0.2">
      <c r="A58" s="97"/>
      <c r="B58" s="116"/>
      <c r="C58" s="123" t="s">
        <v>183</v>
      </c>
      <c r="D58" s="123" t="s">
        <v>127</v>
      </c>
      <c r="E58" s="124" t="s">
        <v>218</v>
      </c>
      <c r="F58" s="125" t="s">
        <v>219</v>
      </c>
      <c r="G58" s="126" t="s">
        <v>138</v>
      </c>
      <c r="H58" s="127">
        <v>4</v>
      </c>
      <c r="I58" s="128">
        <v>14898.16</v>
      </c>
      <c r="J58" s="128">
        <v>59592.639999999999</v>
      </c>
      <c r="K58" s="85">
        <v>0</v>
      </c>
      <c r="L58" s="86">
        <f t="shared" si="1"/>
        <v>14898.16</v>
      </c>
      <c r="M58" s="277">
        <f t="shared" si="2"/>
        <v>0</v>
      </c>
      <c r="N58" s="87">
        <f t="shared" si="3"/>
        <v>4</v>
      </c>
      <c r="O58" s="88">
        <f t="shared" si="4"/>
        <v>14898.16</v>
      </c>
      <c r="P58" s="278">
        <f t="shared" si="5"/>
        <v>59592.639999999999</v>
      </c>
    </row>
    <row r="59" spans="1:34" s="109" customFormat="1" ht="24" x14ac:dyDescent="0.2">
      <c r="A59" s="97"/>
      <c r="B59" s="116"/>
      <c r="C59" s="123" t="s">
        <v>186</v>
      </c>
      <c r="D59" s="123" t="s">
        <v>127</v>
      </c>
      <c r="E59" s="124" t="s">
        <v>224</v>
      </c>
      <c r="F59" s="125" t="s">
        <v>225</v>
      </c>
      <c r="G59" s="126" t="s">
        <v>138</v>
      </c>
      <c r="H59" s="127">
        <v>8</v>
      </c>
      <c r="I59" s="128">
        <v>1530.92</v>
      </c>
      <c r="J59" s="128">
        <v>12247.36</v>
      </c>
      <c r="K59" s="85">
        <v>0</v>
      </c>
      <c r="L59" s="86">
        <f t="shared" si="1"/>
        <v>1530.92</v>
      </c>
      <c r="M59" s="277">
        <f t="shared" si="2"/>
        <v>0</v>
      </c>
      <c r="N59" s="87">
        <f t="shared" si="3"/>
        <v>8</v>
      </c>
      <c r="O59" s="88">
        <f t="shared" si="4"/>
        <v>1530.92</v>
      </c>
      <c r="P59" s="278">
        <f t="shared" si="5"/>
        <v>12247.36</v>
      </c>
    </row>
    <row r="60" spans="1:34" s="109" customFormat="1" ht="24" x14ac:dyDescent="0.2">
      <c r="A60" s="97"/>
      <c r="B60" s="116"/>
      <c r="C60" s="123" t="s">
        <v>189</v>
      </c>
      <c r="D60" s="123" t="s">
        <v>127</v>
      </c>
      <c r="E60" s="124" t="s">
        <v>227</v>
      </c>
      <c r="F60" s="125" t="s">
        <v>228</v>
      </c>
      <c r="G60" s="126" t="s">
        <v>138</v>
      </c>
      <c r="H60" s="127">
        <v>1</v>
      </c>
      <c r="I60" s="128">
        <v>775.98</v>
      </c>
      <c r="J60" s="128">
        <v>775.98</v>
      </c>
      <c r="K60" s="85">
        <v>0</v>
      </c>
      <c r="L60" s="86">
        <f t="shared" si="1"/>
        <v>775.98</v>
      </c>
      <c r="M60" s="277">
        <f t="shared" si="2"/>
        <v>0</v>
      </c>
      <c r="N60" s="87">
        <f t="shared" si="3"/>
        <v>1</v>
      </c>
      <c r="O60" s="88">
        <f t="shared" si="4"/>
        <v>775.98</v>
      </c>
      <c r="P60" s="278">
        <f t="shared" si="5"/>
        <v>775.98</v>
      </c>
    </row>
    <row r="61" spans="1:34" s="109" customFormat="1" ht="24" x14ac:dyDescent="0.2">
      <c r="A61" s="97"/>
      <c r="B61" s="116"/>
      <c r="C61" s="123" t="s">
        <v>192</v>
      </c>
      <c r="D61" s="123" t="s">
        <v>127</v>
      </c>
      <c r="E61" s="124" t="s">
        <v>230</v>
      </c>
      <c r="F61" s="125" t="s">
        <v>231</v>
      </c>
      <c r="G61" s="126" t="s">
        <v>138</v>
      </c>
      <c r="H61" s="127">
        <v>8</v>
      </c>
      <c r="I61" s="128">
        <v>1202.1099999999999</v>
      </c>
      <c r="J61" s="128">
        <v>9616.8799999999992</v>
      </c>
      <c r="K61" s="85">
        <v>0</v>
      </c>
      <c r="L61" s="86">
        <f t="shared" si="1"/>
        <v>1202.1099999999999</v>
      </c>
      <c r="M61" s="277">
        <f t="shared" si="2"/>
        <v>0</v>
      </c>
      <c r="N61" s="87">
        <f t="shared" si="3"/>
        <v>8</v>
      </c>
      <c r="O61" s="88">
        <f t="shared" si="4"/>
        <v>1202.1099999999999</v>
      </c>
      <c r="P61" s="278">
        <f t="shared" si="5"/>
        <v>9616.8799999999992</v>
      </c>
    </row>
    <row r="62" spans="1:34" s="109" customFormat="1" ht="24" x14ac:dyDescent="0.2">
      <c r="A62" s="97"/>
      <c r="B62" s="116"/>
      <c r="C62" s="123" t="s">
        <v>195</v>
      </c>
      <c r="D62" s="123" t="s">
        <v>127</v>
      </c>
      <c r="E62" s="124" t="s">
        <v>236</v>
      </c>
      <c r="F62" s="125" t="s">
        <v>237</v>
      </c>
      <c r="G62" s="126" t="s">
        <v>138</v>
      </c>
      <c r="H62" s="127">
        <v>17</v>
      </c>
      <c r="I62" s="128">
        <v>211.75</v>
      </c>
      <c r="J62" s="128">
        <v>3599.75</v>
      </c>
      <c r="K62" s="85">
        <v>0</v>
      </c>
      <c r="L62" s="86">
        <f t="shared" si="1"/>
        <v>211.75</v>
      </c>
      <c r="M62" s="277">
        <f t="shared" si="2"/>
        <v>0</v>
      </c>
      <c r="N62" s="87">
        <f t="shared" si="3"/>
        <v>17</v>
      </c>
      <c r="O62" s="88">
        <f t="shared" si="4"/>
        <v>211.75</v>
      </c>
      <c r="P62" s="278">
        <f t="shared" si="5"/>
        <v>3599.75</v>
      </c>
    </row>
    <row r="63" spans="1:34" s="109" customFormat="1" ht="36" x14ac:dyDescent="0.2">
      <c r="A63" s="97"/>
      <c r="B63" s="116"/>
      <c r="C63" s="117" t="s">
        <v>198</v>
      </c>
      <c r="D63" s="117" t="s">
        <v>69</v>
      </c>
      <c r="E63" s="118" t="s">
        <v>239</v>
      </c>
      <c r="F63" s="119" t="s">
        <v>240</v>
      </c>
      <c r="G63" s="120" t="s">
        <v>138</v>
      </c>
      <c r="H63" s="121">
        <v>8</v>
      </c>
      <c r="I63" s="122">
        <v>5935.59</v>
      </c>
      <c r="J63" s="122">
        <v>47484.72</v>
      </c>
      <c r="K63" s="85">
        <v>0</v>
      </c>
      <c r="L63" s="86">
        <f t="shared" si="1"/>
        <v>5935.59</v>
      </c>
      <c r="M63" s="277">
        <f t="shared" si="2"/>
        <v>0</v>
      </c>
      <c r="N63" s="87">
        <f t="shared" si="3"/>
        <v>8</v>
      </c>
      <c r="O63" s="88">
        <f t="shared" si="4"/>
        <v>5935.59</v>
      </c>
      <c r="P63" s="278">
        <f t="shared" si="5"/>
        <v>47484.72</v>
      </c>
    </row>
    <row r="64" spans="1:34" s="109" customFormat="1" ht="24" x14ac:dyDescent="0.2">
      <c r="A64" s="97"/>
      <c r="B64" s="116"/>
      <c r="C64" s="117" t="s">
        <v>201</v>
      </c>
      <c r="D64" s="117" t="s">
        <v>69</v>
      </c>
      <c r="E64" s="118" t="s">
        <v>242</v>
      </c>
      <c r="F64" s="119" t="s">
        <v>243</v>
      </c>
      <c r="G64" s="120" t="s">
        <v>138</v>
      </c>
      <c r="H64" s="121">
        <v>8</v>
      </c>
      <c r="I64" s="122">
        <v>485.32</v>
      </c>
      <c r="J64" s="122">
        <v>3882.56</v>
      </c>
      <c r="K64" s="85">
        <v>0</v>
      </c>
      <c r="L64" s="86">
        <f t="shared" si="1"/>
        <v>485.32</v>
      </c>
      <c r="M64" s="277">
        <f t="shared" si="2"/>
        <v>0</v>
      </c>
      <c r="N64" s="87">
        <f t="shared" si="3"/>
        <v>8</v>
      </c>
      <c r="O64" s="88">
        <f t="shared" si="4"/>
        <v>485.32</v>
      </c>
      <c r="P64" s="278">
        <f t="shared" si="5"/>
        <v>3882.56</v>
      </c>
    </row>
    <row r="65" spans="1:34" s="109" customFormat="1" ht="12" x14ac:dyDescent="0.2">
      <c r="A65" s="97"/>
      <c r="B65" s="116"/>
      <c r="C65" s="123" t="s">
        <v>204</v>
      </c>
      <c r="D65" s="123" t="s">
        <v>127</v>
      </c>
      <c r="E65" s="124" t="s">
        <v>311</v>
      </c>
      <c r="F65" s="125" t="s">
        <v>312</v>
      </c>
      <c r="G65" s="126" t="s">
        <v>138</v>
      </c>
      <c r="H65" s="127">
        <v>8</v>
      </c>
      <c r="I65" s="128">
        <v>6510.34</v>
      </c>
      <c r="J65" s="128">
        <v>52082.720000000001</v>
      </c>
      <c r="K65" s="85">
        <v>0</v>
      </c>
      <c r="L65" s="86">
        <f t="shared" si="1"/>
        <v>6510.34</v>
      </c>
      <c r="M65" s="277">
        <f t="shared" si="2"/>
        <v>0</v>
      </c>
      <c r="N65" s="87">
        <f t="shared" si="3"/>
        <v>8</v>
      </c>
      <c r="O65" s="88">
        <f t="shared" si="4"/>
        <v>6510.34</v>
      </c>
      <c r="P65" s="278">
        <f t="shared" si="5"/>
        <v>52082.720000000001</v>
      </c>
    </row>
    <row r="66" spans="1:34" s="109" customFormat="1" ht="24" x14ac:dyDescent="0.2">
      <c r="A66" s="97"/>
      <c r="B66" s="116"/>
      <c r="C66" s="117" t="s">
        <v>207</v>
      </c>
      <c r="D66" s="117" t="s">
        <v>69</v>
      </c>
      <c r="E66" s="118" t="s">
        <v>254</v>
      </c>
      <c r="F66" s="119" t="s">
        <v>255</v>
      </c>
      <c r="G66" s="120" t="s">
        <v>62</v>
      </c>
      <c r="H66" s="121">
        <v>36.619999999999997</v>
      </c>
      <c r="I66" s="122">
        <v>3059.28</v>
      </c>
      <c r="J66" s="122">
        <v>112030.83</v>
      </c>
      <c r="K66" s="85">
        <f t="shared" ref="K66:K67" si="9">ROUND(262.8/262.43*H66-H66,2)</f>
        <v>0.05</v>
      </c>
      <c r="L66" s="86">
        <f t="shared" si="1"/>
        <v>3059.28</v>
      </c>
      <c r="M66" s="277">
        <f t="shared" si="2"/>
        <v>152.96400000000003</v>
      </c>
      <c r="N66" s="87">
        <f t="shared" si="3"/>
        <v>36.669999999999995</v>
      </c>
      <c r="O66" s="88">
        <f t="shared" si="4"/>
        <v>3059.28</v>
      </c>
      <c r="P66" s="278">
        <f t="shared" si="5"/>
        <v>112183.79759999999</v>
      </c>
    </row>
    <row r="67" spans="1:34" s="109" customFormat="1" ht="12" x14ac:dyDescent="0.2">
      <c r="A67" s="97"/>
      <c r="B67" s="116"/>
      <c r="C67" s="117" t="s">
        <v>210</v>
      </c>
      <c r="D67" s="117" t="s">
        <v>69</v>
      </c>
      <c r="E67" s="118" t="s">
        <v>266</v>
      </c>
      <c r="F67" s="119" t="s">
        <v>267</v>
      </c>
      <c r="G67" s="120" t="s">
        <v>61</v>
      </c>
      <c r="H67" s="121">
        <v>262.43</v>
      </c>
      <c r="I67" s="122">
        <v>9.2100000000000009</v>
      </c>
      <c r="J67" s="122">
        <v>2416.98</v>
      </c>
      <c r="K67" s="85">
        <f t="shared" si="9"/>
        <v>0.37</v>
      </c>
      <c r="L67" s="86">
        <f t="shared" si="1"/>
        <v>9.2100000000000009</v>
      </c>
      <c r="M67" s="277">
        <f t="shared" si="2"/>
        <v>3.4077000000000002</v>
      </c>
      <c r="N67" s="87">
        <f t="shared" si="3"/>
        <v>262.8</v>
      </c>
      <c r="O67" s="88">
        <f t="shared" si="4"/>
        <v>9.2100000000000009</v>
      </c>
      <c r="P67" s="278">
        <f t="shared" si="5"/>
        <v>2420.3880000000004</v>
      </c>
    </row>
    <row r="68" spans="1:34" s="110" customFormat="1" ht="12.75" x14ac:dyDescent="0.2">
      <c r="C68" s="245"/>
      <c r="D68" s="246" t="s">
        <v>3</v>
      </c>
      <c r="E68" s="247" t="s">
        <v>93</v>
      </c>
      <c r="F68" s="247" t="s">
        <v>268</v>
      </c>
      <c r="G68" s="245"/>
      <c r="H68" s="245"/>
      <c r="I68" s="245"/>
      <c r="J68" s="248">
        <v>169020.46000000002</v>
      </c>
      <c r="K68" s="243"/>
      <c r="L68" s="244"/>
      <c r="M68" s="279">
        <f>SUM(M69:M72)</f>
        <v>0</v>
      </c>
      <c r="N68" s="280"/>
      <c r="O68" s="244"/>
      <c r="P68" s="279">
        <f>SUM(P69:P72)</f>
        <v>169020.46220000001</v>
      </c>
    </row>
    <row r="69" spans="1:34" s="109" customFormat="1" ht="48" x14ac:dyDescent="0.2">
      <c r="A69" s="97"/>
      <c r="B69" s="116"/>
      <c r="C69" s="117" t="s">
        <v>214</v>
      </c>
      <c r="D69" s="117" t="s">
        <v>69</v>
      </c>
      <c r="E69" s="118" t="s">
        <v>270</v>
      </c>
      <c r="F69" s="119" t="s">
        <v>271</v>
      </c>
      <c r="G69" s="120" t="s">
        <v>61</v>
      </c>
      <c r="H69" s="121">
        <v>524.86</v>
      </c>
      <c r="I69" s="122">
        <v>87.65</v>
      </c>
      <c r="J69" s="122">
        <v>46003.98</v>
      </c>
      <c r="K69" s="85">
        <v>0</v>
      </c>
      <c r="L69" s="86">
        <f t="shared" si="1"/>
        <v>87.65</v>
      </c>
      <c r="M69" s="277">
        <f t="shared" si="2"/>
        <v>0</v>
      </c>
      <c r="N69" s="87">
        <f t="shared" si="3"/>
        <v>524.86</v>
      </c>
      <c r="O69" s="88">
        <f t="shared" si="4"/>
        <v>87.65</v>
      </c>
      <c r="P69" s="278">
        <f t="shared" si="5"/>
        <v>46003.979000000007</v>
      </c>
    </row>
    <row r="70" spans="1:34" s="109" customFormat="1" ht="36" x14ac:dyDescent="0.2">
      <c r="A70" s="97"/>
      <c r="B70" s="116"/>
      <c r="C70" s="117" t="s">
        <v>217</v>
      </c>
      <c r="D70" s="117" t="s">
        <v>69</v>
      </c>
      <c r="E70" s="118" t="s">
        <v>273</v>
      </c>
      <c r="F70" s="119" t="s">
        <v>274</v>
      </c>
      <c r="G70" s="120" t="s">
        <v>61</v>
      </c>
      <c r="H70" s="121">
        <v>1049.72</v>
      </c>
      <c r="I70" s="122">
        <v>32.22</v>
      </c>
      <c r="J70" s="122">
        <v>33821.980000000003</v>
      </c>
      <c r="K70" s="85">
        <v>0</v>
      </c>
      <c r="L70" s="86">
        <f t="shared" si="1"/>
        <v>32.22</v>
      </c>
      <c r="M70" s="277">
        <f t="shared" si="2"/>
        <v>0</v>
      </c>
      <c r="N70" s="87">
        <f t="shared" si="3"/>
        <v>1049.72</v>
      </c>
      <c r="O70" s="88">
        <f t="shared" si="4"/>
        <v>32.22</v>
      </c>
      <c r="P70" s="278">
        <f t="shared" si="5"/>
        <v>33821.9784</v>
      </c>
    </row>
    <row r="71" spans="1:34" s="109" customFormat="1" ht="24" x14ac:dyDescent="0.2">
      <c r="A71" s="97"/>
      <c r="B71" s="116"/>
      <c r="C71" s="117" t="s">
        <v>220</v>
      </c>
      <c r="D71" s="117" t="s">
        <v>69</v>
      </c>
      <c r="E71" s="118" t="s">
        <v>276</v>
      </c>
      <c r="F71" s="119" t="s">
        <v>277</v>
      </c>
      <c r="G71" s="120" t="s">
        <v>61</v>
      </c>
      <c r="H71" s="121">
        <v>1049.72</v>
      </c>
      <c r="I71" s="122">
        <v>72.34</v>
      </c>
      <c r="J71" s="122">
        <v>75936.740000000005</v>
      </c>
      <c r="K71" s="85">
        <v>0</v>
      </c>
      <c r="L71" s="86">
        <f t="shared" si="1"/>
        <v>72.34</v>
      </c>
      <c r="M71" s="277">
        <f t="shared" si="2"/>
        <v>0</v>
      </c>
      <c r="N71" s="87">
        <f t="shared" si="3"/>
        <v>1049.72</v>
      </c>
      <c r="O71" s="88">
        <f t="shared" si="4"/>
        <v>72.34</v>
      </c>
      <c r="P71" s="278">
        <f t="shared" si="5"/>
        <v>75936.7448</v>
      </c>
    </row>
    <row r="72" spans="1:34" s="109" customFormat="1" ht="48" x14ac:dyDescent="0.2">
      <c r="A72" s="97"/>
      <c r="B72" s="116"/>
      <c r="C72" s="117" t="s">
        <v>223</v>
      </c>
      <c r="D72" s="117" t="s">
        <v>69</v>
      </c>
      <c r="E72" s="118" t="s">
        <v>279</v>
      </c>
      <c r="F72" s="119" t="s">
        <v>280</v>
      </c>
      <c r="G72" s="120" t="s">
        <v>138</v>
      </c>
      <c r="H72" s="121">
        <v>8</v>
      </c>
      <c r="I72" s="122">
        <v>1657.22</v>
      </c>
      <c r="J72" s="122">
        <v>13257.76</v>
      </c>
      <c r="K72" s="85">
        <v>0</v>
      </c>
      <c r="L72" s="86">
        <f t="shared" si="1"/>
        <v>1657.22</v>
      </c>
      <c r="M72" s="277">
        <f t="shared" si="2"/>
        <v>0</v>
      </c>
      <c r="N72" s="87">
        <f t="shared" si="3"/>
        <v>8</v>
      </c>
      <c r="O72" s="88">
        <f t="shared" si="4"/>
        <v>1657.22</v>
      </c>
      <c r="P72" s="278">
        <f t="shared" si="5"/>
        <v>13257.76</v>
      </c>
    </row>
    <row r="73" spans="1:34" s="110" customFormat="1" ht="12.75" x14ac:dyDescent="0.2">
      <c r="C73" s="245"/>
      <c r="D73" s="246" t="s">
        <v>3</v>
      </c>
      <c r="E73" s="247" t="s">
        <v>281</v>
      </c>
      <c r="F73" s="247" t="s">
        <v>282</v>
      </c>
      <c r="G73" s="245"/>
      <c r="H73" s="245"/>
      <c r="I73" s="245"/>
      <c r="J73" s="248">
        <v>94986.62</v>
      </c>
      <c r="K73" s="243"/>
      <c r="L73" s="244"/>
      <c r="M73" s="279">
        <f>SUM(M74:M76)</f>
        <v>103.6722</v>
      </c>
      <c r="N73" s="280"/>
      <c r="O73" s="244"/>
      <c r="P73" s="279">
        <f>SUM(P74:P76)</f>
        <v>95090.300430000003</v>
      </c>
    </row>
    <row r="74" spans="1:34" s="109" customFormat="1" ht="36" x14ac:dyDescent="0.2">
      <c r="A74" s="97"/>
      <c r="B74" s="116"/>
      <c r="C74" s="117" t="s">
        <v>226</v>
      </c>
      <c r="D74" s="117" t="s">
        <v>69</v>
      </c>
      <c r="E74" s="118" t="s">
        <v>284</v>
      </c>
      <c r="F74" s="119" t="s">
        <v>285</v>
      </c>
      <c r="G74" s="120" t="s">
        <v>120</v>
      </c>
      <c r="H74" s="121">
        <v>296.12599999999998</v>
      </c>
      <c r="I74" s="122">
        <v>136.36000000000001</v>
      </c>
      <c r="J74" s="122">
        <v>40379.74</v>
      </c>
      <c r="K74" s="85">
        <f t="shared" ref="K74" si="10">ROUND(262.8/262.43*H74-H74,2)</f>
        <v>0.42</v>
      </c>
      <c r="L74" s="86">
        <f t="shared" si="1"/>
        <v>136.36000000000001</v>
      </c>
      <c r="M74" s="277">
        <f t="shared" si="2"/>
        <v>57.2712</v>
      </c>
      <c r="N74" s="87">
        <f t="shared" si="3"/>
        <v>296.54599999999999</v>
      </c>
      <c r="O74" s="88">
        <f t="shared" si="4"/>
        <v>136.36000000000001</v>
      </c>
      <c r="P74" s="278">
        <f t="shared" si="5"/>
        <v>40437.012560000003</v>
      </c>
      <c r="AF74" s="327" t="s">
        <v>1136</v>
      </c>
      <c r="AG74" s="335" t="s">
        <v>1230</v>
      </c>
      <c r="AH74" s="327" t="s">
        <v>1246</v>
      </c>
    </row>
    <row r="75" spans="1:34" s="109" customFormat="1" ht="48" x14ac:dyDescent="0.2">
      <c r="A75" s="97"/>
      <c r="B75" s="116"/>
      <c r="C75" s="117" t="s">
        <v>229</v>
      </c>
      <c r="D75" s="117" t="s">
        <v>69</v>
      </c>
      <c r="E75" s="118" t="s">
        <v>287</v>
      </c>
      <c r="F75" s="119" t="s">
        <v>288</v>
      </c>
      <c r="G75" s="120" t="s">
        <v>120</v>
      </c>
      <c r="H75" s="121">
        <v>85.394999999999996</v>
      </c>
      <c r="I75" s="122">
        <v>257.77999999999997</v>
      </c>
      <c r="J75" s="122">
        <v>22013.119999999999</v>
      </c>
      <c r="K75" s="85">
        <v>0</v>
      </c>
      <c r="L75" s="86">
        <f t="shared" si="1"/>
        <v>257.77999999999997</v>
      </c>
      <c r="M75" s="277">
        <f t="shared" si="2"/>
        <v>0</v>
      </c>
      <c r="N75" s="87">
        <f t="shared" si="3"/>
        <v>85.394999999999996</v>
      </c>
      <c r="O75" s="88">
        <f t="shared" si="4"/>
        <v>257.77999999999997</v>
      </c>
      <c r="P75" s="278">
        <f t="shared" si="5"/>
        <v>22013.123099999997</v>
      </c>
      <c r="AF75" s="327"/>
      <c r="AG75" s="335"/>
      <c r="AH75" s="327"/>
    </row>
    <row r="76" spans="1:34" s="109" customFormat="1" ht="36" x14ac:dyDescent="0.2">
      <c r="A76" s="97"/>
      <c r="B76" s="116"/>
      <c r="C76" s="117" t="s">
        <v>232</v>
      </c>
      <c r="D76" s="117" t="s">
        <v>69</v>
      </c>
      <c r="E76" s="118" t="s">
        <v>290</v>
      </c>
      <c r="F76" s="119" t="s">
        <v>119</v>
      </c>
      <c r="G76" s="120" t="s">
        <v>120</v>
      </c>
      <c r="H76" s="121">
        <v>210.73099999999999</v>
      </c>
      <c r="I76" s="122">
        <v>154.66999999999999</v>
      </c>
      <c r="J76" s="122">
        <v>32593.759999999998</v>
      </c>
      <c r="K76" s="85">
        <f t="shared" ref="K76" si="11">ROUND(262.8/262.43*H76-H76,2)</f>
        <v>0.3</v>
      </c>
      <c r="L76" s="86">
        <f t="shared" si="1"/>
        <v>154.66999999999999</v>
      </c>
      <c r="M76" s="277">
        <f t="shared" si="2"/>
        <v>46.400999999999996</v>
      </c>
      <c r="N76" s="87">
        <f t="shared" si="3"/>
        <v>211.03100000000001</v>
      </c>
      <c r="O76" s="88">
        <f t="shared" si="4"/>
        <v>154.66999999999999</v>
      </c>
      <c r="P76" s="278">
        <f t="shared" si="5"/>
        <v>32640.164769999999</v>
      </c>
      <c r="AA76" s="148" t="s">
        <v>1137</v>
      </c>
      <c r="AF76" s="327"/>
      <c r="AH76" s="327"/>
    </row>
    <row r="77" spans="1:34" s="110" customFormat="1" ht="12.75" x14ac:dyDescent="0.2">
      <c r="C77" s="245"/>
      <c r="D77" s="246" t="s">
        <v>3</v>
      </c>
      <c r="E77" s="247" t="s">
        <v>291</v>
      </c>
      <c r="F77" s="247" t="s">
        <v>292</v>
      </c>
      <c r="G77" s="245"/>
      <c r="H77" s="245"/>
      <c r="I77" s="245"/>
      <c r="J77" s="248">
        <v>8710.11</v>
      </c>
      <c r="K77" s="243"/>
      <c r="L77" s="244"/>
      <c r="M77" s="279">
        <f>M78</f>
        <v>12.5862</v>
      </c>
      <c r="N77" s="280"/>
      <c r="O77" s="244"/>
      <c r="P77" s="279">
        <f>P78</f>
        <v>8722.6942799999997</v>
      </c>
    </row>
    <row r="78" spans="1:34" s="109" customFormat="1" ht="36" x14ac:dyDescent="0.2">
      <c r="A78" s="97"/>
      <c r="B78" s="116"/>
      <c r="C78" s="117" t="s">
        <v>235</v>
      </c>
      <c r="D78" s="117" t="s">
        <v>69</v>
      </c>
      <c r="E78" s="118" t="s">
        <v>294</v>
      </c>
      <c r="F78" s="119" t="s">
        <v>295</v>
      </c>
      <c r="G78" s="120" t="s">
        <v>120</v>
      </c>
      <c r="H78" s="121">
        <v>76.123999999999995</v>
      </c>
      <c r="I78" s="122">
        <v>114.42</v>
      </c>
      <c r="J78" s="122">
        <v>8710.11</v>
      </c>
      <c r="K78" s="85">
        <f t="shared" ref="K78" si="12">ROUND(262.8/262.43*H78-H78,2)</f>
        <v>0.11</v>
      </c>
      <c r="L78" s="86">
        <f t="shared" si="1"/>
        <v>114.42</v>
      </c>
      <c r="M78" s="277">
        <f t="shared" si="2"/>
        <v>12.5862</v>
      </c>
      <c r="N78" s="87">
        <f t="shared" si="3"/>
        <v>76.233999999999995</v>
      </c>
      <c r="O78" s="88">
        <f t="shared" si="4"/>
        <v>114.42</v>
      </c>
      <c r="P78" s="278">
        <f t="shared" si="5"/>
        <v>8722.6942799999997</v>
      </c>
      <c r="AF78" s="150" t="s">
        <v>1214</v>
      </c>
      <c r="AG78" s="205" t="s">
        <v>1228</v>
      </c>
      <c r="AH78" s="109" t="s">
        <v>1102</v>
      </c>
    </row>
    <row r="79" spans="1:34" x14ac:dyDescent="0.2">
      <c r="AG79" s="60" t="s">
        <v>1229</v>
      </c>
    </row>
    <row r="80" spans="1:34" ht="18" customHeight="1" x14ac:dyDescent="0.2">
      <c r="D80" s="89"/>
      <c r="E80" s="141" t="str">
        <f>CONCATENATE("CELKEM ",C12)</f>
        <v>CELKEM 08 - SO 01.H - Stoka A.2.1</v>
      </c>
      <c r="F80" s="90"/>
      <c r="G80" s="90"/>
      <c r="H80" s="91"/>
      <c r="I80" s="90"/>
      <c r="J80" s="92">
        <v>2501731.9700000002</v>
      </c>
      <c r="K80" s="94"/>
      <c r="L80" s="92"/>
      <c r="M80" s="147">
        <f>M77+M73+M68+M50+M44+M39+M37+M14</f>
        <v>2131.37</v>
      </c>
      <c r="N80" s="147"/>
      <c r="O80" s="147"/>
      <c r="P80" s="147">
        <f t="shared" ref="P80" si="13">P77+P73+P68+P50+P44+P39+P37+P14</f>
        <v>2503863.3169400003</v>
      </c>
    </row>
    <row r="81" spans="5:11" x14ac:dyDescent="0.2">
      <c r="I81" s="95"/>
    </row>
    <row r="82" spans="5:11" ht="14.25" x14ac:dyDescent="0.2">
      <c r="E82" s="58" t="s">
        <v>994</v>
      </c>
      <c r="F82" s="58"/>
      <c r="H82" s="96"/>
      <c r="J82" s="161"/>
      <c r="K82" s="58" t="s">
        <v>995</v>
      </c>
    </row>
  </sheetData>
  <protectedRanges>
    <protectedRange password="CCAA" sqref="K8" name="Oblast1_1_1_1"/>
    <protectedRange password="CCAA" sqref="D9:H10" name="Oblast1_2_1_1"/>
  </protectedRanges>
  <autoFilter ref="C10:P78" xr:uid="{00000000-0001-0000-0800-000000000000}"/>
  <mergeCells count="9">
    <mergeCell ref="K9:M9"/>
    <mergeCell ref="N9:P9"/>
    <mergeCell ref="AH74:AH76"/>
    <mergeCell ref="AH26:AH27"/>
    <mergeCell ref="AG74:AG75"/>
    <mergeCell ref="AG26:AG27"/>
    <mergeCell ref="AF26:AF27"/>
    <mergeCell ref="AF74:AF76"/>
    <mergeCell ref="R12:R13"/>
  </mergeCells>
  <conditionalFormatting sqref="D3:E7 H3:J7 K8:GF8 D1:J2 Q9:GF10 K1:GE7 K14:L78">
    <cfRule type="cellIs" dxfId="256" priority="90" operator="lessThan">
      <formula>0</formula>
    </cfRule>
  </conditionalFormatting>
  <conditionalFormatting sqref="G4">
    <cfRule type="cellIs" dxfId="255" priority="89" operator="lessThan">
      <formula>0</formula>
    </cfRule>
  </conditionalFormatting>
  <conditionalFormatting sqref="G3">
    <cfRule type="cellIs" dxfId="254" priority="88" operator="lessThan">
      <formula>0</formula>
    </cfRule>
  </conditionalFormatting>
  <conditionalFormatting sqref="D8:E8 H8:J8">
    <cfRule type="cellIs" dxfId="253" priority="87" operator="lessThan">
      <formula>0</formula>
    </cfRule>
  </conditionalFormatting>
  <conditionalFormatting sqref="N15:O78">
    <cfRule type="cellIs" dxfId="252" priority="38" operator="lessThan">
      <formula>0</formula>
    </cfRule>
  </conditionalFormatting>
  <conditionalFormatting sqref="N15:O78">
    <cfRule type="cellIs" dxfId="251" priority="37" operator="lessThan">
      <formula>0</formula>
    </cfRule>
  </conditionalFormatting>
  <conditionalFormatting sqref="K80 Q80:GP80">
    <cfRule type="cellIs" dxfId="250" priority="36" operator="lessThan">
      <formula>0</formula>
    </cfRule>
  </conditionalFormatting>
  <conditionalFormatting sqref="D80 F80:J80">
    <cfRule type="cellIs" dxfId="249" priority="34" operator="lessThan">
      <formula>0</formula>
    </cfRule>
  </conditionalFormatting>
  <conditionalFormatting sqref="L82:HS82 D82 G82:I82">
    <cfRule type="cellIs" dxfId="248" priority="24" operator="lessThan">
      <formula>0</formula>
    </cfRule>
  </conditionalFormatting>
  <conditionalFormatting sqref="G82:I82 L82:M82">
    <cfRule type="cellIs" dxfId="247" priority="23" operator="lessThan">
      <formula>0</formula>
    </cfRule>
  </conditionalFormatting>
  <conditionalFormatting sqref="G82:I82">
    <cfRule type="cellIs" dxfId="246" priority="22" operator="lessThan">
      <formula>0</formula>
    </cfRule>
  </conditionalFormatting>
  <conditionalFormatting sqref="G82:I82">
    <cfRule type="cellIs" dxfId="245" priority="21" operator="lessThan">
      <formula>0</formula>
    </cfRule>
  </conditionalFormatting>
  <conditionalFormatting sqref="M80:P80">
    <cfRule type="cellIs" dxfId="244" priority="11" operator="lessThan">
      <formula>0</formula>
    </cfRule>
  </conditionalFormatting>
  <conditionalFormatting sqref="L80">
    <cfRule type="cellIs" dxfId="243" priority="8" operator="lessThan">
      <formula>0</formula>
    </cfRule>
  </conditionalFormatting>
  <conditionalFormatting sqref="E80">
    <cfRule type="cellIs" dxfId="242" priority="7" operator="lessThan">
      <formula>0</formula>
    </cfRule>
  </conditionalFormatting>
  <conditionalFormatting sqref="D9:J10">
    <cfRule type="cellIs" dxfId="241" priority="5" operator="lessThan">
      <formula>0</formula>
    </cfRule>
  </conditionalFormatting>
  <conditionalFormatting sqref="N9">
    <cfRule type="cellIs" dxfId="240" priority="4" operator="lessThan">
      <formula>0</formula>
    </cfRule>
  </conditionalFormatting>
  <conditionalFormatting sqref="K10:L10 K9">
    <cfRule type="cellIs" dxfId="239" priority="3" operator="lessThan">
      <formula>0</formula>
    </cfRule>
  </conditionalFormatting>
  <conditionalFormatting sqref="M10:N10">
    <cfRule type="cellIs" dxfId="238" priority="2" operator="lessThan">
      <formula>0</formula>
    </cfRule>
  </conditionalFormatting>
  <conditionalFormatting sqref="O10:P10">
    <cfRule type="cellIs" dxfId="237" priority="1" operator="lessThan">
      <formula>0</formula>
    </cfRule>
  </conditionalFormatting>
  <pageMargins left="0.39370078740157483" right="0.39370078740157483" top="0.39370078740157483" bottom="0.39370078740157483" header="0" footer="0"/>
  <pageSetup paperSize="9" scale="54" fitToHeight="0" orientation="portrait" r:id="rId1"/>
  <headerFooter>
    <oddFooter>&amp;CStrana &amp;P z &amp;N</oddFooter>
  </headerFooter>
  <rowBreaks count="1" manualBreakCount="1">
    <brk id="49" min="1" max="15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34</vt:i4>
      </vt:variant>
      <vt:variant>
        <vt:lpstr>Pojmenované oblasti</vt:lpstr>
      </vt:variant>
      <vt:variant>
        <vt:i4>68</vt:i4>
      </vt:variant>
    </vt:vector>
  </HeadingPairs>
  <TitlesOfParts>
    <vt:vector size="102" baseType="lpstr">
      <vt:lpstr>Rekapitulace stavby</vt:lpstr>
      <vt:lpstr>01 - SO 01.A - Stoka A.0 </vt:lpstr>
      <vt:lpstr>02 - SO 01.B - Stoka A.0.1</vt:lpstr>
      <vt:lpstr>03 - SO 01.C - Stoka A</vt:lpstr>
      <vt:lpstr>05 - SO 01.E - Stoka A.1.1</vt:lpstr>
      <vt:lpstr>04 - SO 01.D - Stoka A.1</vt:lpstr>
      <vt:lpstr>06 - SO 01.F - Stoka A.1.2</vt:lpstr>
      <vt:lpstr>07 - SO 01.G - Stoka A.2</vt:lpstr>
      <vt:lpstr>08 - SO 01.H - Stoka A.2.1</vt:lpstr>
      <vt:lpstr>09 - SO 01.I - Stoka A.3</vt:lpstr>
      <vt:lpstr>10 - SO 01.J - Stoka A.4</vt:lpstr>
      <vt:lpstr>11 - SO 01.J - Stoka A.4.1</vt:lpstr>
      <vt:lpstr>12 - SO 01.K - Stoka A.5</vt:lpstr>
      <vt:lpstr>13 - SO 01.L - Stoka B</vt:lpstr>
      <vt:lpstr>14 - SO 01.M - Stoka B.1</vt:lpstr>
      <vt:lpstr>15 - SO 01.N - Stoka B.2</vt:lpstr>
      <vt:lpstr>16 - SO 01.O - Stoka B.2.1</vt:lpstr>
      <vt:lpstr>17 - SO 01.P - Stoka B.3</vt:lpstr>
      <vt:lpstr>18 - SO 01.L - Stoka B.4</vt:lpstr>
      <vt:lpstr>01 - SAO 01.1.A - Tlaková...</vt:lpstr>
      <vt:lpstr>01 - SO 02.A - ČSOV 1 - s...</vt:lpstr>
      <vt:lpstr>02 - SO 02.B - Výtlačný ř...</vt:lpstr>
      <vt:lpstr>03 - PS 02.1 - Strojně te...</vt:lpstr>
      <vt:lpstr>04 - PS 02.2 - Elektrotec...</vt:lpstr>
      <vt:lpstr>05 - PS 02.3 - Systém říz...</vt:lpstr>
      <vt:lpstr>04 - SO 02.1 - Přípojka N...</vt:lpstr>
      <vt:lpstr>05 - SO 02.2 - Výtlačný ř...</vt:lpstr>
      <vt:lpstr>01 - SO 03.A - ČSOV 2 - s...</vt:lpstr>
      <vt:lpstr>02 - SO 03.B - Výtlačný ř...</vt:lpstr>
      <vt:lpstr>03 - PS 03.1 - Strojně te...</vt:lpstr>
      <vt:lpstr>04 - PS 03.2 - Elektrotec...</vt:lpstr>
      <vt:lpstr>05 - PS 03.3 - Systém říz...</vt:lpstr>
      <vt:lpstr>07 - SO 03.1 - Přípojka N...</vt:lpstr>
      <vt:lpstr>08 - VRN</vt:lpstr>
      <vt:lpstr>'01 - SAO 01.1.A - Tlaková...'!Názvy_tisku</vt:lpstr>
      <vt:lpstr>'01 - SO 01.A - Stoka A.0 '!Názvy_tisku</vt:lpstr>
      <vt:lpstr>'01 - SO 02.A - ČSOV 1 - s...'!Názvy_tisku</vt:lpstr>
      <vt:lpstr>'01 - SO 03.A - ČSOV 2 - s...'!Názvy_tisku</vt:lpstr>
      <vt:lpstr>'02 - SO 01.B - Stoka A.0.1'!Názvy_tisku</vt:lpstr>
      <vt:lpstr>'02 - SO 02.B - Výtlačný ř...'!Názvy_tisku</vt:lpstr>
      <vt:lpstr>'02 - SO 03.B - Výtlačný ř...'!Názvy_tisku</vt:lpstr>
      <vt:lpstr>'03 - PS 02.1 - Strojně te...'!Názvy_tisku</vt:lpstr>
      <vt:lpstr>'03 - PS 03.1 - Strojně te...'!Názvy_tisku</vt:lpstr>
      <vt:lpstr>'03 - SO 01.C - Stoka A'!Názvy_tisku</vt:lpstr>
      <vt:lpstr>'04 - PS 02.2 - Elektrotec...'!Názvy_tisku</vt:lpstr>
      <vt:lpstr>'04 - PS 03.2 - Elektrotec...'!Názvy_tisku</vt:lpstr>
      <vt:lpstr>'04 - SO 01.D - Stoka A.1'!Názvy_tisku</vt:lpstr>
      <vt:lpstr>'04 - SO 02.1 - Přípojka N...'!Názvy_tisku</vt:lpstr>
      <vt:lpstr>'05 - PS 02.3 - Systém říz...'!Názvy_tisku</vt:lpstr>
      <vt:lpstr>'05 - PS 03.3 - Systém říz...'!Názvy_tisku</vt:lpstr>
      <vt:lpstr>'05 - SO 01.E - Stoka A.1.1'!Názvy_tisku</vt:lpstr>
      <vt:lpstr>'05 - SO 02.2 - Výtlačný ř...'!Názvy_tisku</vt:lpstr>
      <vt:lpstr>'06 - SO 01.F - Stoka A.1.2'!Názvy_tisku</vt:lpstr>
      <vt:lpstr>'07 - SO 01.G - Stoka A.2'!Názvy_tisku</vt:lpstr>
      <vt:lpstr>'07 - SO 03.1 - Přípojka N...'!Názvy_tisku</vt:lpstr>
      <vt:lpstr>'08 - SO 01.H - Stoka A.2.1'!Názvy_tisku</vt:lpstr>
      <vt:lpstr>'08 - VRN'!Názvy_tisku</vt:lpstr>
      <vt:lpstr>'09 - SO 01.I - Stoka A.3'!Názvy_tisku</vt:lpstr>
      <vt:lpstr>'10 - SO 01.J - Stoka A.4'!Názvy_tisku</vt:lpstr>
      <vt:lpstr>'11 - SO 01.J - Stoka A.4.1'!Názvy_tisku</vt:lpstr>
      <vt:lpstr>'12 - SO 01.K - Stoka A.5'!Názvy_tisku</vt:lpstr>
      <vt:lpstr>'13 - SO 01.L - Stoka B'!Názvy_tisku</vt:lpstr>
      <vt:lpstr>'14 - SO 01.M - Stoka B.1'!Názvy_tisku</vt:lpstr>
      <vt:lpstr>'15 - SO 01.N - Stoka B.2'!Názvy_tisku</vt:lpstr>
      <vt:lpstr>'16 - SO 01.O - Stoka B.2.1'!Názvy_tisku</vt:lpstr>
      <vt:lpstr>'17 - SO 01.P - Stoka B.3'!Názvy_tisku</vt:lpstr>
      <vt:lpstr>'18 - SO 01.L - Stoka B.4'!Názvy_tisku</vt:lpstr>
      <vt:lpstr>'Rekapitulace stavby'!Názvy_tisku</vt:lpstr>
      <vt:lpstr>'01 - SAO 01.1.A - Tlaková...'!Oblast_tisku</vt:lpstr>
      <vt:lpstr>'01 - SO 01.A - Stoka A.0 '!Oblast_tisku</vt:lpstr>
      <vt:lpstr>'01 - SO 02.A - ČSOV 1 - s...'!Oblast_tisku</vt:lpstr>
      <vt:lpstr>'01 - SO 03.A - ČSOV 2 - s...'!Oblast_tisku</vt:lpstr>
      <vt:lpstr>'02 - SO 01.B - Stoka A.0.1'!Oblast_tisku</vt:lpstr>
      <vt:lpstr>'02 - SO 02.B - Výtlačný ř...'!Oblast_tisku</vt:lpstr>
      <vt:lpstr>'02 - SO 03.B - Výtlačný ř...'!Oblast_tisku</vt:lpstr>
      <vt:lpstr>'03 - PS 02.1 - Strojně te...'!Oblast_tisku</vt:lpstr>
      <vt:lpstr>'03 - PS 03.1 - Strojně te...'!Oblast_tisku</vt:lpstr>
      <vt:lpstr>'03 - SO 01.C - Stoka A'!Oblast_tisku</vt:lpstr>
      <vt:lpstr>'04 - PS 02.2 - Elektrotec...'!Oblast_tisku</vt:lpstr>
      <vt:lpstr>'04 - PS 03.2 - Elektrotec...'!Oblast_tisku</vt:lpstr>
      <vt:lpstr>'04 - SO 01.D - Stoka A.1'!Oblast_tisku</vt:lpstr>
      <vt:lpstr>'04 - SO 02.1 - Přípojka N...'!Oblast_tisku</vt:lpstr>
      <vt:lpstr>'05 - PS 02.3 - Systém říz...'!Oblast_tisku</vt:lpstr>
      <vt:lpstr>'05 - PS 03.3 - Systém říz...'!Oblast_tisku</vt:lpstr>
      <vt:lpstr>'05 - SO 01.E - Stoka A.1.1'!Oblast_tisku</vt:lpstr>
      <vt:lpstr>'05 - SO 02.2 - Výtlačný ř...'!Oblast_tisku</vt:lpstr>
      <vt:lpstr>'06 - SO 01.F - Stoka A.1.2'!Oblast_tisku</vt:lpstr>
      <vt:lpstr>'07 - SO 01.G - Stoka A.2'!Oblast_tisku</vt:lpstr>
      <vt:lpstr>'07 - SO 03.1 - Přípojka N...'!Oblast_tisku</vt:lpstr>
      <vt:lpstr>'08 - SO 01.H - Stoka A.2.1'!Oblast_tisku</vt:lpstr>
      <vt:lpstr>'08 - VRN'!Oblast_tisku</vt:lpstr>
      <vt:lpstr>'09 - SO 01.I - Stoka A.3'!Oblast_tisku</vt:lpstr>
      <vt:lpstr>'10 - SO 01.J - Stoka A.4'!Oblast_tisku</vt:lpstr>
      <vt:lpstr>'11 - SO 01.J - Stoka A.4.1'!Oblast_tisku</vt:lpstr>
      <vt:lpstr>'12 - SO 01.K - Stoka A.5'!Oblast_tisku</vt:lpstr>
      <vt:lpstr>'13 - SO 01.L - Stoka B'!Oblast_tisku</vt:lpstr>
      <vt:lpstr>'14 - SO 01.M - Stoka B.1'!Oblast_tisku</vt:lpstr>
      <vt:lpstr>'15 - SO 01.N - Stoka B.2'!Oblast_tisku</vt:lpstr>
      <vt:lpstr>'16 - SO 01.O - Stoka B.2.1'!Oblast_tisku</vt:lpstr>
      <vt:lpstr>'17 - SO 01.P - Stoka B.3'!Oblast_tisku</vt:lpstr>
      <vt:lpstr>'18 - SO 01.L - Stoka B.4'!Oblast_tisku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Josífek</dc:creator>
  <cp:lastModifiedBy>ANTALOVÁ, Zdena</cp:lastModifiedBy>
  <cp:lastPrinted>2023-01-10T10:56:23Z</cp:lastPrinted>
  <dcterms:created xsi:type="dcterms:W3CDTF">2020-08-04T12:41:42Z</dcterms:created>
  <dcterms:modified xsi:type="dcterms:W3CDTF">2023-01-30T06:42:59Z</dcterms:modified>
</cp:coreProperties>
</file>