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/>
  <bookViews>
    <workbookView xWindow="0" yWindow="0" windowWidth="25200" windowHeight="11775" tabRatio="785" activeTab="1"/>
  </bookViews>
  <sheets>
    <sheet name="Rekapitulace stavby" sheetId="1" r:id="rId1"/>
    <sheet name="OPRAVA VODOVODU -ETAPA 1" sheetId="4" r:id="rId2"/>
    <sheet name="OPRAVA VODOVODU -ETAPA 2" sheetId="5" r:id="rId3"/>
  </sheets>
  <definedNames>
    <definedName name="_xlnm.Print_Area" localSheetId="1">'OPRAVA VODOVODU -ETAPA 1'!$B$44:$J$584</definedName>
    <definedName name="_xlnm.Print_Area" localSheetId="2">'OPRAVA VODOVODU -ETAPA 2'!$B$44:$J$567</definedName>
    <definedName name="_xlnm.Print_Area" localSheetId="0">'Rekapitulace stavby'!$B$41:$AP$59</definedName>
    <definedName name="_xlnm.Print_Titles" localSheetId="0">'Rekapitulace stavby'!$52:$52</definedName>
  </definedNames>
  <calcPr calcId="191029"/>
</workbook>
</file>

<file path=xl/sharedStrings.xml><?xml version="1.0" encoding="utf-8"?>
<sst xmlns="http://schemas.openxmlformats.org/spreadsheetml/2006/main" count="10963" uniqueCount="1558">
  <si>
    <t>Export Komplet</t>
  </si>
  <si>
    <t/>
  </si>
  <si>
    <t>2.0</t>
  </si>
  <si>
    <t>False</t>
  </si>
  <si>
    <t>{9b882307-1d5b-4d55-b302-c57e88db0de0}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</si>
  <si>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</si>
  <si>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</si>
  <si>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</si>
  <si>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</si>
  <si>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</si>
  <si>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</si>
  <si>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</si>
  <si>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</si>
  <si>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</si>
  <si>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2033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</si>
  <si>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</si>
  <si>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</si>
  <si>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PLAZY - OPRAVA VODOVODU</t>
  </si>
  <si>
    <t>KSO:</t>
  </si>
  <si>
    <t>CC-CZ:</t>
  </si>
  <si>
    <t>Místo:</t>
  </si>
  <si>
    <t>PLAZY</t>
  </si>
  <si>
    <t>Datum:</t>
  </si>
  <si>
    <t>24. 10. 2020</t>
  </si>
  <si>
    <t>Zadavatel:</t>
  </si>
  <si>
    <t>IČ:</t>
  </si>
  <si>
    <t>VODOVODY A KANALIZACE MLADÁ BOLESLAV a.s.</t>
  </si>
  <si>
    <t>DIČ:</t>
  </si>
  <si>
    <t>Uchazeč:</t>
  </si>
  <si>
    <t>Vyplň údaj</t>
  </si>
  <si>
    <t>Projektant:</t>
  </si>
  <si>
    <t>ING. JAN ČÍŽEK, VODOHOSPODÁŘSKÁ KANCELÁŘ TRUTNOV</t>
  </si>
  <si>
    <t>True</t>
  </si>
  <si>
    <t>Zpracovatel:</t>
  </si>
  <si>
    <t>Lenka Benešová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</si>
  <si>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</si>
  <si>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</si>
  <si>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</si>
  <si>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</si>
  <si>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</si>
  <si>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</si>
  <si>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</si>
  <si>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</si>
  <si>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</si>
  <si>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</si>
  <si>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</si>
  <si>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</si>
  <si>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</si>
  <si>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</si>
  <si>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</si>
  <si>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</si>
  <si>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</si>
  <si>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</si>
  <si>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</si>
  <si>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</si>
  <si>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</si>
  <si>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</si>
  <si>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</si>
  <si>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</si>
  <si>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</si>
  <si>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</si>
  <si>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</si>
  <si>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</si>
  <si>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</si>
  <si>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</si>
  <si>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</si>
  <si>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</si>
  <si>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D</t>
  </si>
  <si>
    <t>0</t>
  </si>
  <si>
    <t>###NOIMPORT###</t>
  </si>
  <si>
    <t>IMPORT</t>
  </si>
  <si>
    <t>{00000000-0000-0000-0000-000000000000}</t>
  </si>
  <si>
    <t>/</t>
  </si>
  <si>
    <t>1</t>
  </si>
  <si>
    <t>STA</t>
  </si>
  <si>
    <t>{77049b23-b42c-41ff-b96b-1068a9290c2f}</t>
  </si>
  <si>
    <t>2</t>
  </si>
  <si>
    <t>{42ff91d3-5774-4ced-bd78-de8ea23cbd8c}</t>
  </si>
  <si>
    <t>KRYCÍ LIST SOUPISU PRACÍ</t>
  </si>
  <si>
    <t>Objekt:</t>
  </si>
  <si>
    <t>1 - PŘELOŽKA VODOVODU P1 OD STANIČENÍ 18 DO STANIČENÍ 168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</si>
  <si>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</si>
  <si>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</si>
  <si>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</si>
  <si>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</si>
  <si>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</si>
  <si>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</si>
  <si>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</si>
  <si>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</si>
  <si>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</si>
  <si>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</si>
  <si>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</si>
  <si>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</si>
  <si>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</si>
  <si>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</si>
  <si>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</si>
  <si>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</si>
  <si>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767 - Konstrukce zámečnické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</si>
  <si>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</si>
  <si>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</si>
  <si>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</si>
  <si>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</si>
  <si>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</si>
  <si>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</si>
  <si>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</si>
  <si>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</si>
  <si>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</si>
  <si>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</si>
  <si>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</si>
  <si>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</si>
  <si>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</si>
  <si>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</si>
  <si>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</si>
  <si>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</si>
  <si>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</si>
  <si>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</si>
  <si>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</si>
  <si>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111000001</t>
  </si>
  <si>
    <t>Výpočet kubatury výkopů celkem - položka bez ceny, pouze výpočet</t>
  </si>
  <si>
    <t>4</t>
  </si>
  <si>
    <t>-772063490</t>
  </si>
  <si>
    <t>VV</t>
  </si>
  <si>
    <t>(1,87+2,02)/2*9,5*0,8</t>
  </si>
  <si>
    <t>(2,02+1,77)/2*15*0,8</t>
  </si>
  <si>
    <t>(1,77+1,68)/2*9,1*0,8</t>
  </si>
  <si>
    <t>(1,68+1,67)/2*2,9*0,8</t>
  </si>
  <si>
    <t>(1,67+1,64)/2*6*0,8</t>
  </si>
  <si>
    <t>(1,64+1,68)/2*3,5*0,8</t>
  </si>
  <si>
    <t>(1,68+1,49)/2*9,5*0,8</t>
  </si>
  <si>
    <t>(1,49+1,52)/2*6,5*0,8</t>
  </si>
  <si>
    <t>(1,52+1,81)/2*10*0,8</t>
  </si>
  <si>
    <t>(1,81+1,81)/2*10*0,8</t>
  </si>
  <si>
    <t>(1,81+1,76)/2*4,5*0,8</t>
  </si>
  <si>
    <t>(1,76+1,71)/2*5,5*0,8</t>
  </si>
  <si>
    <t>(1,71+1,6)/2*8,5*0,8</t>
  </si>
  <si>
    <t>(1,6+1,64)/2*7*0,8</t>
  </si>
  <si>
    <t>(1,64+1,67)/2*8,8*0,8</t>
  </si>
  <si>
    <t>(1,67+1,66)/2*5,7*0,8</t>
  </si>
  <si>
    <t>(1,66+1,76)/2*11*0,8</t>
  </si>
  <si>
    <t>(1,76+1,81)/2*10,3*0,8</t>
  </si>
  <si>
    <t>(1,81+1,84)/2*6,7*0,8</t>
  </si>
  <si>
    <t>" + rozšíření na vodoměrnou šachtu "</t>
  </si>
  <si>
    <t>3,5*4,8*2,65</t>
  </si>
  <si>
    <t>-(4,8*0,8*1,68)</t>
  </si>
  <si>
    <t>" + přípojky P1 a P2 "</t>
  </si>
  <si>
    <t>(22,5+6,5)*0,8*1,6</t>
  </si>
  <si>
    <t>Mezisoučet</t>
  </si>
  <si>
    <t>3</t>
  </si>
  <si>
    <t>" - kubatura již odstraněné ornice a zpevněných ploch "</t>
  </si>
  <si>
    <t>-(18,432+38,52)</t>
  </si>
  <si>
    <t>Součet</t>
  </si>
  <si>
    <t>113107523</t>
  </si>
  <si>
    <t>Odstranění podkladu z kameniva drceného tl 300 mm při překopech strojně pl přes 15 m2</t>
  </si>
  <si>
    <t>m2</t>
  </si>
  <si>
    <t>CS ÚRS 2019 01</t>
  </si>
  <si>
    <t>1619425733</t>
  </si>
  <si>
    <t>(78+29)*0,8</t>
  </si>
  <si>
    <t>113154113</t>
  </si>
  <si>
    <t>Frézování živičného krytu tl 50 mm pruh š 0,5 m pl do 500 m2 bez překážek v trase</t>
  </si>
  <si>
    <t>374924948</t>
  </si>
  <si>
    <t>115101201</t>
  </si>
  <si>
    <t>Čerpání vody na dopravní výšku do 10 m průměrný přítok do 500 l/min</t>
  </si>
  <si>
    <t>hod</t>
  </si>
  <si>
    <t>316138301</t>
  </si>
  <si>
    <t>" čerpání případné podzemní, nebo "</t>
  </si>
  <si>
    <t>" dešťové vody z výkopů "</t>
  </si>
  <si>
    <t>" odhad "</t>
  </si>
  <si>
    <t>5</t>
  </si>
  <si>
    <t>115101301</t>
  </si>
  <si>
    <t>Pohotovost čerpací soupravy pro dopravní výšku do 10 m přítok do 500 l/min</t>
  </si>
  <si>
    <t>den</t>
  </si>
  <si>
    <t>1372791531</t>
  </si>
  <si>
    <t>" 2 ČERPADLA "</t>
  </si>
  <si>
    <t>6</t>
  </si>
  <si>
    <t>119001401</t>
  </si>
  <si>
    <t>Dočasné zajištění potrubí ocelového nebo litinového DN do 200 mm</t>
  </si>
  <si>
    <t>m</t>
  </si>
  <si>
    <t>-1464197312</t>
  </si>
  <si>
    <t>0,8</t>
  </si>
  <si>
    <t>7</t>
  </si>
  <si>
    <t>119001412</t>
  </si>
  <si>
    <t>Dočasné zajištění potrubí betonového, ŽB nebo kameninového DN do 500 mm</t>
  </si>
  <si>
    <t>-1200538615</t>
  </si>
  <si>
    <t>8</t>
  </si>
  <si>
    <t>119001423</t>
  </si>
  <si>
    <t>Dočasné zajištění kabelů a kabelových tratí z více než 6 volně ložených kabelů</t>
  </si>
  <si>
    <t>-1073765662</t>
  </si>
  <si>
    <t>0,8*2</t>
  </si>
  <si>
    <t>9</t>
  </si>
  <si>
    <t>121101101</t>
  </si>
  <si>
    <t>Sejmutí ornice s přemístěním na vzdálenost do 50 m</t>
  </si>
  <si>
    <t>m3</t>
  </si>
  <si>
    <t>237695461</t>
  </si>
  <si>
    <t>" počítáno že ornice "</t>
  </si>
  <si>
    <t>" bude sejmuta v tl. 300 mm "</t>
  </si>
  <si>
    <t>" nad výkopem + v manipulačním pruhu "</t>
  </si>
  <si>
    <t>" celková šíře sejmutí = 3 m "</t>
  </si>
  <si>
    <t>" rozšíření v místě VŠ "</t>
  </si>
  <si>
    <t>7*10*0,3</t>
  </si>
  <si>
    <t>10</t>
  </si>
  <si>
    <t>130001101</t>
  </si>
  <si>
    <t>Příplatek za ztížení vykopávky v blízkosti podzemního vedení</t>
  </si>
  <si>
    <t>-2107777079</t>
  </si>
  <si>
    <t>0,8*1*1,6*4</t>
  </si>
  <si>
    <t>11</t>
  </si>
  <si>
    <t>132201202</t>
  </si>
  <si>
    <t>Hloubení rýh š do 2000 mm v hornině tř. 3 objemu do 1000 m3 vč. naložení na dopravní prostředek</t>
  </si>
  <si>
    <t>1404083180</t>
  </si>
  <si>
    <t>" hornina 3 = 60% "</t>
  </si>
  <si>
    <t>12</t>
  </si>
  <si>
    <t>132201209</t>
  </si>
  <si>
    <t>Příplatek za lepivost k hloubení rýh š do 2000 mm v hornině tř. 3</t>
  </si>
  <si>
    <t>1738570580</t>
  </si>
  <si>
    <t>13</t>
  </si>
  <si>
    <t>132301202</t>
  </si>
  <si>
    <t>Hloubení rýh š do 2000 mm v hornině tř. 4 objemu do 1000 m3 vč. naložení na dopravní prostředek</t>
  </si>
  <si>
    <t>1169281547</t>
  </si>
  <si>
    <t>" hornina 4 = 40% "</t>
  </si>
  <si>
    <t>14</t>
  </si>
  <si>
    <t>132301209</t>
  </si>
  <si>
    <t>Příplatek za lepivost k hloubení rýh š do 2000 mm v hornině tř. 4</t>
  </si>
  <si>
    <t>1894317343</t>
  </si>
  <si>
    <t>151101101</t>
  </si>
  <si>
    <t>Zřízení příložného pažení a rozepření stěn rýh hl do 2 m</t>
  </si>
  <si>
    <t>-1166119823</t>
  </si>
  <si>
    <t>(1,87+2,02)/2*9,5*2</t>
  </si>
  <si>
    <t>(2,02+1,77)/2*15*2</t>
  </si>
  <si>
    <t>(1,77+1,68)/2*9,1*2</t>
  </si>
  <si>
    <t>(1,68+1,67)/2*2,9*2</t>
  </si>
  <si>
    <t>(1,67+1,64)/2*6*2</t>
  </si>
  <si>
    <t>(1,64+1,68)/2*3,5*2</t>
  </si>
  <si>
    <t>(1,68+1,49)/2*9,5*2</t>
  </si>
  <si>
    <t>(1,49+1,52)/2*6,5*2</t>
  </si>
  <si>
    <t>(1,52+1,81)/2*10*2</t>
  </si>
  <si>
    <t>(1,81+1,81)/2*10*2</t>
  </si>
  <si>
    <t>(1,81+1,76)/2*4,5*2</t>
  </si>
  <si>
    <t>(1,76+1,71)/2*5,5*2</t>
  </si>
  <si>
    <t>(1,71+1,6)/2*8,5*2</t>
  </si>
  <si>
    <t>(1,6+1,64)/2*7*2</t>
  </si>
  <si>
    <t>(1,64+1,67)/2*8,8*2</t>
  </si>
  <si>
    <t>(1,67+1,66)/2*5,7*2</t>
  </si>
  <si>
    <t>(1,66+1,76)/2*11*2</t>
  </si>
  <si>
    <t>(1,76+1,81)/2*10,3*2</t>
  </si>
  <si>
    <t>(1,81+1,84)/2*6,7*2</t>
  </si>
  <si>
    <t>(22,5+6,5)*1,6*2</t>
  </si>
  <si>
    <t>16</t>
  </si>
  <si>
    <t>151101102</t>
  </si>
  <si>
    <t>Zřízení příložného pažení a rozepření stěn rýh hl do 4 m</t>
  </si>
  <si>
    <t>-39778752</t>
  </si>
  <si>
    <t>" rozšíření na vodoměrnou šachtu "</t>
  </si>
  <si>
    <t>(3,5*2+4,8*2)*2,65</t>
  </si>
  <si>
    <t>-(0,8*1,68*2)</t>
  </si>
  <si>
    <t>17</t>
  </si>
  <si>
    <t>151101111</t>
  </si>
  <si>
    <t>Odstranění příložného pažení a rozepření stěn rýh hl do 2 m</t>
  </si>
  <si>
    <t>-281187011</t>
  </si>
  <si>
    <t>18</t>
  </si>
  <si>
    <t>151101112</t>
  </si>
  <si>
    <t>Odstranění příložného pažení a rozepření stěn rýh hl do 4 m</t>
  </si>
  <si>
    <t>2119172749</t>
  </si>
  <si>
    <t>19</t>
  </si>
  <si>
    <t>161101101</t>
  </si>
  <si>
    <t>Svislé přemístění výkopku z horniny tř. 1 až 4 hl výkopu do 2,5 m</t>
  </si>
  <si>
    <t>-1375705848</t>
  </si>
  <si>
    <t>" hornina 1 až 4 = 100% "</t>
  </si>
  <si>
    <t>" % svislého přemístění = 50% "</t>
  </si>
  <si>
    <t>20</t>
  </si>
  <si>
    <t>162301101</t>
  </si>
  <si>
    <t>Vodorovné přemístění do 500 m výkopku/sypaniny z horniny tř. 1 až 4</t>
  </si>
  <si>
    <t>-189182676</t>
  </si>
  <si>
    <t>" odvoz části výkopku na meziskládku zhotovitele "</t>
  </si>
  <si>
    <t>" jedná se o kubaturu, která se použije ke zpětným "</t>
  </si>
  <si>
    <t>" zásypům a násypům "</t>
  </si>
  <si>
    <t>" dovoz z meziskládky zhotovitele zpět na stavbu "</t>
  </si>
  <si>
    <t>162701105r</t>
  </si>
  <si>
    <t>Vodorovné přemístění výkopku/sypaniny z horniny tř. 1 až 4 na skládku. Vzdálenost si určí dodavatel podle svých zvyklostí.</t>
  </si>
  <si>
    <t>307597607</t>
  </si>
  <si>
    <t>" odvoz přebytečného výkopku na skládku "</t>
  </si>
  <si>
    <t>22</t>
  </si>
  <si>
    <t>167101101</t>
  </si>
  <si>
    <t>Nakládání výkopku z hornin tř. 1 až 4 do 100 m3</t>
  </si>
  <si>
    <t>-1124900376</t>
  </si>
  <si>
    <t>" naložení výkopku na meziskládce zhotovitele "</t>
  </si>
  <si>
    <t>" jedná se o zeminu, která se použije ke "</t>
  </si>
  <si>
    <t>" zpětným zásypům a násypům "</t>
  </si>
  <si>
    <t>23</t>
  </si>
  <si>
    <t>171101105</t>
  </si>
  <si>
    <t>Uložení sypaniny z hornin soudržných do násypů zhutněných do 103 % PS</t>
  </si>
  <si>
    <t>683840627</t>
  </si>
  <si>
    <t>" násyp nad vodoměrnou šachtou "</t>
  </si>
  <si>
    <t>3,225*5,65*0,35</t>
  </si>
  <si>
    <t>-(1,55*1,8*0,35)</t>
  </si>
  <si>
    <t>24</t>
  </si>
  <si>
    <t>171151101</t>
  </si>
  <si>
    <t>Hutnění boků násypů pro jakýkoliv sklon a míru zhutnění svahu</t>
  </si>
  <si>
    <t>620864351</t>
  </si>
  <si>
    <t>3,225*1,25+3,225*2,35+5,65*0,8*2</t>
  </si>
  <si>
    <t>25</t>
  </si>
  <si>
    <t>171201211</t>
  </si>
  <si>
    <t>Poplatek za uložení stavebního odpadu - zeminy a kameniva na skládce</t>
  </si>
  <si>
    <t>t</t>
  </si>
  <si>
    <t>981538391</t>
  </si>
  <si>
    <t>26</t>
  </si>
  <si>
    <t>174101101</t>
  </si>
  <si>
    <t>Zásyp jam, šachet rýh nebo kolem objektů sypaninou se zhutněním</t>
  </si>
  <si>
    <t>-1358497581</t>
  </si>
  <si>
    <t>" zpětný zásyp "</t>
  </si>
  <si>
    <t>" 1/2 kubatury nový štěrk "</t>
  </si>
  <si>
    <t>" 1/2 kubatury původní vykopaná zemina "</t>
  </si>
  <si>
    <t>" výkopek celkem "</t>
  </si>
  <si>
    <t>" - kubatura lože a obsypu "</t>
  </si>
  <si>
    <t>" - vodoměrná šachta "</t>
  </si>
  <si>
    <t>-(1,55*2,9*2,4)</t>
  </si>
  <si>
    <t>" - štěrkový polštář pod VŠ "</t>
  </si>
  <si>
    <t>-(2,775*4,125*0,15)</t>
  </si>
  <si>
    <t>" - nové vrstvy zpevněných ploch v tloušťce "</t>
  </si>
  <si>
    <t>" nad rámec původních odstraněných "</t>
  </si>
  <si>
    <t>-(78+29)*0,8*0,3</t>
  </si>
  <si>
    <t>27</t>
  </si>
  <si>
    <t>M</t>
  </si>
  <si>
    <t>58344177r</t>
  </si>
  <si>
    <t xml:space="preserve">štěrkodrť na částečný zásyp rýhy </t>
  </si>
  <si>
    <t>789454193</t>
  </si>
  <si>
    <t>" cena vč. dopravy štěrku na místno stavby "</t>
  </si>
  <si>
    <t>" polovina kubatury zpětného zásypu "</t>
  </si>
  <si>
    <t>" počítáno, že 1 m3 = 1,8 t "</t>
  </si>
  <si>
    <t>28</t>
  </si>
  <si>
    <t>181111131</t>
  </si>
  <si>
    <t>Plošná úprava terénu do 500 m2 zemina tř 1 až 4 nerovnosti do 200 mm v rovinně a svahu do 1:5</t>
  </si>
  <si>
    <t>1937180642</t>
  </si>
  <si>
    <t>29</t>
  </si>
  <si>
    <t>181301105</t>
  </si>
  <si>
    <t>Rozprostření ornice tl vrstvy do 300 mm pl do 500 m2 v rovině nebo ve svahu do 1:5</t>
  </si>
  <si>
    <t>587410778</t>
  </si>
  <si>
    <t>30</t>
  </si>
  <si>
    <t>181411121</t>
  </si>
  <si>
    <t>Založení lučního trávníku výsevem plochy do 1000 m2 v rovině a ve svahu do 1:5</t>
  </si>
  <si>
    <t>1943183736</t>
  </si>
  <si>
    <t>31</t>
  </si>
  <si>
    <t>00572100</t>
  </si>
  <si>
    <t>osivo jetelotráva intenzivní víceletá</t>
  </si>
  <si>
    <t>kg</t>
  </si>
  <si>
    <t>377351721</t>
  </si>
  <si>
    <t>32</t>
  </si>
  <si>
    <t>185803211</t>
  </si>
  <si>
    <t>Uválcování trávníku v rovině a svahu do 1:5</t>
  </si>
  <si>
    <t>1221579770</t>
  </si>
  <si>
    <t>" 4x "</t>
  </si>
  <si>
    <t>Zakládání</t>
  </si>
  <si>
    <t>33</t>
  </si>
  <si>
    <t>212752213</t>
  </si>
  <si>
    <t>Trativod z drenážních trubek plastových flexibilních D do 160 mm včetně lože otevřený výkop</t>
  </si>
  <si>
    <t>450757820</t>
  </si>
  <si>
    <t>" pro případné čerpání vody z výkopů "</t>
  </si>
  <si>
    <t>50</t>
  </si>
  <si>
    <t>34</t>
  </si>
  <si>
    <t>212752222r</t>
  </si>
  <si>
    <t>Dod+Mtž+Dmtž dočasná plastová jímka pro jímání případné podzemní, či dešťové vody z výkopů jímka z trub DN 400 až DN 500</t>
  </si>
  <si>
    <t>kus</t>
  </si>
  <si>
    <t>2086567638</t>
  </si>
  <si>
    <t>Vodorovné konstrukce</t>
  </si>
  <si>
    <t>35</t>
  </si>
  <si>
    <t>451541111</t>
  </si>
  <si>
    <t>Lože pod potrubí otevřený výkop ze štěrkodrtě</t>
  </si>
  <si>
    <t>-2097982830</t>
  </si>
  <si>
    <t>" podkladní štěrkový polštář 6/16 mm pod VŠ "</t>
  </si>
  <si>
    <t>2,775*4,125*0,15</t>
  </si>
  <si>
    <t>36</t>
  </si>
  <si>
    <t>451573111</t>
  </si>
  <si>
    <t>Lože pod potrubí otevřený výkop ze štěrkopísku fr. 0-4</t>
  </si>
  <si>
    <t>-1126379208</t>
  </si>
  <si>
    <t>" lože a obsyp potrubí "</t>
  </si>
  <si>
    <t>37</t>
  </si>
  <si>
    <t>452313151</t>
  </si>
  <si>
    <t>Podkladní bloky z betonu prostého tř. C 20/25 otevřený výkop</t>
  </si>
  <si>
    <t>-724505633</t>
  </si>
  <si>
    <t>" opěrné a podkladní bloky pro tvarovky a armatury "</t>
  </si>
  <si>
    <t>0,58</t>
  </si>
  <si>
    <t>38</t>
  </si>
  <si>
    <t>452353101</t>
  </si>
  <si>
    <t>Bednění podkladních bloků otevřený výkop</t>
  </si>
  <si>
    <t>-1324052942</t>
  </si>
  <si>
    <t>Komunikace pozemní</t>
  </si>
  <si>
    <t>39</t>
  </si>
  <si>
    <t>566901232</t>
  </si>
  <si>
    <t>Vyspravení podkladu po překopech ing sítí plochy přes 15 m2 štěrkodrtí tl. 150 mm</t>
  </si>
  <si>
    <t>173622510</t>
  </si>
  <si>
    <t>" nový štěrk "</t>
  </si>
  <si>
    <t>40</t>
  </si>
  <si>
    <t>566901252</t>
  </si>
  <si>
    <t>Vyspravení podkladu po překopech ing sítí plochy přes 15 m2 recyklátem tl. 150 mm</t>
  </si>
  <si>
    <t>-836916475</t>
  </si>
  <si>
    <t>" uložení recyklátu jako zásypu rýhy pro "</t>
  </si>
  <si>
    <t>" vodovod "</t>
  </si>
  <si>
    <t>41</t>
  </si>
  <si>
    <t>566901r</t>
  </si>
  <si>
    <t>Vyspravení podkladu po překopech ing sítí plochy přes 15 m2 kamenivem hrubým drceným tl. 300 mm - JEN PRÁCE</t>
  </si>
  <si>
    <t>-651805711</t>
  </si>
  <si>
    <t>" jde o použití původního štěrku "</t>
  </si>
  <si>
    <t>" v ceně je pouze cena za provedení zásypu a za "</t>
  </si>
  <si>
    <t>" manipulaci se štěrkem v místě stavby "</t>
  </si>
  <si>
    <t>42</t>
  </si>
  <si>
    <t>43</t>
  </si>
  <si>
    <t>573111113</t>
  </si>
  <si>
    <t>Postřik živičný infiltrační s posypem z asfaltu množství 1,5 kg/m2</t>
  </si>
  <si>
    <t>-976911294</t>
  </si>
  <si>
    <t>44</t>
  </si>
  <si>
    <t>573231112</t>
  </si>
  <si>
    <t>Postřik živičný spojovací ze silniční emulze v množství 0,80 kg/m2</t>
  </si>
  <si>
    <t>200321150</t>
  </si>
  <si>
    <t>45</t>
  </si>
  <si>
    <t>577144131</t>
  </si>
  <si>
    <t>Asfaltový beton vrstva obrusná ACO 11 (ABS) tř. I tl 50 mm š do 3 m z asfaltu</t>
  </si>
  <si>
    <t>-1527318465</t>
  </si>
  <si>
    <t>46</t>
  </si>
  <si>
    <t>577145131</t>
  </si>
  <si>
    <t>-1380784014</t>
  </si>
  <si>
    <t>47</t>
  </si>
  <si>
    <t>599142111</t>
  </si>
  <si>
    <t>Úprava zálivky dilatačních nebo pracovních spár v asfaltobetonovém krytu hl do 40 mm š do 40 mm</t>
  </si>
  <si>
    <t>-1461413009</t>
  </si>
  <si>
    <t>Trubní vedení</t>
  </si>
  <si>
    <t>48</t>
  </si>
  <si>
    <t>851261131</t>
  </si>
  <si>
    <t>Montáž potrubí z trub litinových hrdlových s integrovaným těsněním otevřený výkop DN 100</t>
  </si>
  <si>
    <t>-73099224</t>
  </si>
  <si>
    <t>49</t>
  </si>
  <si>
    <t>55253001</t>
  </si>
  <si>
    <t>trouba vodovodní litinová hrdlová min. třídy Class 100 s vnitřní cementací  dl 6m DN 100</t>
  </si>
  <si>
    <t>665707931</t>
  </si>
  <si>
    <t>857242122</t>
  </si>
  <si>
    <t>Montáž litinových tvarovek jednoosých přírubových otevřený výkop DN 80</t>
  </si>
  <si>
    <t>-946732718</t>
  </si>
  <si>
    <t>51</t>
  </si>
  <si>
    <t>55254047r</t>
  </si>
  <si>
    <t>koleno 90° s patkou přírubové litinové vodovodní  DN 80 prodloužené</t>
  </si>
  <si>
    <t>2090182089</t>
  </si>
  <si>
    <t>52</t>
  </si>
  <si>
    <t>55254011</t>
  </si>
  <si>
    <t>koleno přírubové z tvárné litiny,práškový epoxid tl 250µm FFK-kus DN 80- 45°</t>
  </si>
  <si>
    <t>774934718</t>
  </si>
  <si>
    <t>53</t>
  </si>
  <si>
    <t>PAM.BAA80MT1Br</t>
  </si>
  <si>
    <t>trouba přírubová TP-DN 80 přírubový krátký kus dl=0,4 m - vodoměrná šachta</t>
  </si>
  <si>
    <t>-475710535</t>
  </si>
  <si>
    <t>54</t>
  </si>
  <si>
    <t>857244122</t>
  </si>
  <si>
    <t>Montáž litinových tvarovek odbočných přírubových otevřený výkop DN 80</t>
  </si>
  <si>
    <t>2130398863</t>
  </si>
  <si>
    <t>55</t>
  </si>
  <si>
    <t>55253515</t>
  </si>
  <si>
    <t>tvarovka přírubová litinová s přírubovou odbočkou,práškový epoxid tl 250µm T-kus DN 100/80</t>
  </si>
  <si>
    <t>1117227234</t>
  </si>
  <si>
    <t>56</t>
  </si>
  <si>
    <t>857261131</t>
  </si>
  <si>
    <t>Montáž litinových tvarovek jednoosých hrdlových otevřený výkop s integrovaným těsněním DN 100</t>
  </si>
  <si>
    <t>-1932888681</t>
  </si>
  <si>
    <t>57</t>
  </si>
  <si>
    <t>55253905</t>
  </si>
  <si>
    <t>koleno hrdlové z tvárné litiny,práškový epoxid tl 250µm MMK-kus DN 100-11°</t>
  </si>
  <si>
    <t>565023649</t>
  </si>
  <si>
    <t>58</t>
  </si>
  <si>
    <t>55253941</t>
  </si>
  <si>
    <t>koleno hrdlové z tvárné litiny,práškový epoxid tl 250µm MMK-kus DN 100-45°</t>
  </si>
  <si>
    <t>59</t>
  </si>
  <si>
    <t>857262122</t>
  </si>
  <si>
    <t>Montáž litinových tvarovek jednoosých přírubových otevřený výkop DN 100</t>
  </si>
  <si>
    <t>1970180063</t>
  </si>
  <si>
    <t>60</t>
  </si>
  <si>
    <t>55254027</t>
  </si>
  <si>
    <t>koleno 90° přírubové litinové vodovodní Q-kus PN 10/16 DN 100 - vodoměrná šachta</t>
  </si>
  <si>
    <t>-244091430</t>
  </si>
  <si>
    <t>61</t>
  </si>
  <si>
    <t>PAM.108617.1r</t>
  </si>
  <si>
    <t>trouba přírubová TP-DN 100 přírubový krátký kus dl.=0,6 m - vodoměrná šachta</t>
  </si>
  <si>
    <t>1519689912</t>
  </si>
  <si>
    <t>62</t>
  </si>
  <si>
    <t>55253893</t>
  </si>
  <si>
    <t>tvarovka přírubová s hrdlem z tvárné litiny,práškový epoxid tl 250µm EU-kus DN 100 L130mm</t>
  </si>
  <si>
    <t>-1869897745</t>
  </si>
  <si>
    <t>63</t>
  </si>
  <si>
    <t>871181211</t>
  </si>
  <si>
    <t>Montáž potrubí z polyetylenu otevřený výkop DN 25 (1")</t>
  </si>
  <si>
    <t>46592405</t>
  </si>
  <si>
    <t>64</t>
  </si>
  <si>
    <t>28613597</t>
  </si>
  <si>
    <t>potrubí vodovodní z polyetylenu DN 25 (1")</t>
  </si>
  <si>
    <t>-622097165</t>
  </si>
  <si>
    <t>29*1,015 'Přepočtené koeficientem množství</t>
  </si>
  <si>
    <t>65</t>
  </si>
  <si>
    <t>888121003r</t>
  </si>
  <si>
    <t>D+M Zabezpečení konců přeložky vodovodu P1 do doby propojení s opravovanou částí vodovodu P1</t>
  </si>
  <si>
    <t>soub</t>
  </si>
  <si>
    <t>-698053354</t>
  </si>
  <si>
    <t>891181112</t>
  </si>
  <si>
    <t>Montáž vodovodních šoupátek otevřený výkop DN 25 (1")</t>
  </si>
  <si>
    <t>-631871759</t>
  </si>
  <si>
    <t>67</t>
  </si>
  <si>
    <t>42221333r</t>
  </si>
  <si>
    <t xml:space="preserve">šoupátko přípojkové DN 25 (1") </t>
  </si>
  <si>
    <t>-675934957</t>
  </si>
  <si>
    <t>68</t>
  </si>
  <si>
    <t>42291099r</t>
  </si>
  <si>
    <t xml:space="preserve">zemní souprava pro šoupátko DN 25 </t>
  </si>
  <si>
    <t>29493032</t>
  </si>
  <si>
    <t>891241112</t>
  </si>
  <si>
    <t>Montáž vodovodních šoupátek otevřený výkop DN 80</t>
  </si>
  <si>
    <t>738671215</t>
  </si>
  <si>
    <t>70</t>
  </si>
  <si>
    <t>42221303</t>
  </si>
  <si>
    <t>šoupátko pitná voda  přírubové DN 80</t>
  </si>
  <si>
    <t>958070365</t>
  </si>
  <si>
    <t>71</t>
  </si>
  <si>
    <t>42291079r</t>
  </si>
  <si>
    <t>souprava zemní pro šoupátka DN 80</t>
  </si>
  <si>
    <t>25033619</t>
  </si>
  <si>
    <t>72</t>
  </si>
  <si>
    <t>891241222</t>
  </si>
  <si>
    <t>Montáž vodovodních šoupátek s ručním kolečkem v šachtách DN 80</t>
  </si>
  <si>
    <t>1272637008</t>
  </si>
  <si>
    <t>73</t>
  </si>
  <si>
    <t>42223633r</t>
  </si>
  <si>
    <t>šoupátko přírubové red. DN 100 na DN 80 s ručním kolem - vodoměrná šachta</t>
  </si>
  <si>
    <t>-477747228</t>
  </si>
  <si>
    <t>74</t>
  </si>
  <si>
    <t>891247111</t>
  </si>
  <si>
    <t>Montáž hydrantů podzemních DN 80</t>
  </si>
  <si>
    <t>-94331820</t>
  </si>
  <si>
    <t>75</t>
  </si>
  <si>
    <t>42273590</t>
  </si>
  <si>
    <t>hydrant podzemní DN 80 PN 16 jednoduchý uzávěr krycí v 1250mm</t>
  </si>
  <si>
    <t>101931762</t>
  </si>
  <si>
    <t>76</t>
  </si>
  <si>
    <t>891261112</t>
  </si>
  <si>
    <t>Montáž vodovodních šoupátek otevřený výkop DN 100</t>
  </si>
  <si>
    <t>1374127379</t>
  </si>
  <si>
    <t>77</t>
  </si>
  <si>
    <t>42221304r</t>
  </si>
  <si>
    <t xml:space="preserve">šoupátko pitná voda přírubové DN 100 </t>
  </si>
  <si>
    <t>-1165974821</t>
  </si>
  <si>
    <t>42291080r</t>
  </si>
  <si>
    <t>souprava zemní pro šoupátka DN 100</t>
  </si>
  <si>
    <t>-150918538</t>
  </si>
  <si>
    <t>79</t>
  </si>
  <si>
    <t>722262666r</t>
  </si>
  <si>
    <t>Montáž vodoměru Elster DN 80 - dodá objednatel</t>
  </si>
  <si>
    <t>2019099962</t>
  </si>
  <si>
    <t>80</t>
  </si>
  <si>
    <t>722263666r</t>
  </si>
  <si>
    <t>D+M Montážní vložka DN 100 - vodoměrná šachta</t>
  </si>
  <si>
    <t>-1859590694</t>
  </si>
  <si>
    <t>81</t>
  </si>
  <si>
    <t>722262668r</t>
  </si>
  <si>
    <t xml:space="preserve">D+M ISIFLO spojka DN 1" </t>
  </si>
  <si>
    <t>-1117038213</t>
  </si>
  <si>
    <t>82</t>
  </si>
  <si>
    <t>891261222</t>
  </si>
  <si>
    <t>Montáž vodovodních šoupátek s ručním kolečkem v šachtách DN 100</t>
  </si>
  <si>
    <t>-586100447</t>
  </si>
  <si>
    <t>83</t>
  </si>
  <si>
    <t>42221288r</t>
  </si>
  <si>
    <t>šoupátko přírubové DN 100 s ručním kolem - vodoměrná šachta</t>
  </si>
  <si>
    <t>-496979880</t>
  </si>
  <si>
    <t>84</t>
  </si>
  <si>
    <t>891269111</t>
  </si>
  <si>
    <t>Montáž navrtávacích pasů na potrubí z jakýchkoli trub DN 100</t>
  </si>
  <si>
    <t>-441792716</t>
  </si>
  <si>
    <t>85</t>
  </si>
  <si>
    <t>42271414</t>
  </si>
  <si>
    <t>pás navrtávací z tvárné litiny DN 100mm, rozsah (114-119), odbočky 1",5/4",6/4",2"</t>
  </si>
  <si>
    <t>1605292062</t>
  </si>
  <si>
    <t>86</t>
  </si>
  <si>
    <t>892233122</t>
  </si>
  <si>
    <t>Proplach a dezinfekce vodovodního potrubí DN do 70</t>
  </si>
  <si>
    <t>87</t>
  </si>
  <si>
    <t>892241111</t>
  </si>
  <si>
    <t>Tlaková zkouška vodou potrubí do DN 80</t>
  </si>
  <si>
    <t>88</t>
  </si>
  <si>
    <t>892271111</t>
  </si>
  <si>
    <t>Tlaková zkouška vodou potrubí DN 100 nebo 125</t>
  </si>
  <si>
    <t>-300892921</t>
  </si>
  <si>
    <t>89</t>
  </si>
  <si>
    <t>892273122</t>
  </si>
  <si>
    <t>Proplach a dezinfekce vodovodního potrubí DN od 80 do 125</t>
  </si>
  <si>
    <t>1141110517</t>
  </si>
  <si>
    <t>90</t>
  </si>
  <si>
    <t>892312222</t>
  </si>
  <si>
    <t>Zkouška průchodnosti potrubí</t>
  </si>
  <si>
    <t>mb</t>
  </si>
  <si>
    <t>2010901042</t>
  </si>
  <si>
    <t>91</t>
  </si>
  <si>
    <t>894221344r</t>
  </si>
  <si>
    <t>Dod. + Mtž. vodoměrná šachta vč. skládání z dopravního prostředku</t>
  </si>
  <si>
    <t>-1162173818</t>
  </si>
  <si>
    <t>" v ceně je želbet. jímka Prefa 1550/2900, želbet. strop Prefa vč. "</t>
  </si>
  <si>
    <t>" vstupního komínku, podpěra - betonový sloupek Prefa "</t>
  </si>
  <si>
    <t>" vstupní poklop 600/800 vč. rámu tř. D400, "</t>
  </si>
  <si>
    <t>" prostupy šachtou vč. jejich utěsnění "</t>
  </si>
  <si>
    <t>" doklad o nepropustnosti jímky "</t>
  </si>
  <si>
    <t>92</t>
  </si>
  <si>
    <t>894221555r</t>
  </si>
  <si>
    <t>Doprava vodoměrné šachty na místo stavby</t>
  </si>
  <si>
    <t>-613386472</t>
  </si>
  <si>
    <t>93</t>
  </si>
  <si>
    <t>899401112</t>
  </si>
  <si>
    <t>Osazení poklopů litinových šoupátkových</t>
  </si>
  <si>
    <t>1118918755</t>
  </si>
  <si>
    <t>94</t>
  </si>
  <si>
    <t>56230644r</t>
  </si>
  <si>
    <t xml:space="preserve">poklop uliční šoupátkový </t>
  </si>
  <si>
    <t>212312249</t>
  </si>
  <si>
    <t>95</t>
  </si>
  <si>
    <t>56230666r</t>
  </si>
  <si>
    <t>univerzální deska podkladová šoupátková</t>
  </si>
  <si>
    <t>519355104</t>
  </si>
  <si>
    <t>899401113</t>
  </si>
  <si>
    <t>Osazení poklopů litinových hydrantových</t>
  </si>
  <si>
    <t>-516813012</t>
  </si>
  <si>
    <t>97</t>
  </si>
  <si>
    <t>42291452</t>
  </si>
  <si>
    <t>poklop litinový hydrantový DN 80</t>
  </si>
  <si>
    <t>-1945838155</t>
  </si>
  <si>
    <t>98</t>
  </si>
  <si>
    <t>56230638</t>
  </si>
  <si>
    <t xml:space="preserve">deska podkladová hydrantová </t>
  </si>
  <si>
    <t>569823277</t>
  </si>
  <si>
    <t>99</t>
  </si>
  <si>
    <t>899721111</t>
  </si>
  <si>
    <t>Signalizační vodič CY 2x4 mm2 nad potrubím, vč. spojování</t>
  </si>
  <si>
    <t>1036563725</t>
  </si>
  <si>
    <t>100</t>
  </si>
  <si>
    <t>899722114</t>
  </si>
  <si>
    <t>Krytí potrubí z plastů výstražnou fólií z PVC 40 cm</t>
  </si>
  <si>
    <t>1648392062</t>
  </si>
  <si>
    <t>101</t>
  </si>
  <si>
    <t>899722555r</t>
  </si>
  <si>
    <t>D+M Ostatní pomocný, montážní a spojovací materiál</t>
  </si>
  <si>
    <t>51900013</t>
  </si>
  <si>
    <t>Ostatní konstrukce a práce, bourání</t>
  </si>
  <si>
    <t>102</t>
  </si>
  <si>
    <t>919735111</t>
  </si>
  <si>
    <t>Řezání stávajícího živičného krytu hl do 50 mm</t>
  </si>
  <si>
    <t>1883512319</t>
  </si>
  <si>
    <t>103</t>
  </si>
  <si>
    <t>919735113</t>
  </si>
  <si>
    <t>Řezání stávajícího živičného krytu hl do 150 mm</t>
  </si>
  <si>
    <t>102217443</t>
  </si>
  <si>
    <t>104</t>
  </si>
  <si>
    <t>938909445r</t>
  </si>
  <si>
    <t>Obnovení vodorovného dopravního značení - vodící čára (č. V4) 0,125 m</t>
  </si>
  <si>
    <t>1187673411</t>
  </si>
  <si>
    <t>998</t>
  </si>
  <si>
    <t>Přesun hmot</t>
  </si>
  <si>
    <t>105</t>
  </si>
  <si>
    <t>998273102</t>
  </si>
  <si>
    <t>Přesun hmot pro trubní vedení z trub litinových otevřený výkop</t>
  </si>
  <si>
    <t>-312004403</t>
  </si>
  <si>
    <t>PSV</t>
  </si>
  <si>
    <t>Práce a dodávky PSV</t>
  </si>
  <si>
    <t>711</t>
  </si>
  <si>
    <t>Izolace proti vodě, vlhkosti a plynům</t>
  </si>
  <si>
    <t>106</t>
  </si>
  <si>
    <t>711112001</t>
  </si>
  <si>
    <t>Provedení izolace proti zemní vlhkosti svislé za studena nátěrem penetračním</t>
  </si>
  <si>
    <t>739941057</t>
  </si>
  <si>
    <t>" VŠ "</t>
  </si>
  <si>
    <t>2,9*1,55</t>
  </si>
  <si>
    <t>-(0,9*0,7)</t>
  </si>
  <si>
    <t>(2,9*2+1,55*2)*0,5</t>
  </si>
  <si>
    <t>(1,2*2+1*2)*0,4</t>
  </si>
  <si>
    <t>107</t>
  </si>
  <si>
    <t>11163150</t>
  </si>
  <si>
    <t>lak penetrační asfaltový</t>
  </si>
  <si>
    <t>-1570743933</t>
  </si>
  <si>
    <t>10,075*0,00035 'Přepočtené koeficientem množství</t>
  </si>
  <si>
    <t>108</t>
  </si>
  <si>
    <t>711112011</t>
  </si>
  <si>
    <t>Provedení izolace proti zemní vlhkosti svislé za studena suspenzí asfaltovou</t>
  </si>
  <si>
    <t>1139530820</t>
  </si>
  <si>
    <t>109</t>
  </si>
  <si>
    <t>11163346</t>
  </si>
  <si>
    <t xml:space="preserve">suspenze hydroizolační asfaltová </t>
  </si>
  <si>
    <t>-1008042113</t>
  </si>
  <si>
    <t>10,075*0,0011 'Přepočtené koeficientem množství</t>
  </si>
  <si>
    <t>110</t>
  </si>
  <si>
    <t>711491273</t>
  </si>
  <si>
    <t>Provedení izolace proti tlakové vodě svislé z nopové folie</t>
  </si>
  <si>
    <t>-1730672067</t>
  </si>
  <si>
    <t>3,1*1,75</t>
  </si>
  <si>
    <t>(3,1*2+1,75*2)*0,6</t>
  </si>
  <si>
    <t>(1,4*2+1,2*2)*0,4</t>
  </si>
  <si>
    <t>111</t>
  </si>
  <si>
    <t>28323005</t>
  </si>
  <si>
    <t xml:space="preserve">fólie profilovaná (nopová) drenážní HDPE </t>
  </si>
  <si>
    <t>368845599</t>
  </si>
  <si>
    <t>12,695*1,2 'Přepočtené koeficientem množství</t>
  </si>
  <si>
    <t>112</t>
  </si>
  <si>
    <t>998711201</t>
  </si>
  <si>
    <t>Přesun hmot procentní pro izolace proti vodě, vlhkosti a plynům v objektech v do 6 m</t>
  </si>
  <si>
    <t>%</t>
  </si>
  <si>
    <t>2039644682</t>
  </si>
  <si>
    <t>713</t>
  </si>
  <si>
    <t>Izolace tepelné</t>
  </si>
  <si>
    <t>113</t>
  </si>
  <si>
    <t>713131141</t>
  </si>
  <si>
    <t>Montáž izolace tepelné stěn a základů lepením celoplošně rohoží, pásů, dílců, desek - VŠ</t>
  </si>
  <si>
    <t>530124042</t>
  </si>
  <si>
    <t>114</t>
  </si>
  <si>
    <t>28376371</t>
  </si>
  <si>
    <t>deska z polystyrénu extrudovaného XPS, tl 80mm</t>
  </si>
  <si>
    <t>147549030</t>
  </si>
  <si>
    <t>12,695*1,05 'Přepočtené koeficientem množství</t>
  </si>
  <si>
    <t>115</t>
  </si>
  <si>
    <t>998713201</t>
  </si>
  <si>
    <t>Přesun hmot procentní pro izolace tepelné v objektech v do 6 m</t>
  </si>
  <si>
    <t>-1721134974</t>
  </si>
  <si>
    <t>767</t>
  </si>
  <si>
    <t>Konstrukce zámečnické</t>
  </si>
  <si>
    <t>116</t>
  </si>
  <si>
    <t>767861011</t>
  </si>
  <si>
    <t>Montáž vnitřních kovových žebříků přímých délky do 5 m kotvených do betonu</t>
  </si>
  <si>
    <t>1948702650</t>
  </si>
  <si>
    <t>117</t>
  </si>
  <si>
    <t>44983026</t>
  </si>
  <si>
    <t>žebřík výstupový jednoduchý přímý z nerezové oceli dl 2,4m s výsuvným madlem</t>
  </si>
  <si>
    <t>-522155926</t>
  </si>
  <si>
    <t>998767201</t>
  </si>
  <si>
    <t>Přesun hmot procentní pro zámečnické konstrukce v objektech v do 6 m</t>
  </si>
  <si>
    <t>251508197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</si>
  <si>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</si>
  <si>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</si>
  <si>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</si>
  <si>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</si>
  <si>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</si>
  <si>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 - směrové a výškové vytýčení veškerých stávajících podzemních vedení a zařízení + zajištění geodetického podkladu v trase</t>
  </si>
  <si>
    <t>1024</t>
  </si>
  <si>
    <t>145156163</t>
  </si>
  <si>
    <t>120</t>
  </si>
  <si>
    <t>012203000</t>
  </si>
  <si>
    <t>Geodetické práce při provádění stavby - vytýčení stavby a zaměření skutečného provedení nového vodovodu oprávněným geodetem</t>
  </si>
  <si>
    <t>1793652630</t>
  </si>
  <si>
    <t>121</t>
  </si>
  <si>
    <t>012203022</t>
  </si>
  <si>
    <t>Geodetické zaměření nové obrusné asfaltové vrstvy (ACO) komunikace se zpracováním výkresu a výpočtem plochy</t>
  </si>
  <si>
    <t>-447147144</t>
  </si>
  <si>
    <t>013254000</t>
  </si>
  <si>
    <t xml:space="preserve">Dokumentace skutečného provedení stavby </t>
  </si>
  <si>
    <t>1614479591</t>
  </si>
  <si>
    <t>013254044</t>
  </si>
  <si>
    <t>Fotodokumentace stavby č. 1.3. - TP v.1.9.</t>
  </si>
  <si>
    <t>811736556</t>
  </si>
  <si>
    <t>013254045</t>
  </si>
  <si>
    <t>Vypracování GP pro zřízení věcného břemene v rozsahu budovaných potrubí, potřebný počet vyhotovení 5ks na 1 právnickou osobu</t>
  </si>
  <si>
    <t>1915097258</t>
  </si>
  <si>
    <t>" Počet a velikost výkresů závisí na "</t>
  </si>
  <si>
    <t>" velikosti zobrazované plochy "</t>
  </si>
  <si>
    <t>125</t>
  </si>
  <si>
    <t>013540046</t>
  </si>
  <si>
    <t>Pasportizace přilehlých objektů, vč. monitoringu čl. 1. 11-TP v 1.9</t>
  </si>
  <si>
    <t>1660543268</t>
  </si>
  <si>
    <t>126</t>
  </si>
  <si>
    <t>013540047</t>
  </si>
  <si>
    <t>Soubor sond pro identifikaci podzemních zařízení čl. 1.12-TP v 1.9</t>
  </si>
  <si>
    <t>-375774693</t>
  </si>
  <si>
    <t>VRN3</t>
  </si>
  <si>
    <t>Zařízení staveniště</t>
  </si>
  <si>
    <t>127</t>
  </si>
  <si>
    <t>032103000</t>
  </si>
  <si>
    <t xml:space="preserve">Náklady na zařízení staveniště (buňky, chemické WC, skládky materiálů, označení stavby apod.) </t>
  </si>
  <si>
    <t>1086810166</t>
  </si>
  <si>
    <t>128</t>
  </si>
  <si>
    <t>034403000</t>
  </si>
  <si>
    <t>Zabezpečení výkopů proti pádu osob a zvířat - pevné oplocení výšky 2 m, tabulky, případné noční osvětlení</t>
  </si>
  <si>
    <t>1472080243</t>
  </si>
  <si>
    <t>VRN4</t>
  </si>
  <si>
    <t>Inženýrská činnost</t>
  </si>
  <si>
    <t>129</t>
  </si>
  <si>
    <t>0430020001</t>
  </si>
  <si>
    <t>Posouzení hygienické nezávadnosti vodní náplně potrubí akreditovaným pracovištěm - odběr, krácený rozbor vody, vypracování protokolu - dle vyhl. č. 376/2000 Sb., čl. 2.1.3 - TP v 1.9</t>
  </si>
  <si>
    <t>-1477358697</t>
  </si>
  <si>
    <t>130</t>
  </si>
  <si>
    <t>0430020002</t>
  </si>
  <si>
    <t>Statická hutnící zkouška - provedení akreditovaným subjektem se stanovením modulu přetvárnosti Edef2 a poměru Edef2/Edef1, vč. vypracování protokolu</t>
  </si>
  <si>
    <t>ks</t>
  </si>
  <si>
    <t>27267971</t>
  </si>
  <si>
    <t>131</t>
  </si>
  <si>
    <t>044002000</t>
  </si>
  <si>
    <t>-1314220421</t>
  </si>
  <si>
    <t>VRN7</t>
  </si>
  <si>
    <t>Provozní vlivy</t>
  </si>
  <si>
    <t>132</t>
  </si>
  <si>
    <t>072002000r</t>
  </si>
  <si>
    <t>Náklady na zajištění DIO (dopravně-inženýrské opatření) vč. projednání s dotčenými orgány</t>
  </si>
  <si>
    <t>1841880630</t>
  </si>
  <si>
    <t>133</t>
  </si>
  <si>
    <t>072002033r</t>
  </si>
  <si>
    <t xml:space="preserve">Doklady k předání a převzetí díla ve dvojím vyhotovení </t>
  </si>
  <si>
    <t>-1791751790</t>
  </si>
  <si>
    <t>2 - OPRAVA VODOVODU P, P1, P1a, P1b, P1c, P1c1, P1d</t>
  </si>
  <si>
    <t xml:space="preserve">    997 - Přesun sutě</t>
  </si>
  <si>
    <t>-1178859432</t>
  </si>
  <si>
    <t>" řad P "</t>
  </si>
  <si>
    <t>(1,7+1,62)/2*4*0,8</t>
  </si>
  <si>
    <t>(1,62+1,58)/2*2,5*0,8</t>
  </si>
  <si>
    <t>" jámy protlaku "</t>
  </si>
  <si>
    <t>6*2,5*1,58</t>
  </si>
  <si>
    <t>2*2,5*1,56</t>
  </si>
  <si>
    <t>-(6*0,8*1,58)</t>
  </si>
  <si>
    <t>-(2,5*0,8*1,56)</t>
  </si>
  <si>
    <t>" za protlakem "</t>
  </si>
  <si>
    <t>(2,56+1,69)/2*4,5*0,8</t>
  </si>
  <si>
    <t>(1,69+1,67)/2*10,5*0,8</t>
  </si>
  <si>
    <t>(1,67*1,86)/2*8,59*0,8</t>
  </si>
  <si>
    <t>(1,86+1,84)/2*15,47*0,8</t>
  </si>
  <si>
    <t>(1,84+2,06)/2*8,94*0,8</t>
  </si>
  <si>
    <t>(2,06+3,2)/2*2*0,8</t>
  </si>
  <si>
    <t>(1,7+2,21)/2*3,5*0,8</t>
  </si>
  <si>
    <t>" řad P1 po staničení 18 "</t>
  </si>
  <si>
    <t>(1,9+1,87)/2*18*0,8</t>
  </si>
  <si>
    <t>" od staničení 168 "</t>
  </si>
  <si>
    <t>(1,84+1,8)/2*18,45*0,8</t>
  </si>
  <si>
    <t>(1,8+1,84)/2*21,55*0,8</t>
  </si>
  <si>
    <t>(1,84+1,83)/2*17,5*0,8</t>
  </si>
  <si>
    <t>(1,83+1,81)/2*14,5*0,8</t>
  </si>
  <si>
    <t>(1,81+1,82)/2*18,5*0,8</t>
  </si>
  <si>
    <t>(1,82+1,83)/2*21*0,8</t>
  </si>
  <si>
    <t>(1,83+1,83)/2*25,76*0,8</t>
  </si>
  <si>
    <t>(1,83+1,8)/2*18,2*0,8</t>
  </si>
  <si>
    <t>(1,8+1,8)/2*14,54*0,8</t>
  </si>
  <si>
    <t>(1,8+1,8)/2*19,5*0,8</t>
  </si>
  <si>
    <t>(1,8+1,7)/2*16,58*0,8</t>
  </si>
  <si>
    <t>(1,7+1,77)/2*22,29*0,8</t>
  </si>
  <si>
    <t>(1,77+1,77)/2*18,88*0,8</t>
  </si>
  <si>
    <t>(1,77+1,8)/2*10*0,8</t>
  </si>
  <si>
    <t>(1,8+1,79)/2*15,75*0,8</t>
  </si>
  <si>
    <t>(1,79+1,8)/2*27*0,8</t>
  </si>
  <si>
    <t>6*2,5*1,8</t>
  </si>
  <si>
    <t>2,5*2*1,8</t>
  </si>
  <si>
    <t>-(6+2,5)*0,8*1,8</t>
  </si>
  <si>
    <t>(1,8+1,76)/2*26,5*0,8</t>
  </si>
  <si>
    <t>(1,76+1,9)/2*16*0,8</t>
  </si>
  <si>
    <t>(1,9+1,92)/2*11,25*0,8</t>
  </si>
  <si>
    <t>(1,92+1,8)/2*20,25*0,8</t>
  </si>
  <si>
    <t>(1,8+1,93)/2*21,97*0,8</t>
  </si>
  <si>
    <t>(1,93+1,96)/2*11,6*0,8</t>
  </si>
  <si>
    <t>(1,96+1,89)/2*11,43*0,8</t>
  </si>
  <si>
    <t>6*2*1,89</t>
  </si>
  <si>
    <t>2,5*2*1,79</t>
  </si>
  <si>
    <t>-(6*0,8*1,89)</t>
  </si>
  <si>
    <t>" řad P1a "</t>
  </si>
  <si>
    <t>6*2*1,82</t>
  </si>
  <si>
    <t>2,5*2*1,7</t>
  </si>
  <si>
    <t>" řad P1b "</t>
  </si>
  <si>
    <t>(1,8+1,6)/2*2,5*0,8</t>
  </si>
  <si>
    <t>" řad P1c "</t>
  </si>
  <si>
    <t>(2,09+2,01)/2*3,5*0,8</t>
  </si>
  <si>
    <t>(2,01+1,88)/2*14,5*0,8</t>
  </si>
  <si>
    <t>(1,88+1,6)/2*8*0,8</t>
  </si>
  <si>
    <t>" řad P1c1 "</t>
  </si>
  <si>
    <t>(1,65+1,65)/2*6*0,8</t>
  </si>
  <si>
    <t>" řad P1d "</t>
  </si>
  <si>
    <t>(1,9+2,01)/2*14,5*0,8</t>
  </si>
  <si>
    <t>(2,01+1,82)/2*3,5*0,8</t>
  </si>
  <si>
    <t>(1,82+1,6)/2*7*0,8</t>
  </si>
  <si>
    <t>" + přípojky "</t>
  </si>
  <si>
    <t>72,5*0,8*1,6</t>
  </si>
  <si>
    <t>-(35,1+188,1+14,88+3,796)</t>
  </si>
  <si>
    <t>113106023</t>
  </si>
  <si>
    <t>Rozebrání dlažeb při překopech komunikací pro pěší ze zámkové dlažby ručně</t>
  </si>
  <si>
    <t>1506430710</t>
  </si>
  <si>
    <t>(4+2+2)*1,2</t>
  </si>
  <si>
    <t>4*1,2</t>
  </si>
  <si>
    <t>2,5*3</t>
  </si>
  <si>
    <t>113107422</t>
  </si>
  <si>
    <t>Odstranění podkladu z kameniva drceného tl 200 mm při překopech strojně pl do 15 m2</t>
  </si>
  <si>
    <t>1135250445</t>
  </si>
  <si>
    <t>" podklad pod ZD "</t>
  </si>
  <si>
    <t>(4+2+2)*0,8</t>
  </si>
  <si>
    <t>4*0,8</t>
  </si>
  <si>
    <t>2*2,5</t>
  </si>
  <si>
    <t>2056199238</t>
  </si>
  <si>
    <t>(370,5+2,5+26+6+10,5+64,5)*0,8</t>
  </si>
  <si>
    <t>6*2*2+2*2,5*2</t>
  </si>
  <si>
    <t>113107524</t>
  </si>
  <si>
    <t>Odstranění podkladu z kameniva drceného tl 400 mm při překopech strojně pl přes 15 m2</t>
  </si>
  <si>
    <t>-1663018090</t>
  </si>
  <si>
    <t>" jen štěrkové plochy "</t>
  </si>
  <si>
    <t>(30,5+16)*0,8</t>
  </si>
  <si>
    <t>790429719</t>
  </si>
  <si>
    <t>418</t>
  </si>
  <si>
    <t>1590-321</t>
  </si>
  <si>
    <t>113202111</t>
  </si>
  <si>
    <t>Vytrhání obrub krajníků obrubníků stojatých</t>
  </si>
  <si>
    <t>-1992677353</t>
  </si>
  <si>
    <t>610740854</t>
  </si>
  <si>
    <t>-1921236348</t>
  </si>
  <si>
    <t>-1502461228</t>
  </si>
  <si>
    <t>0,8*29</t>
  </si>
  <si>
    <t>119001405</t>
  </si>
  <si>
    <t>Dočasné zajištění potrubí z PE DN do 200 mm</t>
  </si>
  <si>
    <t>-1082187972</t>
  </si>
  <si>
    <t>0,8*23</t>
  </si>
  <si>
    <t>-389255121</t>
  </si>
  <si>
    <t>-790312905</t>
  </si>
  <si>
    <t>0,8*8</t>
  </si>
  <si>
    <t>1316889306</t>
  </si>
  <si>
    <t>4*3*0,3</t>
  </si>
  <si>
    <t>" rozšíření v místech jam protlaků "</t>
  </si>
  <si>
    <t>2*6*0,3*2</t>
  </si>
  <si>
    <t>764829567</t>
  </si>
  <si>
    <t>0,8*1*1,6*62</t>
  </si>
  <si>
    <t>881579347</t>
  </si>
  <si>
    <t>-1048308375</t>
  </si>
  <si>
    <t>-937921228</t>
  </si>
  <si>
    <t>527504207</t>
  </si>
  <si>
    <t>141721117</t>
  </si>
  <si>
    <t>Řízený zemní protlak hloubky do 6 m vnějšího průměru do 315 mm v hornině tř 1 až 4</t>
  </si>
  <si>
    <t>128545648</t>
  </si>
  <si>
    <t>5+13+8</t>
  </si>
  <si>
    <t>55283930</t>
  </si>
  <si>
    <t>trubka ocelová bezešvá hladká jakost 11 353 273x6,3mm</t>
  </si>
  <si>
    <t>1584626639</t>
  </si>
  <si>
    <t>26*1,03 'Přepočtené koeficientem množství</t>
  </si>
  <si>
    <t>141721119</t>
  </si>
  <si>
    <t>Řízený zemní protlak hloubky do 6 m vnějšího průměru do 400 mm v hornině tř 1 až 4</t>
  </si>
  <si>
    <t>722565997</t>
  </si>
  <si>
    <t>14011112</t>
  </si>
  <si>
    <t>trubka ocelová bezešvá hladká jakost 11 353 406x8,0mm</t>
  </si>
  <si>
    <t>854547581</t>
  </si>
  <si>
    <t>22*1,03 'Přepočtené koeficientem množství</t>
  </si>
  <si>
    <t>1458270880</t>
  </si>
  <si>
    <t>(1,7+1,62)/2*4*2</t>
  </si>
  <si>
    <t>(1,62+1,58)/2*2,5*2</t>
  </si>
  <si>
    <t>(6*2+2,5*2)*1,58</t>
  </si>
  <si>
    <t>(2*2+2,5*2)*1,56</t>
  </si>
  <si>
    <t>-(6*2+0,8*2)*1,58</t>
  </si>
  <si>
    <t>-(2,5*2+0,8*2)*1,56</t>
  </si>
  <si>
    <t>(1,69+1,67)/2*10,5*2</t>
  </si>
  <si>
    <t>(1,67*1,86)/2*8,59*2</t>
  </si>
  <si>
    <t>(1,86+1,84)/2*15,47*2</t>
  </si>
  <si>
    <t>(1,84+2,06)/2*8,94*2</t>
  </si>
  <si>
    <t>(1,7+2,21)/2*3,5*2</t>
  </si>
  <si>
    <t>(1,9+1,87)/2*18*2</t>
  </si>
  <si>
    <t>(1,84+1,8)/2*18,45*2</t>
  </si>
  <si>
    <t>(1,8+1,84)/2*21,55*2</t>
  </si>
  <si>
    <t>(1,84+1,83)/2*17,5*2</t>
  </si>
  <si>
    <t>(1,83+1,81)/2*14,5*2</t>
  </si>
  <si>
    <t>(1,81+1,82)/2*18,5*2</t>
  </si>
  <si>
    <t>(1,82+1,83)/2*21*2</t>
  </si>
  <si>
    <t>(1,83+1,83)/2*25,76*2</t>
  </si>
  <si>
    <t>(1,83+1,8)/2*18,2*2</t>
  </si>
  <si>
    <t>(1,8+1,8)/2*14,54*2</t>
  </si>
  <si>
    <t>(1,8+1,8)/2*19,5*2</t>
  </si>
  <si>
    <t>(1,8+1,7)/2*16,58*2</t>
  </si>
  <si>
    <t>(1,7+1,77)/2*22,29*2</t>
  </si>
  <si>
    <t>(1,77+1,77)/2*18,88*2</t>
  </si>
  <si>
    <t>(1,77+1,8)/2*10*2</t>
  </si>
  <si>
    <t>(1,8+1,79)/2*15,75*2</t>
  </si>
  <si>
    <t>(1,79+1,8)/2*27*2</t>
  </si>
  <si>
    <t>(6*2+2,5*2)*1,8</t>
  </si>
  <si>
    <t>(2,5*2+2*2)*1,8</t>
  </si>
  <si>
    <t>-(6*2+2,5*2+0,8*4)*1,8</t>
  </si>
  <si>
    <t>(1,8+1,76)/2*26,5*2</t>
  </si>
  <si>
    <t>(1,76+1,9)/2*16*2</t>
  </si>
  <si>
    <t>(1,9+1,92)/2*11,25*2</t>
  </si>
  <si>
    <t>(1,92+1,8)/2*20,25*2</t>
  </si>
  <si>
    <t>(1,8+1,93)/2*21,97*2</t>
  </si>
  <si>
    <t>(1,93+1,96)/2*11,6*2</t>
  </si>
  <si>
    <t>(1,96+1,89)/2*11,43*2</t>
  </si>
  <si>
    <t>(6*2+2*2)*1,89</t>
  </si>
  <si>
    <t>(2,5*2+2*2)*1,79</t>
  </si>
  <si>
    <t>-(6*2+0,8*2)*1,89</t>
  </si>
  <si>
    <t>(6*2+2*2)*1,82</t>
  </si>
  <si>
    <t>(2,5*2+2*2)*1,7</t>
  </si>
  <si>
    <t>(1,8+1,6)/2*2,5*2</t>
  </si>
  <si>
    <t>(2,01+1,88)/2*14,5*2</t>
  </si>
  <si>
    <t>(1,88+1,6)/2*8*2</t>
  </si>
  <si>
    <t>(1,65+1,65)/2*6*2</t>
  </si>
  <si>
    <t>(1,9+2,01)/2*14,5*2</t>
  </si>
  <si>
    <t>(2,01+1,82)/2*3,5*2</t>
  </si>
  <si>
    <t>(1,82+1,6)/2*7*2</t>
  </si>
  <si>
    <t>72,5*2*1,6</t>
  </si>
  <si>
    <t>-654281057</t>
  </si>
  <si>
    <t>(2,56+1,69)/2*4,5*2</t>
  </si>
  <si>
    <t>(2,06+3,2)/2*2*2</t>
  </si>
  <si>
    <t>(2,09+2,01)/2*3,5*2</t>
  </si>
  <si>
    <t>-1845663920</t>
  </si>
  <si>
    <t>-1415391066</t>
  </si>
  <si>
    <t>-1914506903</t>
  </si>
  <si>
    <t>-1681452679</t>
  </si>
  <si>
    <t>" zásypům "</t>
  </si>
  <si>
    <t>Vodorovné přemístění  výkopku/sypaniny z horniny tř. 1 až 4 na skládku. Vzdálenost si určí dodavatel podle svých zvyklostí.</t>
  </si>
  <si>
    <t>1537481404</t>
  </si>
  <si>
    <t>167101102</t>
  </si>
  <si>
    <t>Nakládání výkopku z hornin tř. 1 až 4 přes 100 m3</t>
  </si>
  <si>
    <t>-10604954</t>
  </si>
  <si>
    <t>" jedná se o výkopek určený ke zpětným zásypům "</t>
  </si>
  <si>
    <t>985200801</t>
  </si>
  <si>
    <t>-1574856274</t>
  </si>
  <si>
    <t>-(415,5+64,5)*0,8*0,3</t>
  </si>
  <si>
    <t>-608250194</t>
  </si>
  <si>
    <t>-437744438</t>
  </si>
  <si>
    <t>2045864407</t>
  </si>
  <si>
    <t>4*3</t>
  </si>
  <si>
    <t>1056022817</t>
  </si>
  <si>
    <t>1731742224</t>
  </si>
  <si>
    <t>-1110171938</t>
  </si>
  <si>
    <t>-624552498</t>
  </si>
  <si>
    <t>200</t>
  </si>
  <si>
    <t>609903015</t>
  </si>
  <si>
    <t>453513357</t>
  </si>
  <si>
    <t>-(150+8+13+22+5+26)*0,8*0,5</t>
  </si>
  <si>
    <t>-1615565313</t>
  </si>
  <si>
    <t>3,7</t>
  </si>
  <si>
    <t>1484647579</t>
  </si>
  <si>
    <t>566901143</t>
  </si>
  <si>
    <t>Vyspravení podkladu po překopech ing sítí plochy do 15 m2 kamenivem hrubým drceným tl. 200 mm</t>
  </si>
  <si>
    <t>-1986315407</t>
  </si>
  <si>
    <t>-167718253</t>
  </si>
  <si>
    <t>" nový štěrk ASF "</t>
  </si>
  <si>
    <t>566901243</t>
  </si>
  <si>
    <t>Vyspravení podkladu po překopech ing sítí plochy přes 15 m2 kamenivem hrubým drceným tl. 200 mm</t>
  </si>
  <si>
    <t>1632745296</t>
  </si>
  <si>
    <t>" celk. tl. 400 mm "</t>
  </si>
  <si>
    <t>37,2*2</t>
  </si>
  <si>
    <t>619251153</t>
  </si>
  <si>
    <t>" vodovod - plochy ASF "</t>
  </si>
  <si>
    <t>1279118824</t>
  </si>
  <si>
    <t>" plochy ASF "</t>
  </si>
  <si>
    <t>1742501606</t>
  </si>
  <si>
    <t>-1258511428</t>
  </si>
  <si>
    <t>-1075136139</t>
  </si>
  <si>
    <t>-1334313160</t>
  </si>
  <si>
    <t>596211110</t>
  </si>
  <si>
    <t>Kladení zámkové dlažby komunikací pro pěší tl 60 mm skupiny A pl do 50 m2</t>
  </si>
  <si>
    <t>-509531498</t>
  </si>
  <si>
    <t>59245295</t>
  </si>
  <si>
    <t>dlažba zámková Ičko tl. 60mm přírodní</t>
  </si>
  <si>
    <t>-880232668</t>
  </si>
  <si>
    <t>21,9*1,05 'Přepočtené koeficientem množství</t>
  </si>
  <si>
    <t>81424042</t>
  </si>
  <si>
    <t>851241131</t>
  </si>
  <si>
    <t>Montáž potrubí z trub litinových hrdlových s integrovaným těsněním otevřený výkop DN 80</t>
  </si>
  <si>
    <t>-421911643</t>
  </si>
  <si>
    <t>" - potrubí uložené do chráničky protlaku "</t>
  </si>
  <si>
    <t>-5</t>
  </si>
  <si>
    <t>851241133r</t>
  </si>
  <si>
    <t>Montáž potrubí z trub litinových hrdlových s integrovaným těsněním uložení do chráničky protlaku DN 80</t>
  </si>
  <si>
    <t>957181929</t>
  </si>
  <si>
    <t>" řad P1 "</t>
  </si>
  <si>
    <t>55253000</t>
  </si>
  <si>
    <t>trouba vodovodní litinová hrdlová min. třídy Class 100 s vnitřní cementací dl 6m DN 80</t>
  </si>
  <si>
    <t>1231139274</t>
  </si>
  <si>
    <t>-140840885</t>
  </si>
  <si>
    <t>-(13+8)</t>
  </si>
  <si>
    <t>851261133r</t>
  </si>
  <si>
    <t>Montáž potrubí z trub litinových hrdlových s integrovaným těsněním uložení do chráničky protlaku DN 100</t>
  </si>
  <si>
    <t>-545058883</t>
  </si>
  <si>
    <t>13+8</t>
  </si>
  <si>
    <t>706774666</t>
  </si>
  <si>
    <t>851311131</t>
  </si>
  <si>
    <t>Montáž potrubí z trub litinových hrdlových s integrovaným těsněním otevřený výkop DN 150</t>
  </si>
  <si>
    <t>1266414715</t>
  </si>
  <si>
    <t>" - potrubí uložené do nové a stávající chráničky "</t>
  </si>
  <si>
    <t>-(26+4)</t>
  </si>
  <si>
    <t>851311131r</t>
  </si>
  <si>
    <t>Montáž potrubí z trub litinových hrdlových s integrovaným těsněním uložení do chráničky DN 150</t>
  </si>
  <si>
    <t>-536624748</t>
  </si>
  <si>
    <t>26+4</t>
  </si>
  <si>
    <t>55253003</t>
  </si>
  <si>
    <t>trouba vodovodní litinová hrdlová min. třídy C64 s vnitřní cementací  dl 6m DN 150</t>
  </si>
  <si>
    <t>-716417653</t>
  </si>
  <si>
    <t>851351131</t>
  </si>
  <si>
    <t>Montáž potrubí z trub litinových hrdlových s integrovaným těsněním otevřený výkop DN 200</t>
  </si>
  <si>
    <t>-1441940083</t>
  </si>
  <si>
    <t>75,5</t>
  </si>
  <si>
    <t>-22</t>
  </si>
  <si>
    <t>851351131r</t>
  </si>
  <si>
    <t>Montáž potrubí z trub litinových hrdlových s integrovaným těsněním uložení do chráničky protlaku DN 200</t>
  </si>
  <si>
    <t>-1519559623</t>
  </si>
  <si>
    <t>55253004</t>
  </si>
  <si>
    <t>trouba vodovodní litinová hrdlová min. třídy C64 s vnitřní cementací  dl 6m DN 200</t>
  </si>
  <si>
    <t>-2017883722</t>
  </si>
  <si>
    <t>857241131</t>
  </si>
  <si>
    <t>Montáž litinových tvarovek jednoosých hrdlových otevřený výkop s integrovaným těsněním DN 80</t>
  </si>
  <si>
    <t>-1191208882</t>
  </si>
  <si>
    <t>4+1+1+1</t>
  </si>
  <si>
    <t>55259470</t>
  </si>
  <si>
    <t>koleno hrdlové z tvárné litiny MMK-kus DN 80-45°</t>
  </si>
  <si>
    <t>1409126662</t>
  </si>
  <si>
    <t>55253904</t>
  </si>
  <si>
    <t>koleno hrdlové z tvárné litiny,práškový epoxid tl 250µm MMK-kus DN 80-11°</t>
  </si>
  <si>
    <t>-1799070481</t>
  </si>
  <si>
    <t>55253928</t>
  </si>
  <si>
    <t>koleno hrdlové z tvárné litiny,práškový epoxid tl 250µm MMK-kus DN 80-30° jedno hrdlový oblouk</t>
  </si>
  <si>
    <t>-1448283446</t>
  </si>
  <si>
    <t>55259410</t>
  </si>
  <si>
    <t>koleno hrdlové z tvárné litiny MMK-kus DN 80-11° jedno hrdlový oblouk</t>
  </si>
  <si>
    <t>-739262660</t>
  </si>
  <si>
    <t>405245506</t>
  </si>
  <si>
    <t>-1782075205</t>
  </si>
  <si>
    <t>55254026</t>
  </si>
  <si>
    <t>koleno 90° přírubové litinové vodovodní Q-kus PN 10/40 DN 80</t>
  </si>
  <si>
    <t>-2039309455</t>
  </si>
  <si>
    <t>55252230</t>
  </si>
  <si>
    <t>trouba přírubová přírubový krátký kus DN 80 dl 800mm</t>
  </si>
  <si>
    <t>-1911005751</t>
  </si>
  <si>
    <t>55252226</t>
  </si>
  <si>
    <t>trouba přírubová přírubový krátký kus DN 80 dl 250mm</t>
  </si>
  <si>
    <t>760376251</t>
  </si>
  <si>
    <t>55253892</t>
  </si>
  <si>
    <t xml:space="preserve">tvarovka přírubová s hrdlem z tvárné litiny,práškový epoxid tl 250µm EU-kus DN 80 </t>
  </si>
  <si>
    <t>-2039928362</t>
  </si>
  <si>
    <t>55253489</t>
  </si>
  <si>
    <t>tvarovka přírubová litinová s hladkým koncem,práškový epoxid tl 250µm F-kus DN 80</t>
  </si>
  <si>
    <t>-1737313470</t>
  </si>
  <si>
    <t>857243131</t>
  </si>
  <si>
    <t>Montáž litinových tvarovek odbočných hrdlových otevřený výkop s integrovaným těsněním DN 80</t>
  </si>
  <si>
    <t>-366574018</t>
  </si>
  <si>
    <t>55253809</t>
  </si>
  <si>
    <t>tvarovka hrdlová s hrdlovou odbočkou z tvárné litiny,práškový epoxid tl 250µm MMB-kus DN 80/80</t>
  </si>
  <si>
    <t>2107100980</t>
  </si>
  <si>
    <t>273021556</t>
  </si>
  <si>
    <t>-1236812224</t>
  </si>
  <si>
    <t>55253917</t>
  </si>
  <si>
    <t>koleno hrdlové z tvárné litiny,práškový epoxid tl 250µm MMK-kus DN 100-22°</t>
  </si>
  <si>
    <t>-2102451743</t>
  </si>
  <si>
    <t>55253929</t>
  </si>
  <si>
    <t>koleno hrdlové z tvárné litiny,práškový epoxid tl 250µm MMK-kus DN 100-30°</t>
  </si>
  <si>
    <t>-562973647</t>
  </si>
  <si>
    <t>-1582437585</t>
  </si>
  <si>
    <t>55259432</t>
  </si>
  <si>
    <t>koleno hrdlové z tvárné litiny MMK-kus DN 100-22° - jedno hrdlový oblouk</t>
  </si>
  <si>
    <t>-125840643</t>
  </si>
  <si>
    <t>55259477</t>
  </si>
  <si>
    <t>koleno hrdlové z tvárné litiny MMK-kus DN 100-30° jedno hrdlový oblouk</t>
  </si>
  <si>
    <t>-105483324</t>
  </si>
  <si>
    <t>55253855</t>
  </si>
  <si>
    <t>hrdlová tvarovka redukovaná z tvárné litiny,práškový epoxid tl 250µm  DN 100/80</t>
  </si>
  <si>
    <t>-367387479</t>
  </si>
  <si>
    <t>55254212</t>
  </si>
  <si>
    <t>přesuvka hrdlová U s těsnícím spojem včetně příslušenství DN 100</t>
  </si>
  <si>
    <t>-398002647</t>
  </si>
  <si>
    <t>1836750409</t>
  </si>
  <si>
    <t>-1786494276</t>
  </si>
  <si>
    <t>55253490</t>
  </si>
  <si>
    <t>tvarovka přírubová litinová s hladkým koncem,práškový epoxid tl 250µm F-kus DN 100</t>
  </si>
  <si>
    <t>-15044047</t>
  </si>
  <si>
    <t>55254048</t>
  </si>
  <si>
    <t>-767405753</t>
  </si>
  <si>
    <t>857263131</t>
  </si>
  <si>
    <t>Montáž litinových tvarovek odbočných hrdlových otevřený výkop s integrovaným těsněním DN 100</t>
  </si>
  <si>
    <t>1641628564</t>
  </si>
  <si>
    <t>55253811</t>
  </si>
  <si>
    <t>tvarovka hrdlová s hrdlovou odbočkou z tvárné litiny,práškový epoxid tl 250µm MMB-kus DN 100/100</t>
  </si>
  <si>
    <t>-229529868</t>
  </si>
  <si>
    <t>55253810</t>
  </si>
  <si>
    <t>tvarovka hrdlová s hrdlovou odbočkou z tvárné litiny,práškový epoxid tl 250µm MMB-kus DN 100/80</t>
  </si>
  <si>
    <t>920166914</t>
  </si>
  <si>
    <t>857264122</t>
  </si>
  <si>
    <t>Montáž litinových tvarovek odbočných přírubových otevřený výkop DN 100</t>
  </si>
  <si>
    <t>323587256</t>
  </si>
  <si>
    <t>55253516</t>
  </si>
  <si>
    <t>tvarovka přírubová litinová vodovodní s přírubovou odbočkou PN 10/16 T-kus DN 100/100</t>
  </si>
  <si>
    <t>342519645</t>
  </si>
  <si>
    <t>-376679322</t>
  </si>
  <si>
    <t>55253592</t>
  </si>
  <si>
    <t>kříž přírubový litinový PN 10/16 TT-kus DN 100/100</t>
  </si>
  <si>
    <t>-78365336</t>
  </si>
  <si>
    <t>857311131</t>
  </si>
  <si>
    <t>Montáž litinových tvarovek jednoosých hrdlových otevřený výkop s integrovaným těsněním DN 150</t>
  </si>
  <si>
    <t>1116903104</t>
  </si>
  <si>
    <t>55253907</t>
  </si>
  <si>
    <t>koleno hrdlové z tvárné litiny,práškový epoxid tl 250µm MMK-kus DN 150- 11°</t>
  </si>
  <si>
    <t>929620340</t>
  </si>
  <si>
    <t>857312122</t>
  </si>
  <si>
    <t>Montáž litinových tvarovek jednoosých přírubových otevřený výkop DN 150</t>
  </si>
  <si>
    <t>-1067350896</t>
  </si>
  <si>
    <t>55253492</t>
  </si>
  <si>
    <t>tvarovka přírubová litinová s hladkým koncem,práškový epoxid tl 250µm F-kus DN 150</t>
  </si>
  <si>
    <t>1610872813</t>
  </si>
  <si>
    <t>857351131</t>
  </si>
  <si>
    <t>Montáž litinových tvarovek jednoosých hrdlových otevřený výkop s integrovaným těsněním DN 200</t>
  </si>
  <si>
    <t>-1501139446</t>
  </si>
  <si>
    <t>55253944</t>
  </si>
  <si>
    <t>koleno hrdlové z tvárné litiny,práškový epoxid tl 250µm MMK-kus DN 200-45°</t>
  </si>
  <si>
    <t>1101783697</t>
  </si>
  <si>
    <t>55254218</t>
  </si>
  <si>
    <t>přesuvka hrdlová U s těsnícím spojem včetně příslušenství DN 200</t>
  </si>
  <si>
    <t>31778991</t>
  </si>
  <si>
    <t>55259474</t>
  </si>
  <si>
    <t>koleno hrdlové z tvárné litiny MMK-kus DN 200-45° jedno hrdlový oblouk</t>
  </si>
  <si>
    <t>533885767</t>
  </si>
  <si>
    <t>55253868r</t>
  </si>
  <si>
    <t>hrdlová tvarovka redukovaná z tvárné litiny,práškový epoxid tl 250µm  DN 200/150 2x jištěný spoj</t>
  </si>
  <si>
    <t>-620105663</t>
  </si>
  <si>
    <t>857352122</t>
  </si>
  <si>
    <t>Montáž litinových tvarovek jednoosých přírubových otevřený výkop DN 200</t>
  </si>
  <si>
    <t>934242349</t>
  </si>
  <si>
    <t>55253866r</t>
  </si>
  <si>
    <t>přírubová tvarovka redukovaná z tvárné litiny,práškový epoxid tl 250µm DN 200/100</t>
  </si>
  <si>
    <t>2064784181</t>
  </si>
  <si>
    <t>55253896</t>
  </si>
  <si>
    <t>tvarovka přírubová s hrdlem z tvárné litiny,práškový epoxid tl 250µm EU-kus DN 200 L140mm</t>
  </si>
  <si>
    <t>-1500114796</t>
  </si>
  <si>
    <t>55253493</t>
  </si>
  <si>
    <t>tvarovka přírubová litinová s hladkým koncem,práškový epoxid tl 250µm F-kus DN 200</t>
  </si>
  <si>
    <t>-504655138</t>
  </si>
  <si>
    <t>857354122</t>
  </si>
  <si>
    <t>Montáž litinových tvarovek odbočných přírubových otevřený výkop DN 200</t>
  </si>
  <si>
    <t>506551787</t>
  </si>
  <si>
    <t>55253535</t>
  </si>
  <si>
    <t>tvarovka přírubová litinová s přírubovou odbočkou,práškový epoxid tl 250µm T-kus DN 200/150</t>
  </si>
  <si>
    <t>-655994826</t>
  </si>
  <si>
    <t>55253532</t>
  </si>
  <si>
    <t>tvarovka přírubová litinová s přírubovou odbočkou,práškový epoxid tl 250µm T-kus DN 200/80</t>
  </si>
  <si>
    <t>70041785</t>
  </si>
  <si>
    <t>931012111</t>
  </si>
  <si>
    <t>1379203085</t>
  </si>
  <si>
    <t>72,5*1,015 'Přepočtené koeficientem množství</t>
  </si>
  <si>
    <t>871400401r</t>
  </si>
  <si>
    <t>D+M Chránička PE DN 300</t>
  </si>
  <si>
    <t>804331571</t>
  </si>
  <si>
    <t>888121001r</t>
  </si>
  <si>
    <t>355269022</t>
  </si>
  <si>
    <t>" betonová skruž, výplň plaveným kačírkem, "</t>
  </si>
  <si>
    <t>" beton, štěrkopísek, betonový sloupek "</t>
  </si>
  <si>
    <t>" identifikační štítek "</t>
  </si>
  <si>
    <t>-831646960</t>
  </si>
  <si>
    <t>-1991313379</t>
  </si>
  <si>
    <t>-1250652070</t>
  </si>
  <si>
    <t>-714319465</t>
  </si>
  <si>
    <t>769590884</t>
  </si>
  <si>
    <t>1053046924</t>
  </si>
  <si>
    <t>-1838650600</t>
  </si>
  <si>
    <t>1872296126</t>
  </si>
  <si>
    <t>891249111</t>
  </si>
  <si>
    <t>Montáž navrtávacích pasů na potrubí z jakýchkoli trub DN 80</t>
  </si>
  <si>
    <t>-682981055</t>
  </si>
  <si>
    <t>134</t>
  </si>
  <si>
    <t>42271412</t>
  </si>
  <si>
    <t>pás navrtávací z tvárné litiny DN 80mm, rozsah (88-99), odbočky 1",5/4",6/4",2"</t>
  </si>
  <si>
    <t>-346709411</t>
  </si>
  <si>
    <t>135</t>
  </si>
  <si>
    <t>-723770340</t>
  </si>
  <si>
    <t>136</t>
  </si>
  <si>
    <t>-1901106794</t>
  </si>
  <si>
    <t>137</t>
  </si>
  <si>
    <t>-1372213661</t>
  </si>
  <si>
    <t>138</t>
  </si>
  <si>
    <t>-319942531</t>
  </si>
  <si>
    <t>139</t>
  </si>
  <si>
    <t>2118694858</t>
  </si>
  <si>
    <t>140</t>
  </si>
  <si>
    <t>891311112</t>
  </si>
  <si>
    <t>Montáž vodovodních šoupátek otevřený výkop DN 150</t>
  </si>
  <si>
    <t>-388705078</t>
  </si>
  <si>
    <t>141</t>
  </si>
  <si>
    <t>42221306</t>
  </si>
  <si>
    <t>šoupátko přírubové pitná voda litina DN 150</t>
  </si>
  <si>
    <t>-1046027166</t>
  </si>
  <si>
    <t>142</t>
  </si>
  <si>
    <t>42291080</t>
  </si>
  <si>
    <t>souprava zemní pro šoupátka DN 150</t>
  </si>
  <si>
    <t>2056041155</t>
  </si>
  <si>
    <t>143</t>
  </si>
  <si>
    <t>891351112</t>
  </si>
  <si>
    <t>Montáž vodovodních šoupátek otevřený výkop DN 200</t>
  </si>
  <si>
    <t>-327721049</t>
  </si>
  <si>
    <t>144</t>
  </si>
  <si>
    <t>42221307r</t>
  </si>
  <si>
    <t xml:space="preserve">šoupátko přírubové  pitná voda DN 200 </t>
  </si>
  <si>
    <t>-1343910268</t>
  </si>
  <si>
    <t>145</t>
  </si>
  <si>
    <t>42291081r</t>
  </si>
  <si>
    <t xml:space="preserve">souprava zemní pro šoupátka DN 200mm </t>
  </si>
  <si>
    <t>1204418208</t>
  </si>
  <si>
    <t>146</t>
  </si>
  <si>
    <t>891359111</t>
  </si>
  <si>
    <t>Montáž navrtávacích pasů na potrubí z jakýchkoli trub DN 200</t>
  </si>
  <si>
    <t>-1592539276</t>
  </si>
  <si>
    <t>42271416</t>
  </si>
  <si>
    <t xml:space="preserve">pás navrtávací DN 25 na potrubí z tvárné litiny DN 200mm </t>
  </si>
  <si>
    <t>-467349066</t>
  </si>
  <si>
    <t>148</t>
  </si>
  <si>
    <t>-1798864877</t>
  </si>
  <si>
    <t>149</t>
  </si>
  <si>
    <t>722269668r</t>
  </si>
  <si>
    <t xml:space="preserve">D+M ISIFLO koleno DN 1"  45° </t>
  </si>
  <si>
    <t>-1606380473</t>
  </si>
  <si>
    <t>892360200r</t>
  </si>
  <si>
    <t>-463345324</t>
  </si>
  <si>
    <t>892360201r</t>
  </si>
  <si>
    <t>-1357881645</t>
  </si>
  <si>
    <t>152</t>
  </si>
  <si>
    <t>892360202r</t>
  </si>
  <si>
    <t>-1679043166</t>
  </si>
  <si>
    <t>153</t>
  </si>
  <si>
    <t>154</t>
  </si>
  <si>
    <t>892360204r</t>
  </si>
  <si>
    <t>D+M Speciální příruba pro TLT potrubí DN 80 (jištěná)</t>
  </si>
  <si>
    <t>-1792137954</t>
  </si>
  <si>
    <t>155</t>
  </si>
  <si>
    <t>892360205r</t>
  </si>
  <si>
    <t>D+M Speciální příruba pro TLT potrubí DN 100 (jištěná)</t>
  </si>
  <si>
    <t>-942973437</t>
  </si>
  <si>
    <t>156</t>
  </si>
  <si>
    <t>399794227</t>
  </si>
  <si>
    <t>157</t>
  </si>
  <si>
    <t>-1421763276</t>
  </si>
  <si>
    <t>158</t>
  </si>
  <si>
    <t>-1138813875</t>
  </si>
  <si>
    <t>159</t>
  </si>
  <si>
    <t>709006919</t>
  </si>
  <si>
    <t>160</t>
  </si>
  <si>
    <t>-202125217</t>
  </si>
  <si>
    <t>161</t>
  </si>
  <si>
    <t>892351111</t>
  </si>
  <si>
    <t>Tlaková zkouška vodou potrubí DN 150 nebo 200</t>
  </si>
  <si>
    <t>190096745</t>
  </si>
  <si>
    <t>162</t>
  </si>
  <si>
    <t>892353122</t>
  </si>
  <si>
    <t>Proplach a dezinfekce vodovodního potrubí DN 150 nebo 200</t>
  </si>
  <si>
    <t>-840828110</t>
  </si>
  <si>
    <t>163</t>
  </si>
  <si>
    <t>40501216</t>
  </si>
  <si>
    <t>164</t>
  </si>
  <si>
    <t>1424627964</t>
  </si>
  <si>
    <t>165</t>
  </si>
  <si>
    <t>986947550</t>
  </si>
  <si>
    <t>166</t>
  </si>
  <si>
    <t>-279769025</t>
  </si>
  <si>
    <t>167</t>
  </si>
  <si>
    <t>-896741560</t>
  </si>
  <si>
    <t>168</t>
  </si>
  <si>
    <t>-1845439994</t>
  </si>
  <si>
    <t>169</t>
  </si>
  <si>
    <t>-1308385386</t>
  </si>
  <si>
    <t>170</t>
  </si>
  <si>
    <t>1792161342</t>
  </si>
  <si>
    <t>171</t>
  </si>
  <si>
    <t>2108065849</t>
  </si>
  <si>
    <t>172</t>
  </si>
  <si>
    <t>899722566r</t>
  </si>
  <si>
    <t>D+M Napojení nových řadů na stávající řady</t>
  </si>
  <si>
    <t>-1290867517</t>
  </si>
  <si>
    <t>173</t>
  </si>
  <si>
    <t>174</t>
  </si>
  <si>
    <t>899913143</t>
  </si>
  <si>
    <t>Uzavírací manžeta chráničky potrubí DN 100 x 250</t>
  </si>
  <si>
    <t>742955403</t>
  </si>
  <si>
    <t>175</t>
  </si>
  <si>
    <t>176</t>
  </si>
  <si>
    <t>899913153</t>
  </si>
  <si>
    <t>Uzavírací manžeta chráničky potrubí DN 150 x 300</t>
  </si>
  <si>
    <t>-919562147</t>
  </si>
  <si>
    <t>177</t>
  </si>
  <si>
    <t>899913162</t>
  </si>
  <si>
    <t>Uzavírací manžeta chráničky potrubí DN 200 x 400</t>
  </si>
  <si>
    <t>302132542</t>
  </si>
  <si>
    <t>178</t>
  </si>
  <si>
    <t>916231213</t>
  </si>
  <si>
    <t>Osazení chodníkového obrubníku betonového stojatého s boční opěrou do lože z betonu prostého</t>
  </si>
  <si>
    <t>-1111221478</t>
  </si>
  <si>
    <t>179</t>
  </si>
  <si>
    <t>59217017</t>
  </si>
  <si>
    <t>obrubník betonový chodníkový 1000x100x250mm</t>
  </si>
  <si>
    <t>909568584</t>
  </si>
  <si>
    <t>180</t>
  </si>
  <si>
    <t>-1578871375</t>
  </si>
  <si>
    <t>(370,5+2,5+26+6+10,5)*2</t>
  </si>
  <si>
    <t>1,4*20</t>
  </si>
  <si>
    <t>6*4+2,5*4+2*4+2,5*4</t>
  </si>
  <si>
    <t>181</t>
  </si>
  <si>
    <t>-2070772398</t>
  </si>
  <si>
    <t>0,8*20</t>
  </si>
  <si>
    <t>64,5*2</t>
  </si>
  <si>
    <t>182</t>
  </si>
  <si>
    <t>938909444r</t>
  </si>
  <si>
    <t>Oprava/Onovení uličních vpustí - provizorní zajištění ve výkopu, oprava napojení</t>
  </si>
  <si>
    <t>-1181881304</t>
  </si>
  <si>
    <t>183</t>
  </si>
  <si>
    <t>938909455r</t>
  </si>
  <si>
    <t>Oprava/Onovení uličních vpustí - demontáž a zpětná montáž bet. prvků, nové napojení KT DN 150</t>
  </si>
  <si>
    <t>912449581</t>
  </si>
  <si>
    <t>184</t>
  </si>
  <si>
    <t>Obnovení vodorovného dopravního značení - vodící čára (č. V4) 0,125</t>
  </si>
  <si>
    <t>1522767737</t>
  </si>
  <si>
    <t>185</t>
  </si>
  <si>
    <t>969011144r</t>
  </si>
  <si>
    <t>Zdemontování stávajícího vodovodního potrubí DN 100-200 z PE  vč. likvidace suti</t>
  </si>
  <si>
    <t>-1497685135</t>
  </si>
  <si>
    <t>" odstranění starého vodovodu "</t>
  </si>
  <si>
    <t>113,5+609+7+2,5+26+6+25</t>
  </si>
  <si>
    <t>186</t>
  </si>
  <si>
    <t>969011155r</t>
  </si>
  <si>
    <t>Zrušení stávajících armaturních šachet A16, A1, A12, A32, A2, A3, A7 A5 bourání betonové konstr. šachty vč. odvozu a likvidace na skládce</t>
  </si>
  <si>
    <t>1153628150</t>
  </si>
  <si>
    <t>187</t>
  </si>
  <si>
    <t>969011156r</t>
  </si>
  <si>
    <t>Zrušení stávajících armaturních šachet A16, A1, A12, A32, A2, A3, A7 A5 hutněný zásyp zeminou</t>
  </si>
  <si>
    <t>1843159964</t>
  </si>
  <si>
    <t>" zásyp vhodným zhutnitelným materiálem, "</t>
  </si>
  <si>
    <t>" dovoz materiálu na stavbu a jeho zhutnění "</t>
  </si>
  <si>
    <t>997</t>
  </si>
  <si>
    <t>Přesun sutě</t>
  </si>
  <si>
    <t>188</t>
  </si>
  <si>
    <t>997221551</t>
  </si>
  <si>
    <t>Vodorovná doprava suti ze sypkých a kusových materiálů do 1 km</t>
  </si>
  <si>
    <t>-219278332</t>
  </si>
  <si>
    <t>" vybouraná zámková dlažba vč. části podkladních vrstev "</t>
  </si>
  <si>
    <t>4,234+5,694</t>
  </si>
  <si>
    <t>189</t>
  </si>
  <si>
    <t>997221559</t>
  </si>
  <si>
    <t>Příplatek ZKD 1 km u vodorovné dopravy suti ze sypkých a kusových materiálů</t>
  </si>
  <si>
    <t>2126998556</t>
  </si>
  <si>
    <t>" odvoz suti na skládku do vzdálenosti 10 km "</t>
  </si>
  <si>
    <t>9,928*9</t>
  </si>
  <si>
    <t>190</t>
  </si>
  <si>
    <t>997221845r</t>
  </si>
  <si>
    <t>Poplatek za uložení na skládce (skládkovné) vybouraného odpadu ze zámkové dlažby vč. části podkladu</t>
  </si>
  <si>
    <t>1461920075</t>
  </si>
  <si>
    <t>191</t>
  </si>
  <si>
    <t>-1579321179</t>
  </si>
  <si>
    <t>192</t>
  </si>
  <si>
    <t>1431009433</t>
  </si>
  <si>
    <t>193</t>
  </si>
  <si>
    <t>668495660</t>
  </si>
  <si>
    <t>194</t>
  </si>
  <si>
    <t>748786234</t>
  </si>
  <si>
    <t>195</t>
  </si>
  <si>
    <t>013254066</t>
  </si>
  <si>
    <t>Dokumentace skutečného provedení stavby</t>
  </si>
  <si>
    <t>176650017</t>
  </si>
  <si>
    <t>196</t>
  </si>
  <si>
    <t>938983922</t>
  </si>
  <si>
    <t>197</t>
  </si>
  <si>
    <t>766921573</t>
  </si>
  <si>
    <t>198</t>
  </si>
  <si>
    <t>2004720183</t>
  </si>
  <si>
    <t>199</t>
  </si>
  <si>
    <t>373862668</t>
  </si>
  <si>
    <t xml:space="preserve">Náklady na zařízení staveniště (buňky, chemické WC, skládky materiálů, označení stavby, apod.) </t>
  </si>
  <si>
    <t>2088355992</t>
  </si>
  <si>
    <t>201</t>
  </si>
  <si>
    <t>241534188</t>
  </si>
  <si>
    <t>202</t>
  </si>
  <si>
    <t>Posouzení hygienické nezávadnosti vodní náplně potrubí akredit. pracovištěm - odběr, krácený rozbor vody, vypracování protokolu - dle Vyhl. č. 376/2000 Sb., čl. 2.1.3-TP v 1.9</t>
  </si>
  <si>
    <t>1858588256</t>
  </si>
  <si>
    <t>203</t>
  </si>
  <si>
    <t>Statická hutnící zkouška - provedení akredit. subjektem se stanovením modulu přetvárnosti Edef2 a poměru Edef2/Edef1, vč. vyprac. protokolu</t>
  </si>
  <si>
    <t>787371329</t>
  </si>
  <si>
    <t>204</t>
  </si>
  <si>
    <t>-1748804534</t>
  </si>
  <si>
    <t>205</t>
  </si>
  <si>
    <t>1839980279</t>
  </si>
  <si>
    <t>206</t>
  </si>
  <si>
    <t>-608727758</t>
  </si>
  <si>
    <t>1.ETAPA</t>
  </si>
  <si>
    <t>15*4</t>
  </si>
  <si>
    <t>" řad P1 od staničení 18  po staničení 168"</t>
  </si>
  <si>
    <t>2 a</t>
  </si>
  <si>
    <t>" 18 dnÍ 4 hodiny denně "</t>
  </si>
  <si>
    <t>18*4</t>
  </si>
  <si>
    <t>18*2</t>
  </si>
  <si>
    <t>2,5*0,3*2</t>
  </si>
  <si>
    <t>6*0,3*2</t>
  </si>
  <si>
    <t>" rozšíření v místech jam protlaku  a nasunutí potrubí do stávající chráničky"</t>
  </si>
  <si>
    <t>361,045*0,6</t>
  </si>
  <si>
    <t>361,045*0,4</t>
  </si>
  <si>
    <t>361,045*0,5</t>
  </si>
  <si>
    <t>(6,5+82-28+4+150+29)*0,8*0,5</t>
  </si>
  <si>
    <t>225,46/2*1,8</t>
  </si>
  <si>
    <t>7*10+2*6*2+2,5*2</t>
  </si>
  <si>
    <t>453*0,04</t>
  </si>
  <si>
    <t>453*4</t>
  </si>
  <si>
    <t>225,46/2+5,4</t>
  </si>
  <si>
    <t>361,045-118,13</t>
  </si>
  <si>
    <t>242,915*1,8</t>
  </si>
  <si>
    <t>" 15 dnÍ 4 hodiny denně "</t>
  </si>
  <si>
    <t>(2+45,5+9+25,5+13,5+14,5-32-14)*3*0,3</t>
  </si>
  <si>
    <t>72*3*0,3+(32+14)*3*0,3</t>
  </si>
  <si>
    <t>625,144*0,6</t>
  </si>
  <si>
    <t>625,144*0,4</t>
  </si>
  <si>
    <t>14 a</t>
  </si>
  <si>
    <t>14 b</t>
  </si>
  <si>
    <t>625,144*0,5</t>
  </si>
  <si>
    <t>(113,5+609+7+2,5+26+6+25+72,5-( 6,5+82-28+4))*0,8*0,5</t>
  </si>
  <si>
    <t>280,744/2*1,8</t>
  </si>
  <si>
    <t>(72+32+14)*3</t>
  </si>
  <si>
    <t>(2+45,5+9+25,5+13,5+14,5-(32+14))*3</t>
  </si>
  <si>
    <t>6*2</t>
  </si>
  <si>
    <t>221*0,04</t>
  </si>
  <si>
    <t>221*4</t>
  </si>
  <si>
    <t>280,744/2</t>
  </si>
  <si>
    <t>625,144-140,372</t>
  </si>
  <si>
    <t>484,772*1,8</t>
  </si>
  <si>
    <t>609-168</t>
  </si>
  <si>
    <t>1+1+1+5+2</t>
  </si>
  <si>
    <t>koleno 90° s patkou přírubové litinové vodovodní N-kus PN 10/16 DN 100 - vodoměrná šachta</t>
  </si>
  <si>
    <t>D+M Chránění podzemního hydrantu dle výkresu č. 8</t>
  </si>
  <si>
    <t>" blíže dle detailu na výkresu č. 8 "</t>
  </si>
  <si>
    <t>7+2</t>
  </si>
  <si>
    <t xml:space="preserve">trouba přírubová přírubový krátký kus DN 80 dl 400mm </t>
  </si>
  <si>
    <t>koleno hrdlové z tvárné litiny MMK-kus DN 100-45° jedno hrdlový oblouk</t>
  </si>
  <si>
    <t>přírubová tvarovka redukovaná z tvárné litiny,práškový epoxid tl 250µm  DN 100/80</t>
  </si>
  <si>
    <t>7+3,5+26+6+25</t>
  </si>
  <si>
    <t>66,5+441</t>
  </si>
  <si>
    <t>168+113,5</t>
  </si>
  <si>
    <t>441+66,5</t>
  </si>
  <si>
    <t>168+38+75,5</t>
  </si>
  <si>
    <t>(168+38+75,5)*1,05</t>
  </si>
  <si>
    <t>(441+66,5)*1,05</t>
  </si>
  <si>
    <t xml:space="preserve">Kluzné objímky RACI na potrubí venkovní průměr D=230 mm </t>
  </si>
  <si>
    <t xml:space="preserve">Kluzné objímky RACI na potrubí venkovní průměr D=180 mm </t>
  </si>
  <si>
    <t xml:space="preserve">Kluzné objímky RACI na potrubí venkovní průměr D=130 mm </t>
  </si>
  <si>
    <t xml:space="preserve">Kluzné objímky RACI na potrubí venkovní průměr D=110 mm </t>
  </si>
  <si>
    <t>55*3</t>
  </si>
  <si>
    <t>(80-55)*1,0</t>
  </si>
  <si>
    <t>80*2</t>
  </si>
  <si>
    <t>3 a</t>
  </si>
  <si>
    <t>Odstranění krytů živičných tl. do 100 mm</t>
  </si>
  <si>
    <t>80*1,0</t>
  </si>
  <si>
    <t>Odvoz suti - asfaltobetonu na skládku, uložení a poplatek za uložení</t>
  </si>
  <si>
    <t>((80-55)*1,0+55*3)*0,128</t>
  </si>
  <si>
    <t>odfrézovaný asfalt … ((80-55)*1,0+55*3)*0,128</t>
  </si>
  <si>
    <t>vybouraný asfalt z podkladních vrstev … 80*1,00*0,22</t>
  </si>
  <si>
    <t>Asfaltový beton vrstva podkladní ACO 16 (ABH) tl 50 mm š do 3 m z asfaltu</t>
  </si>
  <si>
    <t>80*1,0 *2</t>
  </si>
  <si>
    <t>55*3+25*1,0</t>
  </si>
  <si>
    <t>6 a</t>
  </si>
  <si>
    <t>190 b</t>
  </si>
  <si>
    <t>190 a</t>
  </si>
  <si>
    <t>Přesun odfrézovaného asfaltu na meziskládku a zpět na stavbu ( použití pro provizorní kryt )</t>
  </si>
  <si>
    <t>1687*0,128</t>
  </si>
  <si>
    <t>odfrézovaný asfalt … 1687*0,128</t>
  </si>
  <si>
    <t>(557-168+2,5+26+6+12+3*2)*1,0+4*2*2</t>
  </si>
  <si>
    <t>(557-168+2,5)*3+(26+6+3*2+12)*1,5+4*2*2,5</t>
  </si>
  <si>
    <t>((557-168+2,5+26+6+12+3*2)*1,0+4*2*2)*2</t>
  </si>
  <si>
    <t>vybouraný asfalt z podkladních vrstev … 457,5*0,22</t>
  </si>
  <si>
    <t>(557-168+6)+(2,5+26+6+12+3*2)*2+(4+2)*2*2</t>
  </si>
  <si>
    <t>39.1</t>
  </si>
  <si>
    <t>39.2</t>
  </si>
  <si>
    <t>Oprava vodovodu etapa 1</t>
  </si>
  <si>
    <t>Oprava vodovodu etapa 2</t>
  </si>
  <si>
    <t>Stavba celkem</t>
  </si>
  <si>
    <t>147</t>
  </si>
  <si>
    <t>D+M Spojovací adaptér pro TLT/PVC potrubí DN 200 Waga 200-PVC vč. podpůrné nerezové vložky (multi joint 3107 plus)</t>
  </si>
  <si>
    <t>D+M Spojovací adaptér pro PE potrubí DN 100 Waga 100-PE vč. podpůrné nerezové vložky (multi joint 3107 plus)</t>
  </si>
  <si>
    <t>D+M Spojovací adaptér pro PE potrubí DN 80 Waga 80-PE vč. podpůrné nerezové vložky (multi joint 3107 plus)</t>
  </si>
  <si>
    <t>170.1</t>
  </si>
  <si>
    <t xml:space="preserve">Provizorní vodovod z potrubí PE 63 </t>
  </si>
  <si>
    <t>170.2</t>
  </si>
  <si>
    <t xml:space="preserve">Napojení provizorního vodovodu PE 63 na stávající vodovod z PE pomocí tvarovek WAGA </t>
  </si>
  <si>
    <t>Kontrolní měření prokazující neporušenost identifikačního vodiče a zpracování protokolu z měření</t>
  </si>
  <si>
    <t>D+M zaslepovací příruba DN 100 se závitem 5/4"</t>
  </si>
  <si>
    <t>D+M kulový ventil DN 25+ 2x šroubení</t>
  </si>
  <si>
    <t>D+M automatický odvzušňovací ventil plastový DN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</si>
</sst>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sz val="7"/>
      <name val="Arial CE"/>
      <family val="2"/>
    </font>
  </fonts>
  <fills count="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7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7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8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166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4" fontId="0" fillId="0" borderId="2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4" fontId="32" fillId="0" borderId="21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/>
    </xf>
    <xf numFmtId="49" fontId="0" fillId="0" borderId="0" xfId="0" applyNumberFormat="1" applyProtection="1">
      <protection/>
    </xf>
    <xf numFmtId="0" fontId="0" fillId="0" borderId="0" xfId="0" applyFill="1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49" fontId="0" fillId="0" borderId="2" xfId="0" applyNumberFormat="1" applyBorder="1" applyProtection="1">
      <protection/>
    </xf>
    <xf numFmtId="0" fontId="0" fillId="0" borderId="2" xfId="0" applyBorder="1" applyProtection="1">
      <protection/>
    </xf>
    <xf numFmtId="0" fontId="0" fillId="0" borderId="2" xfId="0" applyFill="1" applyBorder="1" applyProtection="1">
      <protection/>
    </xf>
    <xf numFmtId="0" fontId="0" fillId="0" borderId="3" xfId="0" applyBorder="1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3" xfId="0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/>
    </xf>
    <xf numFmtId="0" fontId="0" fillId="0" borderId="3" xfId="0" applyFont="1" applyBorder="1" applyAlignment="1" applyProtection="1">
      <alignment vertical="center" wrapText="1"/>
      <protection/>
    </xf>
    <xf numFmtId="49" fontId="0" fillId="0" borderId="0" xfId="0" applyNumberFormat="1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49" fontId="0" fillId="4" borderId="0" xfId="0" applyNumberFormat="1" applyFont="1" applyFill="1" applyAlignment="1" applyProtection="1">
      <alignment vertical="center"/>
      <protection/>
    </xf>
    <xf numFmtId="0" fontId="4" fillId="4" borderId="6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4" fillId="4" borderId="7" xfId="0" applyFont="1" applyFill="1" applyBorder="1" applyAlignment="1" applyProtection="1">
      <alignment horizontal="right" vertical="center"/>
      <protection/>
    </xf>
    <xf numFmtId="0" fontId="4" fillId="4" borderId="7" xfId="0" applyFon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 applyProtection="1">
      <alignment vertical="center"/>
      <protection/>
    </xf>
    <xf numFmtId="4" fontId="4" fillId="4" borderId="7" xfId="0" applyNumberFormat="1" applyFont="1" applyFill="1" applyBorder="1" applyAlignment="1" applyProtection="1">
      <alignment vertical="center"/>
      <protection/>
    </xf>
    <xf numFmtId="0" fontId="0" fillId="4" borderId="22" xfId="0" applyFont="1" applyFill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49" fontId="0" fillId="0" borderId="9" xfId="0" applyNumberFormat="1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9" xfId="0" applyFont="1" applyFill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49" fontId="0" fillId="0" borderId="2" xfId="0" applyNumberFormat="1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2" xfId="0" applyFont="1" applyFill="1" applyBorder="1" applyAlignment="1" applyProtection="1">
      <alignment vertical="center"/>
      <protection/>
    </xf>
    <xf numFmtId="49" fontId="15" fillId="0" borderId="0" xfId="0" applyNumberFormat="1" applyFont="1" applyAlignment="1" applyProtection="1">
      <alignment horizontal="left" vertical="center"/>
      <protection/>
    </xf>
    <xf numFmtId="49" fontId="2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49" fontId="21" fillId="4" borderId="0" xfId="0" applyNumberFormat="1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49" fontId="29" fillId="0" borderId="0" xfId="0" applyNumberFormat="1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49" fontId="6" fillId="0" borderId="0" xfId="0" applyNumberFormat="1" applyFont="1" applyAlignment="1" applyProtection="1">
      <alignment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/>
      <protection/>
    </xf>
    <xf numFmtId="4" fontId="6" fillId="0" borderId="19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49" fontId="7" fillId="0" borderId="0" xfId="0" applyNumberFormat="1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49" fontId="21" fillId="4" borderId="13" xfId="0" applyNumberFormat="1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23" fillId="0" borderId="0" xfId="0" applyNumberFormat="1" applyFont="1" applyAlignment="1" applyProtection="1">
      <alignment horizontal="left" vertical="center"/>
      <protection/>
    </xf>
    <xf numFmtId="4" fontId="23" fillId="0" borderId="0" xfId="0" applyNumberFormat="1" applyFont="1" applyAlignment="1" applyProtection="1">
      <alignment/>
      <protection/>
    </xf>
    <xf numFmtId="0" fontId="0" fillId="0" borderId="16" xfId="0" applyFont="1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19" fillId="0" borderId="0" xfId="0" applyNumberFormat="1" applyFont="1" applyAlignment="1" applyProtection="1">
      <alignment vertical="center"/>
      <protection/>
    </xf>
    <xf numFmtId="0" fontId="8" fillId="0" borderId="3" xfId="0" applyFont="1" applyBorder="1" applyAlignment="1" applyProtection="1">
      <alignment/>
      <protection/>
    </xf>
    <xf numFmtId="49" fontId="8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49" fontId="0" fillId="0" borderId="21" xfId="0" applyNumberFormat="1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49" fontId="0" fillId="0" borderId="21" xfId="0" applyNumberFormat="1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167" fontId="0" fillId="0" borderId="21" xfId="0" applyNumberFormat="1" applyFont="1" applyBorder="1" applyAlignment="1" applyProtection="1">
      <alignment vertical="center"/>
      <protection/>
    </xf>
    <xf numFmtId="4" fontId="0" fillId="0" borderId="21" xfId="0" applyNumberFormat="1" applyFont="1" applyFill="1" applyBorder="1" applyAlignment="1" applyProtection="1">
      <alignment vertical="center"/>
      <protection/>
    </xf>
    <xf numFmtId="4" fontId="0" fillId="0" borderId="21" xfId="0" applyNumberFormat="1" applyFont="1" applyBorder="1" applyAlignment="1" applyProtection="1">
      <alignment vertical="center"/>
      <protection/>
    </xf>
    <xf numFmtId="0" fontId="2" fillId="2" borderId="17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49" fontId="9" fillId="0" borderId="0" xfId="0" applyNumberFormat="1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49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 vertical="center"/>
      <protection/>
    </xf>
    <xf numFmtId="167" fontId="10" fillId="0" borderId="0" xfId="0" applyNumberFormat="1" applyFont="1" applyFill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vertical="center"/>
      <protection/>
    </xf>
    <xf numFmtId="167" fontId="11" fillId="0" borderId="0" xfId="0" applyNumberFormat="1" applyFont="1" applyFill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vertical="center"/>
      <protection/>
    </xf>
    <xf numFmtId="167" fontId="12" fillId="0" borderId="0" xfId="0" applyNumberFormat="1" applyFont="1" applyFill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167" fontId="0" fillId="0" borderId="21" xfId="0" applyNumberFormat="1" applyFont="1" applyFill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32" fillId="0" borderId="21" xfId="0" applyFont="1" applyBorder="1" applyAlignment="1" applyProtection="1">
      <alignment horizontal="center" vertical="center"/>
      <protection/>
    </xf>
    <xf numFmtId="49" fontId="32" fillId="0" borderId="21" xfId="0" applyNumberFormat="1" applyFont="1" applyBorder="1" applyAlignment="1" applyProtection="1">
      <alignment horizontal="left" vertical="center" wrapText="1"/>
      <protection/>
    </xf>
    <xf numFmtId="0" fontId="32" fillId="0" borderId="21" xfId="0" applyFont="1" applyFill="1" applyBorder="1" applyAlignment="1" applyProtection="1">
      <alignment horizontal="left" vertical="center" wrapText="1"/>
      <protection/>
    </xf>
    <xf numFmtId="0" fontId="32" fillId="0" borderId="21" xfId="0" applyFont="1" applyFill="1" applyBorder="1" applyAlignment="1" applyProtection="1">
      <alignment horizontal="center" vertical="center" wrapText="1"/>
      <protection/>
    </xf>
    <xf numFmtId="167" fontId="32" fillId="0" borderId="21" xfId="0" applyNumberFormat="1" applyFont="1" applyFill="1" applyBorder="1" applyAlignment="1" applyProtection="1">
      <alignment vertical="center"/>
      <protection/>
    </xf>
    <xf numFmtId="4" fontId="32" fillId="0" borderId="21" xfId="0" applyNumberFormat="1" applyFont="1" applyBorder="1" applyAlignment="1" applyProtection="1">
      <alignment vertical="center"/>
      <protection/>
    </xf>
    <xf numFmtId="0" fontId="32" fillId="0" borderId="21" xfId="0" applyFont="1" applyBorder="1" applyAlignment="1" applyProtection="1">
      <alignment horizontal="left" vertical="center" wrapText="1"/>
      <protection/>
    </xf>
    <xf numFmtId="0" fontId="32" fillId="0" borderId="3" xfId="0" applyFont="1" applyBorder="1" applyAlignment="1" applyProtection="1">
      <alignment vertical="center"/>
      <protection/>
    </xf>
    <xf numFmtId="0" fontId="32" fillId="2" borderId="17" xfId="0" applyFont="1" applyFill="1" applyBorder="1" applyAlignment="1" applyProtection="1">
      <alignment horizontal="left" vertical="center"/>
      <protection/>
    </xf>
    <xf numFmtId="0" fontId="32" fillId="0" borderId="0" xfId="0" applyFont="1" applyBorder="1" applyAlignment="1" applyProtection="1">
      <alignment horizontal="center" vertical="center"/>
      <protection/>
    </xf>
    <xf numFmtId="49" fontId="32" fillId="0" borderId="21" xfId="0" applyNumberFormat="1" applyFont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32" fillId="0" borderId="21" xfId="0" applyFont="1" applyBorder="1" applyAlignment="1" applyProtection="1">
      <alignment horizontal="center" vertical="center" wrapText="1"/>
      <protection/>
    </xf>
    <xf numFmtId="167" fontId="32" fillId="0" borderId="21" xfId="0" applyNumberFormat="1" applyFont="1" applyBorder="1" applyAlignment="1" applyProtection="1">
      <alignment vertical="center"/>
      <protection/>
    </xf>
    <xf numFmtId="167" fontId="12" fillId="0" borderId="0" xfId="0" applyNumberFormat="1" applyFont="1" applyAlignment="1" applyProtection="1">
      <alignment vertical="center"/>
      <protection/>
    </xf>
    <xf numFmtId="0" fontId="0" fillId="5" borderId="21" xfId="0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32" fillId="6" borderId="21" xfId="0" applyFont="1" applyFill="1" applyBorder="1" applyAlignment="1" applyProtection="1">
      <alignment horizontal="left" vertical="center" wrapText="1"/>
      <protection/>
    </xf>
    <xf numFmtId="49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vertical="center"/>
      <protection/>
    </xf>
    <xf numFmtId="49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66" fontId="2" fillId="0" borderId="0" xfId="0" applyNumberFormat="1" applyFont="1" applyFill="1" applyBorder="1" applyAlignment="1" applyProtection="1">
      <alignment vertical="center"/>
      <protection/>
    </xf>
    <xf numFmtId="166" fontId="2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4" fontId="0" fillId="0" borderId="0" xfId="0" applyNumberFormat="1" applyFont="1" applyFill="1" applyAlignment="1" applyProtection="1">
      <alignment vertical="center"/>
      <protection/>
    </xf>
    <xf numFmtId="0" fontId="10" fillId="0" borderId="3" xfId="0" applyFont="1" applyFill="1" applyBorder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0" fontId="31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10" fillId="0" borderId="17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vertical="center"/>
      <protection/>
    </xf>
    <xf numFmtId="0" fontId="9" fillId="0" borderId="3" xfId="0" applyFont="1" applyFill="1" applyBorder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17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12" fillId="0" borderId="3" xfId="0" applyFont="1" applyFill="1" applyBorder="1" applyAlignment="1" applyProtection="1">
      <alignment vertical="center"/>
      <protection/>
    </xf>
    <xf numFmtId="49" fontId="12" fillId="0" borderId="0" xfId="0" applyNumberFormat="1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12" fillId="0" borderId="1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67" fontId="0" fillId="0" borderId="0" xfId="0" applyNumberFormat="1" applyFont="1" applyBorder="1" applyAlignment="1" applyProtection="1">
      <alignment vertical="center"/>
      <protection/>
    </xf>
    <xf numFmtId="4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center" vertical="center"/>
      <protection/>
    </xf>
    <xf numFmtId="167" fontId="0" fillId="2" borderId="21" xfId="0" applyNumberFormat="1" applyFont="1" applyFill="1" applyBorder="1" applyAlignment="1" applyProtection="1">
      <alignment vertical="center"/>
      <protection/>
    </xf>
    <xf numFmtId="0" fontId="2" fillId="2" borderId="18" xfId="0" applyFont="1" applyFill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" fillId="0" borderId="19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1" fillId="4" borderId="13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0" fillId="0" borderId="21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horizontal="left" vertical="center"/>
      <protection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22" xfId="0" applyFont="1" applyFill="1" applyBorder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1" fillId="4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14" fillId="7" borderId="0" xfId="0" applyFont="1" applyFill="1" applyAlignment="1">
      <alignment horizontal="center" vertical="center"/>
    </xf>
    <xf numFmtId="0" fontId="0" fillId="0" borderId="0" xfId="0"/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14" fillId="7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2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167" fontId="0" fillId="0" borderId="21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workbookViewId="0" topLeftCell="A40">
      <selection activeCell="AG55" sqref="AG55:AM5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6" t="s">
        <v>0</v>
      </c>
      <c r="AZ1" s="6" t="s">
        <v>1</v>
      </c>
      <c r="BA1" s="6" t="s">
        <v>2</v>
      </c>
      <c r="BB1" s="6" t="s">
        <v>1</v>
      </c>
      <c r="BT1" s="6" t="s">
        <v>3</v>
      </c>
      <c r="BU1" s="6" t="s">
        <v>3</v>
      </c>
      <c r="BV1" s="6" t="s">
        <v>4</v>
      </c>
    </row>
    <row r="2" spans="44:72" ht="36.95" customHeight="1">
      <c r="AR2" s="337" t="s">
        <v>5</v>
      </c>
      <c r="AS2" s="338"/>
      <c r="AT2" s="338"/>
      <c r="AU2" s="338"/>
      <c r="AV2" s="338"/>
      <c r="AW2" s="338"/>
      <c r="AX2" s="338"/>
      <c r="AY2" s="338"/>
      <c r="AZ2" s="338"/>
      <c r="BA2" s="338"/>
      <c r="BB2" s="338"/>
      <c r="BC2" s="338"/>
      <c r="BD2" s="338"/>
      <c r="BE2" s="338"/>
      <c r="BS2" s="7" t="s">
        <v>6</v>
      </c>
      <c r="BT2" s="7" t="s">
        <v>7</v>
      </c>
    </row>
    <row r="3" spans="2:72" ht="6.9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  <c r="BS3" s="7" t="s">
        <v>6</v>
      </c>
      <c r="BT3" s="7" t="s">
        <v>8</v>
      </c>
    </row>
    <row r="4" spans="2:71" ht="24.95" customHeight="1">
      <c r="B4" s="10"/>
      <c r="D4" s="11" t="s">
        <v>9</v>
      </c>
      <c r="AR4" s="10"/>
      <c r="AS4" s="12" t="s">
        <v>10</v>
      </c>
      <c r="BE4" s="13" t="s">
        <v>11</v>
      </c>
      <c r="BS4" s="7" t="s">
        <v>12</v>
      </c>
    </row>
    <row r="5" spans="2:71" ht="12" customHeight="1">
      <c r="B5" s="10"/>
      <c r="D5" s="14" t="s">
        <v>13</v>
      </c>
      <c r="K5" s="348" t="s">
        <v>14</v>
      </c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R5" s="10"/>
      <c r="BE5" s="355" t="s">
        <v>15</v>
      </c>
      <c r="BS5" s="7" t="s">
        <v>6</v>
      </c>
    </row>
    <row r="6" spans="2:71" ht="36.95" customHeight="1">
      <c r="B6" s="10"/>
      <c r="D6" s="15" t="s">
        <v>16</v>
      </c>
      <c r="K6" s="349" t="s">
        <v>17</v>
      </c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R6" s="10"/>
      <c r="BE6" s="356"/>
      <c r="BS6" s="7" t="s">
        <v>6</v>
      </c>
    </row>
    <row r="7" spans="2:71" ht="12" customHeight="1">
      <c r="B7" s="10"/>
      <c r="D7" s="16" t="s">
        <v>18</v>
      </c>
      <c r="K7" s="7" t="s">
        <v>1</v>
      </c>
      <c r="AK7" s="16" t="s">
        <v>19</v>
      </c>
      <c r="AN7" s="7" t="s">
        <v>1</v>
      </c>
      <c r="AR7" s="10"/>
      <c r="BE7" s="356"/>
      <c r="BS7" s="7" t="s">
        <v>6</v>
      </c>
    </row>
    <row r="8" spans="2:71" ht="12" customHeight="1">
      <c r="B8" s="10"/>
      <c r="D8" s="16" t="s">
        <v>20</v>
      </c>
      <c r="K8" s="7" t="s">
        <v>21</v>
      </c>
      <c r="AK8" s="16" t="s">
        <v>22</v>
      </c>
      <c r="AN8" s="17" t="s">
        <v>23</v>
      </c>
      <c r="AR8" s="10"/>
      <c r="BE8" s="356"/>
      <c r="BS8" s="7" t="s">
        <v>6</v>
      </c>
    </row>
    <row r="9" spans="2:71" ht="14.45" customHeight="1">
      <c r="B9" s="10"/>
      <c r="AR9" s="10"/>
      <c r="BE9" s="356"/>
      <c r="BS9" s="7" t="s">
        <v>6</v>
      </c>
    </row>
    <row r="10" spans="2:71" ht="12" customHeight="1">
      <c r="B10" s="10"/>
      <c r="D10" s="16" t="s">
        <v>24</v>
      </c>
      <c r="AK10" s="16" t="s">
        <v>25</v>
      </c>
      <c r="AN10" s="7" t="s">
        <v>1</v>
      </c>
      <c r="AR10" s="10"/>
      <c r="BE10" s="356"/>
      <c r="BS10" s="7" t="s">
        <v>6</v>
      </c>
    </row>
    <row r="11" spans="2:71" ht="18.4" customHeight="1">
      <c r="B11" s="10"/>
      <c r="E11" s="7" t="s">
        <v>26</v>
      </c>
      <c r="AK11" s="16" t="s">
        <v>27</v>
      </c>
      <c r="AN11" s="7" t="s">
        <v>1</v>
      </c>
      <c r="AR11" s="10"/>
      <c r="BE11" s="356"/>
      <c r="BS11" s="7" t="s">
        <v>6</v>
      </c>
    </row>
    <row r="12" spans="2:71" ht="6.95" customHeight="1">
      <c r="B12" s="10"/>
      <c r="AR12" s="10"/>
      <c r="BE12" s="356"/>
      <c r="BS12" s="7" t="s">
        <v>6</v>
      </c>
    </row>
    <row r="13" spans="2:71" ht="12" customHeight="1">
      <c r="B13" s="10"/>
      <c r="D13" s="16" t="s">
        <v>28</v>
      </c>
      <c r="AK13" s="16" t="s">
        <v>25</v>
      </c>
      <c r="AN13" s="18" t="s">
        <v>29</v>
      </c>
      <c r="AR13" s="10"/>
      <c r="BE13" s="356"/>
      <c r="BS13" s="7" t="s">
        <v>6</v>
      </c>
    </row>
    <row r="14" spans="2:71" ht="12">
      <c r="B14" s="10"/>
      <c r="E14" s="350" t="s">
        <v>29</v>
      </c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16" t="s">
        <v>27</v>
      </c>
      <c r="AN14" s="18" t="s">
        <v>29</v>
      </c>
      <c r="AR14" s="10"/>
      <c r="BE14" s="356"/>
      <c r="BS14" s="7" t="s">
        <v>6</v>
      </c>
    </row>
    <row r="15" spans="2:71" ht="6.95" customHeight="1">
      <c r="B15" s="10"/>
      <c r="AR15" s="10"/>
      <c r="BE15" s="356"/>
      <c r="BS15" s="7" t="s">
        <v>3</v>
      </c>
    </row>
    <row r="16" spans="2:71" ht="12" customHeight="1">
      <c r="B16" s="10"/>
      <c r="D16" s="16" t="s">
        <v>30</v>
      </c>
      <c r="AK16" s="16" t="s">
        <v>25</v>
      </c>
      <c r="AN16" s="7" t="s">
        <v>1</v>
      </c>
      <c r="AR16" s="10"/>
      <c r="BE16" s="356"/>
      <c r="BS16" s="7" t="s">
        <v>3</v>
      </c>
    </row>
    <row r="17" spans="2:71" ht="18.4" customHeight="1">
      <c r="B17" s="10"/>
      <c r="E17" s="7" t="s">
        <v>31</v>
      </c>
      <c r="AK17" s="16" t="s">
        <v>27</v>
      </c>
      <c r="AN17" s="7" t="s">
        <v>1</v>
      </c>
      <c r="AR17" s="10"/>
      <c r="BE17" s="356"/>
      <c r="BS17" s="7" t="s">
        <v>32</v>
      </c>
    </row>
    <row r="18" spans="2:71" ht="6.95" customHeight="1">
      <c r="B18" s="10"/>
      <c r="AR18" s="10"/>
      <c r="BE18" s="356"/>
      <c r="BS18" s="7" t="s">
        <v>6</v>
      </c>
    </row>
    <row r="19" spans="2:71" ht="12" customHeight="1">
      <c r="B19" s="10"/>
      <c r="D19" s="16" t="s">
        <v>33</v>
      </c>
      <c r="AK19" s="16" t="s">
        <v>25</v>
      </c>
      <c r="AN19" s="7" t="s">
        <v>1</v>
      </c>
      <c r="AR19" s="10"/>
      <c r="BE19" s="356"/>
      <c r="BS19" s="7" t="s">
        <v>6</v>
      </c>
    </row>
    <row r="20" spans="2:71" ht="18.4" customHeight="1">
      <c r="B20" s="10"/>
      <c r="E20" s="7" t="s">
        <v>34</v>
      </c>
      <c r="AK20" s="16" t="s">
        <v>27</v>
      </c>
      <c r="AN20" s="7" t="s">
        <v>1</v>
      </c>
      <c r="AR20" s="10"/>
      <c r="BE20" s="356"/>
      <c r="BS20" s="7" t="s">
        <v>32</v>
      </c>
    </row>
    <row r="21" spans="2:57" ht="6.95" customHeight="1">
      <c r="B21" s="10"/>
      <c r="AR21" s="10"/>
      <c r="BE21" s="356"/>
    </row>
    <row r="22" spans="2:57" ht="12" customHeight="1">
      <c r="B22" s="10"/>
      <c r="D22" s="16" t="s">
        <v>35</v>
      </c>
      <c r="AR22" s="10"/>
      <c r="BE22" s="356"/>
    </row>
    <row r="23" spans="2:57" ht="16.5" customHeight="1">
      <c r="B23" s="10"/>
      <c r="E23" s="352" t="s">
        <v>1</v>
      </c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352"/>
      <c r="AG23" s="352"/>
      <c r="AH23" s="352"/>
      <c r="AI23" s="352"/>
      <c r="AJ23" s="352"/>
      <c r="AK23" s="352"/>
      <c r="AL23" s="352"/>
      <c r="AM23" s="352"/>
      <c r="AN23" s="352"/>
      <c r="AR23" s="10"/>
      <c r="BE23" s="356"/>
    </row>
    <row r="24" spans="2:57" ht="6.95" customHeight="1">
      <c r="B24" s="10"/>
      <c r="AR24" s="10"/>
      <c r="BE24" s="356"/>
    </row>
    <row r="25" spans="2:57" ht="6.95" customHeight="1">
      <c r="B25" s="10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R25" s="10"/>
      <c r="BE25" s="356"/>
    </row>
    <row r="26" spans="2:57" s="1" customFormat="1" ht="25.9" customHeight="1">
      <c r="B26" s="20"/>
      <c r="D26" s="21" t="s">
        <v>36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357">
        <f>ROUND(AG54,2)</f>
        <v>0</v>
      </c>
      <c r="AL26" s="358"/>
      <c r="AM26" s="358"/>
      <c r="AN26" s="358"/>
      <c r="AO26" s="358"/>
      <c r="AR26" s="20"/>
      <c r="BE26" s="356"/>
    </row>
    <row r="27" spans="2:57" s="1" customFormat="1" ht="6.95" customHeight="1">
      <c r="B27" s="20"/>
      <c r="AR27" s="20"/>
      <c r="BE27" s="356"/>
    </row>
    <row r="28" spans="2:57" s="1" customFormat="1" ht="12">
      <c r="B28" s="20"/>
      <c r="L28" s="353" t="s">
        <v>37</v>
      </c>
      <c r="M28" s="353"/>
      <c r="N28" s="353"/>
      <c r="O28" s="353"/>
      <c r="P28" s="353"/>
      <c r="W28" s="353" t="s">
        <v>38</v>
      </c>
      <c r="X28" s="353"/>
      <c r="Y28" s="353"/>
      <c r="Z28" s="353"/>
      <c r="AA28" s="353"/>
      <c r="AB28" s="353"/>
      <c r="AC28" s="353"/>
      <c r="AD28" s="353"/>
      <c r="AE28" s="353"/>
      <c r="AK28" s="353" t="s">
        <v>39</v>
      </c>
      <c r="AL28" s="353"/>
      <c r="AM28" s="353"/>
      <c r="AN28" s="353"/>
      <c r="AO28" s="353"/>
      <c r="AR28" s="20"/>
      <c r="BE28" s="356"/>
    </row>
    <row r="29" spans="2:57" s="2" customFormat="1" ht="14.45" customHeight="1">
      <c r="B29" s="23"/>
      <c r="D29" s="16" t="s">
        <v>40</v>
      </c>
      <c r="F29" s="16" t="s">
        <v>41</v>
      </c>
      <c r="L29" s="330">
        <v>0.21</v>
      </c>
      <c r="M29" s="331"/>
      <c r="N29" s="331"/>
      <c r="O29" s="331"/>
      <c r="P29" s="331"/>
      <c r="W29" s="354" t="e">
        <f>ROUND(AZ54,2)</f>
        <v>#REF!</v>
      </c>
      <c r="X29" s="331"/>
      <c r="Y29" s="331"/>
      <c r="Z29" s="331"/>
      <c r="AA29" s="331"/>
      <c r="AB29" s="331"/>
      <c r="AC29" s="331"/>
      <c r="AD29" s="331"/>
      <c r="AE29" s="331"/>
      <c r="AK29" s="354" t="e">
        <f>ROUND(AV54,2)</f>
        <v>#REF!</v>
      </c>
      <c r="AL29" s="331"/>
      <c r="AM29" s="331"/>
      <c r="AN29" s="331"/>
      <c r="AO29" s="331"/>
      <c r="AR29" s="23"/>
      <c r="BE29" s="356"/>
    </row>
    <row r="30" spans="2:57" s="2" customFormat="1" ht="14.45" customHeight="1">
      <c r="B30" s="23"/>
      <c r="F30" s="16" t="s">
        <v>42</v>
      </c>
      <c r="L30" s="330">
        <v>0.15</v>
      </c>
      <c r="M30" s="331"/>
      <c r="N30" s="331"/>
      <c r="O30" s="331"/>
      <c r="P30" s="331"/>
      <c r="W30" s="354" t="e">
        <f>ROUND(BA54,2)</f>
        <v>#REF!</v>
      </c>
      <c r="X30" s="331"/>
      <c r="Y30" s="331"/>
      <c r="Z30" s="331"/>
      <c r="AA30" s="331"/>
      <c r="AB30" s="331"/>
      <c r="AC30" s="331"/>
      <c r="AD30" s="331"/>
      <c r="AE30" s="331"/>
      <c r="AK30" s="354" t="e">
        <f>ROUND(AW54,2)</f>
        <v>#REF!</v>
      </c>
      <c r="AL30" s="331"/>
      <c r="AM30" s="331"/>
      <c r="AN30" s="331"/>
      <c r="AO30" s="331"/>
      <c r="AR30" s="23"/>
      <c r="BE30" s="356"/>
    </row>
    <row r="31" spans="2:57" s="2" customFormat="1" ht="14.45" customHeight="1" hidden="1">
      <c r="B31" s="23"/>
      <c r="F31" s="16" t="s">
        <v>43</v>
      </c>
      <c r="L31" s="330">
        <v>0.21</v>
      </c>
      <c r="M31" s="331"/>
      <c r="N31" s="331"/>
      <c r="O31" s="331"/>
      <c r="P31" s="331"/>
      <c r="W31" s="354" t="e">
        <f>ROUND(BB54,2)</f>
        <v>#REF!</v>
      </c>
      <c r="X31" s="331"/>
      <c r="Y31" s="331"/>
      <c r="Z31" s="331"/>
      <c r="AA31" s="331"/>
      <c r="AB31" s="331"/>
      <c r="AC31" s="331"/>
      <c r="AD31" s="331"/>
      <c r="AE31" s="331"/>
      <c r="AK31" s="354">
        <v>0</v>
      </c>
      <c r="AL31" s="331"/>
      <c r="AM31" s="331"/>
      <c r="AN31" s="331"/>
      <c r="AO31" s="331"/>
      <c r="AR31" s="23"/>
      <c r="BE31" s="356"/>
    </row>
    <row r="32" spans="2:57" s="2" customFormat="1" ht="14.45" customHeight="1" hidden="1">
      <c r="B32" s="23"/>
      <c r="F32" s="16" t="s">
        <v>44</v>
      </c>
      <c r="L32" s="330">
        <v>0.15</v>
      </c>
      <c r="M32" s="331"/>
      <c r="N32" s="331"/>
      <c r="O32" s="331"/>
      <c r="P32" s="331"/>
      <c r="W32" s="354" t="e">
        <f>ROUND(BC54,2)</f>
        <v>#REF!</v>
      </c>
      <c r="X32" s="331"/>
      <c r="Y32" s="331"/>
      <c r="Z32" s="331"/>
      <c r="AA32" s="331"/>
      <c r="AB32" s="331"/>
      <c r="AC32" s="331"/>
      <c r="AD32" s="331"/>
      <c r="AE32" s="331"/>
      <c r="AK32" s="354">
        <v>0</v>
      </c>
      <c r="AL32" s="331"/>
      <c r="AM32" s="331"/>
      <c r="AN32" s="331"/>
      <c r="AO32" s="331"/>
      <c r="AR32" s="23"/>
      <c r="BE32" s="356"/>
    </row>
    <row r="33" spans="2:57" s="2" customFormat="1" ht="14.45" customHeight="1" hidden="1">
      <c r="B33" s="23"/>
      <c r="F33" s="16" t="s">
        <v>45</v>
      </c>
      <c r="L33" s="330">
        <v>0</v>
      </c>
      <c r="M33" s="331"/>
      <c r="N33" s="331"/>
      <c r="O33" s="331"/>
      <c r="P33" s="331"/>
      <c r="W33" s="354" t="e">
        <f>ROUND(BD54,2)</f>
        <v>#REF!</v>
      </c>
      <c r="X33" s="331"/>
      <c r="Y33" s="331"/>
      <c r="Z33" s="331"/>
      <c r="AA33" s="331"/>
      <c r="AB33" s="331"/>
      <c r="AC33" s="331"/>
      <c r="AD33" s="331"/>
      <c r="AE33" s="331"/>
      <c r="AK33" s="354">
        <v>0</v>
      </c>
      <c r="AL33" s="331"/>
      <c r="AM33" s="331"/>
      <c r="AN33" s="331"/>
      <c r="AO33" s="331"/>
      <c r="AR33" s="23"/>
      <c r="BE33" s="356"/>
    </row>
    <row r="34" spans="2:57" s="1" customFormat="1" ht="6.95" customHeight="1">
      <c r="B34" s="20"/>
      <c r="AR34" s="20"/>
      <c r="BE34" s="356"/>
    </row>
    <row r="35" spans="2:44" s="1" customFormat="1" ht="25.9" customHeight="1">
      <c r="B35" s="20"/>
      <c r="C35" s="24"/>
      <c r="D35" s="25" t="s">
        <v>46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7" t="s">
        <v>47</v>
      </c>
      <c r="U35" s="26"/>
      <c r="V35" s="26"/>
      <c r="W35" s="26"/>
      <c r="X35" s="333" t="s">
        <v>48</v>
      </c>
      <c r="Y35" s="334"/>
      <c r="Z35" s="334"/>
      <c r="AA35" s="334"/>
      <c r="AB35" s="334"/>
      <c r="AC35" s="26"/>
      <c r="AD35" s="26"/>
      <c r="AE35" s="26"/>
      <c r="AF35" s="26"/>
      <c r="AG35" s="26"/>
      <c r="AH35" s="26"/>
      <c r="AI35" s="26"/>
      <c r="AJ35" s="26"/>
      <c r="AK35" s="335" t="e">
        <f>SUM(AK26:AK33)</f>
        <v>#REF!</v>
      </c>
      <c r="AL35" s="334"/>
      <c r="AM35" s="334"/>
      <c r="AN35" s="334"/>
      <c r="AO35" s="336"/>
      <c r="AP35" s="24"/>
      <c r="AQ35" s="24"/>
      <c r="AR35" s="20"/>
    </row>
    <row r="36" spans="2:44" s="1" customFormat="1" ht="6.95" customHeight="1">
      <c r="B36" s="20"/>
      <c r="AR36" s="20"/>
    </row>
    <row r="37" spans="2:44" s="1" customFormat="1" ht="6.95" customHeight="1"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0"/>
    </row>
    <row r="41" spans="2:44" s="1" customFormat="1" ht="6.95" customHeight="1">
      <c r="B41" s="30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20"/>
    </row>
    <row r="42" spans="2:44" s="1" customFormat="1" ht="24.95" customHeight="1">
      <c r="B42" s="20"/>
      <c r="C42" s="11" t="s">
        <v>49</v>
      </c>
      <c r="AR42" s="20"/>
    </row>
    <row r="43" spans="2:44" s="1" customFormat="1" ht="6.95" customHeight="1">
      <c r="B43" s="20"/>
      <c r="AR43" s="20"/>
    </row>
    <row r="44" spans="2:44" s="1" customFormat="1" ht="12" customHeight="1">
      <c r="B44" s="20"/>
      <c r="C44" s="16" t="s">
        <v>13</v>
      </c>
      <c r="L44" s="1" t="str">
        <f>K5</f>
        <v>2033</v>
      </c>
      <c r="AR44" s="20"/>
    </row>
    <row r="45" spans="2:44" s="3" customFormat="1" ht="36.95" customHeight="1">
      <c r="B45" s="32"/>
      <c r="C45" s="33" t="s">
        <v>16</v>
      </c>
      <c r="L45" s="345" t="str">
        <f>K6</f>
        <v>PLAZY - OPRAVA VODOVODU</v>
      </c>
      <c r="M45" s="346"/>
      <c r="N45" s="346"/>
      <c r="O45" s="346"/>
      <c r="P45" s="346"/>
      <c r="Q45" s="346"/>
      <c r="R45" s="346"/>
      <c r="S45" s="346"/>
      <c r="T45" s="346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R45" s="32"/>
    </row>
    <row r="46" spans="2:44" s="1" customFormat="1" ht="6.95" customHeight="1">
      <c r="B46" s="20"/>
      <c r="AR46" s="20"/>
    </row>
    <row r="47" spans="2:44" s="1" customFormat="1" ht="12" customHeight="1">
      <c r="B47" s="20"/>
      <c r="C47" s="16" t="s">
        <v>20</v>
      </c>
      <c r="L47" s="34" t="str">
        <f>IF(K8="","",K8)</f>
        <v>PLAZY</v>
      </c>
      <c r="AI47" s="16" t="s">
        <v>22</v>
      </c>
      <c r="AM47" s="347" t="str">
        <f>IF(AN8="","",AN8)</f>
        <v>24. 10. 2020</v>
      </c>
      <c r="AN47" s="347"/>
      <c r="AR47" s="20"/>
    </row>
    <row r="48" spans="2:44" s="1" customFormat="1" ht="6.95" customHeight="1">
      <c r="B48" s="20"/>
      <c r="AR48" s="20"/>
    </row>
    <row r="49" spans="2:56" s="1" customFormat="1" ht="38.65" customHeight="1">
      <c r="B49" s="20"/>
      <c r="C49" s="16" t="s">
        <v>24</v>
      </c>
      <c r="L49" s="1" t="str">
        <f>IF(E11="","",E11)</f>
        <v>VODOVODY A KANALIZACE MLADÁ BOLESLAV a.s.</v>
      </c>
      <c r="AI49" s="16" t="s">
        <v>30</v>
      </c>
      <c r="AM49" s="343" t="str">
        <f>IF(E17="","",E17)</f>
        <v>ING. JAN ČÍŽEK, VODOHOSPODÁŘSKÁ KANCELÁŘ TRUTNOV</v>
      </c>
      <c r="AN49" s="344"/>
      <c r="AO49" s="344"/>
      <c r="AP49" s="344"/>
      <c r="AR49" s="20"/>
      <c r="AS49" s="339" t="s">
        <v>50</v>
      </c>
      <c r="AT49" s="340"/>
      <c r="AU49" s="35"/>
      <c r="AV49" s="35"/>
      <c r="AW49" s="35"/>
      <c r="AX49" s="35"/>
      <c r="AY49" s="35"/>
      <c r="AZ49" s="35"/>
      <c r="BA49" s="35"/>
      <c r="BB49" s="35"/>
      <c r="BC49" s="35"/>
      <c r="BD49" s="36"/>
    </row>
    <row r="50" spans="2:56" s="1" customFormat="1" ht="13.7" customHeight="1">
      <c r="B50" s="20"/>
      <c r="C50" s="16" t="s">
        <v>28</v>
      </c>
      <c r="L50" s="1" t="str">
        <f>IF(E14="Vyplň údaj","",E14)</f>
        <v/>
      </c>
      <c r="AI50" s="16" t="s">
        <v>33</v>
      </c>
      <c r="AM50" s="343" t="str">
        <f>IF(E20="","",E20)</f>
        <v>Lenka Benešová</v>
      </c>
      <c r="AN50" s="344"/>
      <c r="AO50" s="344"/>
      <c r="AP50" s="344"/>
      <c r="AR50" s="20"/>
      <c r="AS50" s="341"/>
      <c r="AT50" s="342"/>
      <c r="AU50" s="37"/>
      <c r="AV50" s="37"/>
      <c r="AW50" s="37"/>
      <c r="AX50" s="37"/>
      <c r="AY50" s="37"/>
      <c r="AZ50" s="37"/>
      <c r="BA50" s="37"/>
      <c r="BB50" s="37"/>
      <c r="BC50" s="37"/>
      <c r="BD50" s="38"/>
    </row>
    <row r="51" spans="2:56" s="1" customFormat="1" ht="10.9" customHeight="1">
      <c r="B51" s="20"/>
      <c r="AR51" s="20"/>
      <c r="AS51" s="341"/>
      <c r="AT51" s="342"/>
      <c r="AU51" s="37"/>
      <c r="AV51" s="37"/>
      <c r="AW51" s="37"/>
      <c r="AX51" s="37"/>
      <c r="AY51" s="37"/>
      <c r="AZ51" s="37"/>
      <c r="BA51" s="37"/>
      <c r="BB51" s="37"/>
      <c r="BC51" s="37"/>
      <c r="BD51" s="38"/>
    </row>
    <row r="52" spans="2:56" s="1" customFormat="1" ht="29.25" customHeight="1">
      <c r="B52" s="20"/>
      <c r="C52" s="332" t="s">
        <v>51</v>
      </c>
      <c r="D52" s="327"/>
      <c r="E52" s="327"/>
      <c r="F52" s="327"/>
      <c r="G52" s="327"/>
      <c r="H52" s="39"/>
      <c r="I52" s="328" t="s">
        <v>52</v>
      </c>
      <c r="J52" s="327"/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27"/>
      <c r="AG52" s="326" t="s">
        <v>53</v>
      </c>
      <c r="AH52" s="327"/>
      <c r="AI52" s="327"/>
      <c r="AJ52" s="327"/>
      <c r="AK52" s="327"/>
      <c r="AL52" s="327"/>
      <c r="AM52" s="327"/>
      <c r="AN52" s="328"/>
      <c r="AO52" s="327"/>
      <c r="AP52" s="329"/>
      <c r="AQ52" s="40" t="s">
        <v>54</v>
      </c>
      <c r="AR52" s="20"/>
      <c r="AS52" s="41" t="s">
        <v>55</v>
      </c>
      <c r="AT52" s="42" t="s">
        <v>56</v>
      </c>
      <c r="AU52" s="42" t="s">
        <v>57</v>
      </c>
      <c r="AV52" s="42" t="s">
        <v>58</v>
      </c>
      <c r="AW52" s="42" t="s">
        <v>59</v>
      </c>
      <c r="AX52" s="42" t="s">
        <v>60</v>
      </c>
      <c r="AY52" s="42" t="s">
        <v>61</v>
      </c>
      <c r="AZ52" s="42" t="s">
        <v>62</v>
      </c>
      <c r="BA52" s="42" t="s">
        <v>63</v>
      </c>
      <c r="BB52" s="42" t="s">
        <v>64</v>
      </c>
      <c r="BC52" s="42" t="s">
        <v>65</v>
      </c>
      <c r="BD52" s="43" t="s">
        <v>66</v>
      </c>
    </row>
    <row r="53" spans="2:56" s="1" customFormat="1" ht="10.9" customHeight="1">
      <c r="B53" s="20"/>
      <c r="AR53" s="20"/>
      <c r="AS53" s="44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6"/>
    </row>
    <row r="54" spans="2:90" s="4" customFormat="1" ht="32.45" customHeight="1">
      <c r="B54" s="45"/>
      <c r="C54" s="46" t="s">
        <v>1545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324">
        <f>AG55+AG56</f>
        <v>0</v>
      </c>
      <c r="AH54" s="324"/>
      <c r="AI54" s="324"/>
      <c r="AJ54" s="324"/>
      <c r="AK54" s="324"/>
      <c r="AL54" s="324"/>
      <c r="AM54" s="324"/>
      <c r="AN54" s="325"/>
      <c r="AO54" s="325"/>
      <c r="AP54" s="325"/>
      <c r="AQ54" s="48" t="s">
        <v>1</v>
      </c>
      <c r="AR54" s="45"/>
      <c r="AS54" s="49">
        <f>ROUND(SUM(AS55:AS56),2)</f>
        <v>0</v>
      </c>
      <c r="AT54" s="50" t="e">
        <f>ROUND(SUM(AV54:AW54),2)</f>
        <v>#REF!</v>
      </c>
      <c r="AU54" s="51" t="e">
        <f>ROUND(SUM(AU55:AU56),5)</f>
        <v>#REF!</v>
      </c>
      <c r="AV54" s="50" t="e">
        <f>ROUND(AZ54*L29,2)</f>
        <v>#REF!</v>
      </c>
      <c r="AW54" s="50" t="e">
        <f>ROUND(BA54*L30,2)</f>
        <v>#REF!</v>
      </c>
      <c r="AX54" s="50" t="e">
        <f>ROUND(BB54*L29,2)</f>
        <v>#REF!</v>
      </c>
      <c r="AY54" s="50" t="e">
        <f>ROUND(BC54*L30,2)</f>
        <v>#REF!</v>
      </c>
      <c r="AZ54" s="50" t="e">
        <f>ROUND(SUM(AZ55:AZ56),2)</f>
        <v>#REF!</v>
      </c>
      <c r="BA54" s="50" t="e">
        <f>ROUND(SUM(BA55:BA56),2)</f>
        <v>#REF!</v>
      </c>
      <c r="BB54" s="50" t="e">
        <f>ROUND(SUM(BB55:BB56),2)</f>
        <v>#REF!</v>
      </c>
      <c r="BC54" s="50" t="e">
        <f>ROUND(SUM(BC55:BC56),2)</f>
        <v>#REF!</v>
      </c>
      <c r="BD54" s="52" t="e">
        <f>ROUND(SUM(BD55:BD56),2)</f>
        <v>#REF!</v>
      </c>
      <c r="BS54" s="53" t="s">
        <v>67</v>
      </c>
      <c r="BT54" s="53" t="s">
        <v>68</v>
      </c>
      <c r="BU54" s="54" t="s">
        <v>69</v>
      </c>
      <c r="BV54" s="53" t="s">
        <v>70</v>
      </c>
      <c r="BW54" s="53" t="s">
        <v>4</v>
      </c>
      <c r="BX54" s="53" t="s">
        <v>71</v>
      </c>
      <c r="CL54" s="53" t="s">
        <v>1</v>
      </c>
    </row>
    <row r="55" spans="1:91" s="5" customFormat="1" ht="27" customHeight="1">
      <c r="A55" s="55" t="s">
        <v>72</v>
      </c>
      <c r="B55" s="56"/>
      <c r="C55" s="57"/>
      <c r="D55" s="323" t="s">
        <v>73</v>
      </c>
      <c r="E55" s="323"/>
      <c r="F55" s="323"/>
      <c r="G55" s="323"/>
      <c r="H55" s="323"/>
      <c r="I55" s="58"/>
      <c r="J55" s="323" t="s">
        <v>1543</v>
      </c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3"/>
      <c r="AF55" s="323"/>
      <c r="AG55" s="321">
        <f>'OPRAVA VODOVODU -ETAPA 1'!J59</f>
        <v>0</v>
      </c>
      <c r="AH55" s="322"/>
      <c r="AI55" s="322"/>
      <c r="AJ55" s="322"/>
      <c r="AK55" s="322"/>
      <c r="AL55" s="322"/>
      <c r="AM55" s="322"/>
      <c r="AN55" s="321"/>
      <c r="AO55" s="322"/>
      <c r="AP55" s="322"/>
      <c r="AQ55" s="59" t="s">
        <v>74</v>
      </c>
      <c r="AR55" s="56"/>
      <c r="AS55" s="60">
        <v>0</v>
      </c>
      <c r="AT55" s="61" t="e">
        <f>ROUND(SUM(AV55:AW55),2)</f>
        <v>#REF!</v>
      </c>
      <c r="AU55" s="62" t="e">
        <f>#REF!</f>
        <v>#REF!</v>
      </c>
      <c r="AV55" s="61" t="e">
        <f>#REF!</f>
        <v>#REF!</v>
      </c>
      <c r="AW55" s="61" t="e">
        <f>#REF!</f>
        <v>#REF!</v>
      </c>
      <c r="AX55" s="61" t="e">
        <f>#REF!</f>
        <v>#REF!</v>
      </c>
      <c r="AY55" s="61" t="e">
        <f>#REF!</f>
        <v>#REF!</v>
      </c>
      <c r="AZ55" s="61" t="e">
        <f>#REF!</f>
        <v>#REF!</v>
      </c>
      <c r="BA55" s="61" t="e">
        <f>#REF!</f>
        <v>#REF!</v>
      </c>
      <c r="BB55" s="61" t="e">
        <f>#REF!</f>
        <v>#REF!</v>
      </c>
      <c r="BC55" s="61" t="e">
        <f>#REF!</f>
        <v>#REF!</v>
      </c>
      <c r="BD55" s="63" t="e">
        <f>#REF!</f>
        <v>#REF!</v>
      </c>
      <c r="BT55" s="64" t="s">
        <v>73</v>
      </c>
      <c r="BV55" s="64" t="s">
        <v>70</v>
      </c>
      <c r="BW55" s="64" t="s">
        <v>75</v>
      </c>
      <c r="BX55" s="64" t="s">
        <v>4</v>
      </c>
      <c r="CL55" s="64" t="s">
        <v>1</v>
      </c>
      <c r="CM55" s="64" t="s">
        <v>76</v>
      </c>
    </row>
    <row r="56" spans="1:91" s="5" customFormat="1" ht="27" customHeight="1">
      <c r="A56" s="55" t="s">
        <v>72</v>
      </c>
      <c r="B56" s="56"/>
      <c r="C56" s="57"/>
      <c r="D56" s="323" t="s">
        <v>76</v>
      </c>
      <c r="E56" s="323"/>
      <c r="F56" s="323"/>
      <c r="G56" s="323"/>
      <c r="H56" s="323"/>
      <c r="I56" s="58"/>
      <c r="J56" s="323" t="s">
        <v>1544</v>
      </c>
      <c r="K56" s="323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323"/>
      <c r="AD56" s="323"/>
      <c r="AE56" s="323"/>
      <c r="AF56" s="323"/>
      <c r="AG56" s="321">
        <f>'OPRAVA VODOVODU -ETAPA 2'!J59</f>
        <v>0</v>
      </c>
      <c r="AH56" s="322"/>
      <c r="AI56" s="322"/>
      <c r="AJ56" s="322"/>
      <c r="AK56" s="322"/>
      <c r="AL56" s="322"/>
      <c r="AM56" s="322"/>
      <c r="AN56" s="321"/>
      <c r="AO56" s="322"/>
      <c r="AP56" s="322"/>
      <c r="AQ56" s="59" t="s">
        <v>74</v>
      </c>
      <c r="AR56" s="56"/>
      <c r="AS56" s="65">
        <v>0</v>
      </c>
      <c r="AT56" s="66" t="e">
        <f>ROUND(SUM(AV56:AW56),2)</f>
        <v>#REF!</v>
      </c>
      <c r="AU56" s="67" t="e">
        <f>#REF!</f>
        <v>#REF!</v>
      </c>
      <c r="AV56" s="66" t="e">
        <f>#REF!</f>
        <v>#REF!</v>
      </c>
      <c r="AW56" s="66" t="e">
        <f>#REF!</f>
        <v>#REF!</v>
      </c>
      <c r="AX56" s="66" t="e">
        <f>#REF!</f>
        <v>#REF!</v>
      </c>
      <c r="AY56" s="66" t="e">
        <f>#REF!</f>
        <v>#REF!</v>
      </c>
      <c r="AZ56" s="66" t="e">
        <f>#REF!</f>
        <v>#REF!</v>
      </c>
      <c r="BA56" s="66" t="e">
        <f>#REF!</f>
        <v>#REF!</v>
      </c>
      <c r="BB56" s="66" t="e">
        <f>#REF!</f>
        <v>#REF!</v>
      </c>
      <c r="BC56" s="66" t="e">
        <f>#REF!</f>
        <v>#REF!</v>
      </c>
      <c r="BD56" s="68" t="e">
        <f>#REF!</f>
        <v>#REF!</v>
      </c>
      <c r="BT56" s="64" t="s">
        <v>73</v>
      </c>
      <c r="BV56" s="64" t="s">
        <v>70</v>
      </c>
      <c r="BW56" s="64" t="s">
        <v>77</v>
      </c>
      <c r="BX56" s="64" t="s">
        <v>4</v>
      </c>
      <c r="CL56" s="64" t="s">
        <v>1</v>
      </c>
      <c r="CM56" s="64" t="s">
        <v>76</v>
      </c>
    </row>
    <row r="57" spans="2:44" s="1" customFormat="1" ht="30" customHeight="1">
      <c r="B57" s="20"/>
      <c r="AR57" s="20"/>
    </row>
    <row r="58" spans="2:44" s="1" customFormat="1" ht="6.95" customHeight="1">
      <c r="B58" s="28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0"/>
    </row>
  </sheetData>
  <sheetProtection password="95D3" sheet="1" objects="1" scenarios="1"/>
  <mergeCells count="46"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L30:P30"/>
    <mergeCell ref="L31:P31"/>
    <mergeCell ref="L32:P32"/>
    <mergeCell ref="L33:P33"/>
    <mergeCell ref="C52:G52"/>
    <mergeCell ref="I52:AF52"/>
    <mergeCell ref="X35:AB35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</mergeCells>
  <hyperlinks>
    <hyperlink ref="A55" location="'1 - PŘELOŽKA VODOVODU P1 ...'!C2" display="/"/>
    <hyperlink ref="A56" location="'2 - OPRAVA VODOVODU P, P1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F0BF3-6A88-42F6-83E3-4F7CCA25B79E}">
  <dimension ref="B2:BM584"/>
  <sheetViews>
    <sheetView tabSelected="1" workbookViewId="0" topLeftCell="A453">
      <selection activeCell="F479" sqref="F479"/>
    </sheetView>
  </sheetViews>
  <sheetFormatPr defaultColWidth="9.140625" defaultRowHeight="12"/>
  <cols>
    <col min="1" max="1" width="8.28125" style="78" customWidth="1"/>
    <col min="2" max="2" width="1.7109375" style="78" customWidth="1"/>
    <col min="3" max="3" width="8.00390625" style="79" customWidth="1"/>
    <col min="4" max="4" width="4.28125" style="78" customWidth="1"/>
    <col min="5" max="5" width="17.140625" style="78" customWidth="1"/>
    <col min="6" max="6" width="100.8515625" style="78" customWidth="1"/>
    <col min="7" max="7" width="8.7109375" style="78" customWidth="1"/>
    <col min="8" max="8" width="11.140625" style="78" customWidth="1"/>
    <col min="9" max="9" width="14.140625" style="80" customWidth="1"/>
    <col min="10" max="10" width="23.421875" style="78" customWidth="1"/>
    <col min="11" max="11" width="15.421875" style="78" hidden="1" customWidth="1"/>
    <col min="12" max="12" width="9.28125" style="78" customWidth="1"/>
    <col min="13" max="13" width="10.8515625" style="78" hidden="1" customWidth="1"/>
    <col min="14" max="14" width="9.28125" style="78" customWidth="1"/>
    <col min="15" max="20" width="14.140625" style="78" hidden="1" customWidth="1"/>
    <col min="21" max="21" width="16.28125" style="78" hidden="1" customWidth="1"/>
    <col min="22" max="22" width="12.28125" style="78" customWidth="1"/>
    <col min="23" max="23" width="16.28125" style="78" customWidth="1"/>
    <col min="24" max="24" width="12.28125" style="78" customWidth="1"/>
    <col min="25" max="25" width="15.00390625" style="78" customWidth="1"/>
    <col min="26" max="26" width="11.00390625" style="78" customWidth="1"/>
    <col min="27" max="27" width="15.00390625" style="78" customWidth="1"/>
    <col min="28" max="28" width="16.28125" style="78" customWidth="1"/>
    <col min="29" max="29" width="11.00390625" style="78" customWidth="1"/>
    <col min="30" max="30" width="15.00390625" style="78" customWidth="1"/>
    <col min="31" max="31" width="16.28125" style="78" customWidth="1"/>
    <col min="32" max="16384" width="9.28125" style="78" customWidth="1"/>
  </cols>
  <sheetData>
    <row r="2" spans="12:46" ht="36.95" customHeight="1">
      <c r="L2" s="363" t="s">
        <v>5</v>
      </c>
      <c r="M2" s="364"/>
      <c r="N2" s="364"/>
      <c r="O2" s="364"/>
      <c r="P2" s="364"/>
      <c r="Q2" s="364"/>
      <c r="R2" s="364"/>
      <c r="S2" s="364"/>
      <c r="T2" s="364"/>
      <c r="U2" s="364"/>
      <c r="V2" s="364"/>
      <c r="AT2" s="81" t="s">
        <v>75</v>
      </c>
    </row>
    <row r="3" spans="2:46" ht="6.95" customHeight="1">
      <c r="B3" s="82"/>
      <c r="C3" s="83"/>
      <c r="D3" s="84"/>
      <c r="E3" s="84"/>
      <c r="F3" s="84"/>
      <c r="G3" s="84"/>
      <c r="H3" s="84"/>
      <c r="I3" s="85"/>
      <c r="J3" s="84"/>
      <c r="K3" s="84"/>
      <c r="L3" s="86"/>
      <c r="AT3" s="81" t="s">
        <v>76</v>
      </c>
    </row>
    <row r="4" spans="2:46" ht="24.95" customHeight="1">
      <c r="B4" s="86"/>
      <c r="D4" s="87" t="s">
        <v>78</v>
      </c>
      <c r="L4" s="86"/>
      <c r="M4" s="88" t="s">
        <v>10</v>
      </c>
      <c r="AT4" s="81" t="s">
        <v>3</v>
      </c>
    </row>
    <row r="5" spans="2:12" ht="6.95" customHeight="1">
      <c r="B5" s="86"/>
      <c r="L5" s="86"/>
    </row>
    <row r="6" spans="2:12" ht="12" customHeight="1">
      <c r="B6" s="86"/>
      <c r="D6" s="89" t="s">
        <v>16</v>
      </c>
      <c r="L6" s="86"/>
    </row>
    <row r="7" spans="2:12" ht="16.5" customHeight="1">
      <c r="B7" s="86"/>
      <c r="E7" s="361" t="str">
        <f>'Rekapitulace stavby'!K6</f>
        <v>PLAZY - OPRAVA VODOVODU</v>
      </c>
      <c r="F7" s="362"/>
      <c r="G7" s="362"/>
      <c r="H7" s="362"/>
      <c r="L7" s="86"/>
    </row>
    <row r="8" spans="2:12" s="92" customFormat="1" ht="12" customHeight="1">
      <c r="B8" s="90"/>
      <c r="C8" s="91"/>
      <c r="D8" s="89" t="s">
        <v>79</v>
      </c>
      <c r="I8" s="93"/>
      <c r="L8" s="90"/>
    </row>
    <row r="9" spans="2:12" s="92" customFormat="1" ht="36.95" customHeight="1">
      <c r="B9" s="90"/>
      <c r="C9" s="91"/>
      <c r="E9" s="359" t="s">
        <v>80</v>
      </c>
      <c r="F9" s="360"/>
      <c r="G9" s="360"/>
      <c r="H9" s="360"/>
      <c r="I9" s="93"/>
      <c r="L9" s="90"/>
    </row>
    <row r="10" spans="2:12" s="92" customFormat="1" ht="12">
      <c r="B10" s="90"/>
      <c r="C10" s="91"/>
      <c r="I10" s="93"/>
      <c r="L10" s="90"/>
    </row>
    <row r="11" spans="2:12" s="92" customFormat="1" ht="12" customHeight="1">
      <c r="B11" s="90"/>
      <c r="C11" s="91"/>
      <c r="D11" s="89" t="s">
        <v>18</v>
      </c>
      <c r="F11" s="81" t="s">
        <v>1</v>
      </c>
      <c r="I11" s="94" t="s">
        <v>19</v>
      </c>
      <c r="J11" s="81" t="s">
        <v>1</v>
      </c>
      <c r="L11" s="90"/>
    </row>
    <row r="12" spans="2:12" s="92" customFormat="1" ht="12" customHeight="1">
      <c r="B12" s="90"/>
      <c r="C12" s="91"/>
      <c r="D12" s="89" t="s">
        <v>20</v>
      </c>
      <c r="F12" s="81" t="s">
        <v>21</v>
      </c>
      <c r="I12" s="94" t="s">
        <v>22</v>
      </c>
      <c r="J12" s="95" t="str">
        <f>'Rekapitulace stavby'!AN8</f>
        <v>24. 10. 2020</v>
      </c>
      <c r="L12" s="90"/>
    </row>
    <row r="13" spans="2:12" s="92" customFormat="1" ht="10.9" customHeight="1">
      <c r="B13" s="90"/>
      <c r="C13" s="91"/>
      <c r="I13" s="93"/>
      <c r="L13" s="90"/>
    </row>
    <row r="14" spans="2:12" s="92" customFormat="1" ht="12" customHeight="1">
      <c r="B14" s="90"/>
      <c r="C14" s="91"/>
      <c r="D14" s="89" t="s">
        <v>24</v>
      </c>
      <c r="I14" s="94" t="s">
        <v>25</v>
      </c>
      <c r="J14" s="81" t="s">
        <v>1</v>
      </c>
      <c r="L14" s="90"/>
    </row>
    <row r="15" spans="2:12" s="92" customFormat="1" ht="18" customHeight="1">
      <c r="B15" s="90"/>
      <c r="C15" s="91"/>
      <c r="E15" s="81" t="s">
        <v>26</v>
      </c>
      <c r="I15" s="94" t="s">
        <v>27</v>
      </c>
      <c r="J15" s="81" t="s">
        <v>1</v>
      </c>
      <c r="L15" s="90"/>
    </row>
    <row r="16" spans="2:12" s="92" customFormat="1" ht="6.95" customHeight="1">
      <c r="B16" s="90"/>
      <c r="C16" s="91"/>
      <c r="I16" s="93"/>
      <c r="L16" s="90"/>
    </row>
    <row r="17" spans="2:12" s="92" customFormat="1" ht="12" customHeight="1">
      <c r="B17" s="90"/>
      <c r="C17" s="91"/>
      <c r="D17" s="89" t="s">
        <v>28</v>
      </c>
      <c r="I17" s="94" t="s">
        <v>25</v>
      </c>
      <c r="J17" s="96" t="str">
        <f>'Rekapitulace stavby'!AN13</f>
        <v>Vyplň údaj</v>
      </c>
      <c r="L17" s="90"/>
    </row>
    <row r="18" spans="2:12" s="92" customFormat="1" ht="18" customHeight="1">
      <c r="B18" s="90"/>
      <c r="C18" s="91"/>
      <c r="E18" s="365" t="str">
        <f>'Rekapitulace stavby'!E14</f>
        <v>Vyplň údaj</v>
      </c>
      <c r="F18" s="366"/>
      <c r="G18" s="366"/>
      <c r="H18" s="366"/>
      <c r="I18" s="94" t="s">
        <v>27</v>
      </c>
      <c r="J18" s="96" t="str">
        <f>'Rekapitulace stavby'!AN14</f>
        <v>Vyplň údaj</v>
      </c>
      <c r="L18" s="90"/>
    </row>
    <row r="19" spans="2:12" s="92" customFormat="1" ht="6.95" customHeight="1">
      <c r="B19" s="90"/>
      <c r="C19" s="91"/>
      <c r="I19" s="93"/>
      <c r="L19" s="90"/>
    </row>
    <row r="20" spans="2:12" s="92" customFormat="1" ht="12" customHeight="1">
      <c r="B20" s="90"/>
      <c r="C20" s="91"/>
      <c r="D20" s="89" t="s">
        <v>30</v>
      </c>
      <c r="I20" s="94" t="s">
        <v>25</v>
      </c>
      <c r="J20" s="81" t="s">
        <v>1</v>
      </c>
      <c r="L20" s="90"/>
    </row>
    <row r="21" spans="2:12" s="92" customFormat="1" ht="18" customHeight="1">
      <c r="B21" s="90"/>
      <c r="C21" s="91"/>
      <c r="E21" s="81" t="s">
        <v>31</v>
      </c>
      <c r="I21" s="94" t="s">
        <v>27</v>
      </c>
      <c r="J21" s="81" t="s">
        <v>1</v>
      </c>
      <c r="L21" s="90"/>
    </row>
    <row r="22" spans="2:12" s="92" customFormat="1" ht="6.95" customHeight="1">
      <c r="B22" s="90"/>
      <c r="C22" s="91"/>
      <c r="I22" s="93"/>
      <c r="L22" s="90"/>
    </row>
    <row r="23" spans="2:12" s="92" customFormat="1" ht="12" customHeight="1">
      <c r="B23" s="90"/>
      <c r="C23" s="91"/>
      <c r="D23" s="89" t="s">
        <v>33</v>
      </c>
      <c r="I23" s="94" t="s">
        <v>25</v>
      </c>
      <c r="J23" s="81" t="s">
        <v>1</v>
      </c>
      <c r="L23" s="90"/>
    </row>
    <row r="24" spans="2:12" s="92" customFormat="1" ht="18" customHeight="1">
      <c r="B24" s="90"/>
      <c r="C24" s="91"/>
      <c r="E24" s="81" t="s">
        <v>34</v>
      </c>
      <c r="I24" s="94" t="s">
        <v>27</v>
      </c>
      <c r="J24" s="81" t="s">
        <v>1</v>
      </c>
      <c r="L24" s="90"/>
    </row>
    <row r="25" spans="2:12" s="92" customFormat="1" ht="6.95" customHeight="1">
      <c r="B25" s="90"/>
      <c r="C25" s="91"/>
      <c r="I25" s="93"/>
      <c r="L25" s="90"/>
    </row>
    <row r="26" spans="2:12" s="92" customFormat="1" ht="12" customHeight="1">
      <c r="B26" s="90"/>
      <c r="C26" s="91"/>
      <c r="D26" s="89" t="s">
        <v>35</v>
      </c>
      <c r="I26" s="93"/>
      <c r="L26" s="90"/>
    </row>
    <row r="27" spans="2:12" s="99" customFormat="1" ht="16.5" customHeight="1">
      <c r="B27" s="97"/>
      <c r="C27" s="98"/>
      <c r="E27" s="367" t="s">
        <v>1</v>
      </c>
      <c r="F27" s="367"/>
      <c r="G27" s="367"/>
      <c r="H27" s="367"/>
      <c r="I27" s="100"/>
      <c r="L27" s="97"/>
    </row>
    <row r="28" spans="2:12" s="92" customFormat="1" ht="6.95" customHeight="1">
      <c r="B28" s="90"/>
      <c r="C28" s="91"/>
      <c r="I28" s="93"/>
      <c r="L28" s="90"/>
    </row>
    <row r="29" spans="2:12" s="92" customFormat="1" ht="6.95" customHeight="1">
      <c r="B29" s="90"/>
      <c r="C29" s="91"/>
      <c r="D29" s="101"/>
      <c r="E29" s="101"/>
      <c r="F29" s="101"/>
      <c r="G29" s="101"/>
      <c r="H29" s="101"/>
      <c r="I29" s="102"/>
      <c r="J29" s="101"/>
      <c r="K29" s="101"/>
      <c r="L29" s="90"/>
    </row>
    <row r="30" spans="2:12" s="92" customFormat="1" ht="25.35" customHeight="1">
      <c r="B30" s="90"/>
      <c r="C30" s="91"/>
      <c r="D30" s="103" t="s">
        <v>36</v>
      </c>
      <c r="I30" s="93"/>
      <c r="J30" s="104">
        <f>ROUND(J92,2)</f>
        <v>0</v>
      </c>
      <c r="L30" s="90"/>
    </row>
    <row r="31" spans="2:12" s="92" customFormat="1" ht="6.95" customHeight="1">
      <c r="B31" s="90"/>
      <c r="C31" s="91"/>
      <c r="D31" s="101"/>
      <c r="E31" s="101"/>
      <c r="F31" s="101"/>
      <c r="G31" s="101"/>
      <c r="H31" s="101"/>
      <c r="I31" s="102"/>
      <c r="J31" s="101"/>
      <c r="K31" s="101"/>
      <c r="L31" s="90"/>
    </row>
    <row r="32" spans="2:12" s="92" customFormat="1" ht="14.45" customHeight="1">
      <c r="B32" s="90"/>
      <c r="C32" s="91"/>
      <c r="F32" s="105" t="s">
        <v>38</v>
      </c>
      <c r="I32" s="106" t="s">
        <v>37</v>
      </c>
      <c r="J32" s="105" t="s">
        <v>39</v>
      </c>
      <c r="L32" s="90"/>
    </row>
    <row r="33" spans="2:12" s="92" customFormat="1" ht="14.45" customHeight="1">
      <c r="B33" s="90"/>
      <c r="C33" s="91"/>
      <c r="D33" s="89" t="s">
        <v>40</v>
      </c>
      <c r="E33" s="89" t="s">
        <v>41</v>
      </c>
      <c r="F33" s="107">
        <f>ROUND((SUM(BE92:BE583)),2)</f>
        <v>0</v>
      </c>
      <c r="I33" s="108">
        <v>0.21</v>
      </c>
      <c r="J33" s="107">
        <f>ROUND(((SUM(BE92:BE583))*I33),2)</f>
        <v>0</v>
      </c>
      <c r="L33" s="90"/>
    </row>
    <row r="34" spans="2:12" s="92" customFormat="1" ht="14.45" customHeight="1">
      <c r="B34" s="90"/>
      <c r="C34" s="91"/>
      <c r="E34" s="89" t="s">
        <v>42</v>
      </c>
      <c r="F34" s="107">
        <f>ROUND((SUM(BF92:BF583)),2)</f>
        <v>0</v>
      </c>
      <c r="I34" s="108">
        <v>0.15</v>
      </c>
      <c r="J34" s="107">
        <f>ROUND(((SUM(BF92:BF583))*I34),2)</f>
        <v>0</v>
      </c>
      <c r="L34" s="90"/>
    </row>
    <row r="35" spans="2:12" s="92" customFormat="1" ht="14.45" customHeight="1" hidden="1">
      <c r="B35" s="90"/>
      <c r="C35" s="91"/>
      <c r="E35" s="89" t="s">
        <v>43</v>
      </c>
      <c r="F35" s="107">
        <f>ROUND((SUM(BG92:BG583)),2)</f>
        <v>0</v>
      </c>
      <c r="I35" s="108">
        <v>0.21</v>
      </c>
      <c r="J35" s="107">
        <f>0</f>
        <v>0</v>
      </c>
      <c r="L35" s="90"/>
    </row>
    <row r="36" spans="2:12" s="92" customFormat="1" ht="14.45" customHeight="1" hidden="1">
      <c r="B36" s="90"/>
      <c r="C36" s="91"/>
      <c r="E36" s="89" t="s">
        <v>44</v>
      </c>
      <c r="F36" s="107">
        <f>ROUND((SUM(BH92:BH583)),2)</f>
        <v>0</v>
      </c>
      <c r="I36" s="108">
        <v>0.15</v>
      </c>
      <c r="J36" s="107">
        <f>0</f>
        <v>0</v>
      </c>
      <c r="L36" s="90"/>
    </row>
    <row r="37" spans="2:12" s="92" customFormat="1" ht="14.45" customHeight="1" hidden="1">
      <c r="B37" s="90"/>
      <c r="C37" s="91"/>
      <c r="E37" s="89" t="s">
        <v>45</v>
      </c>
      <c r="F37" s="107">
        <f>ROUND((SUM(BI92:BI583)),2)</f>
        <v>0</v>
      </c>
      <c r="I37" s="108">
        <v>0</v>
      </c>
      <c r="J37" s="107">
        <f>0</f>
        <v>0</v>
      </c>
      <c r="L37" s="90"/>
    </row>
    <row r="38" spans="2:12" s="92" customFormat="1" ht="6.95" customHeight="1">
      <c r="B38" s="90"/>
      <c r="C38" s="91"/>
      <c r="I38" s="93"/>
      <c r="L38" s="90"/>
    </row>
    <row r="39" spans="2:12" s="92" customFormat="1" ht="25.35" customHeight="1">
      <c r="B39" s="90"/>
      <c r="C39" s="109"/>
      <c r="D39" s="110" t="s">
        <v>46</v>
      </c>
      <c r="E39" s="111"/>
      <c r="F39" s="111"/>
      <c r="G39" s="112" t="s">
        <v>47</v>
      </c>
      <c r="H39" s="113" t="s">
        <v>48</v>
      </c>
      <c r="I39" s="114"/>
      <c r="J39" s="115">
        <f>SUM(J30:J37)</f>
        <v>0</v>
      </c>
      <c r="K39" s="116"/>
      <c r="L39" s="90"/>
    </row>
    <row r="40" spans="2:12" s="92" customFormat="1" ht="14.45" customHeight="1">
      <c r="B40" s="117"/>
      <c r="C40" s="118"/>
      <c r="D40" s="119"/>
      <c r="E40" s="119"/>
      <c r="F40" s="119"/>
      <c r="G40" s="119"/>
      <c r="H40" s="119"/>
      <c r="I40" s="120"/>
      <c r="J40" s="119"/>
      <c r="K40" s="119"/>
      <c r="L40" s="90"/>
    </row>
    <row r="44" spans="2:12" s="92" customFormat="1" ht="6.95" customHeight="1">
      <c r="B44" s="121"/>
      <c r="C44" s="122"/>
      <c r="D44" s="123"/>
      <c r="E44" s="123"/>
      <c r="F44" s="123"/>
      <c r="G44" s="123"/>
      <c r="H44" s="123"/>
      <c r="I44" s="124"/>
      <c r="J44" s="123"/>
      <c r="K44" s="123"/>
      <c r="L44" s="90"/>
    </row>
    <row r="45" spans="2:12" s="92" customFormat="1" ht="24.95" customHeight="1">
      <c r="B45" s="90"/>
      <c r="C45" s="125" t="s">
        <v>81</v>
      </c>
      <c r="I45" s="93"/>
      <c r="L45" s="90"/>
    </row>
    <row r="46" spans="2:12" s="92" customFormat="1" ht="6.95" customHeight="1">
      <c r="B46" s="90"/>
      <c r="C46" s="91"/>
      <c r="I46" s="93"/>
      <c r="L46" s="90"/>
    </row>
    <row r="47" spans="2:12" s="92" customFormat="1" ht="12" customHeight="1">
      <c r="B47" s="90"/>
      <c r="C47" s="126" t="s">
        <v>16</v>
      </c>
      <c r="I47" s="93"/>
      <c r="L47" s="90"/>
    </row>
    <row r="48" spans="2:12" s="92" customFormat="1" ht="16.5" customHeight="1">
      <c r="B48" s="90"/>
      <c r="C48" s="91"/>
      <c r="E48" s="361" t="str">
        <f>E7</f>
        <v>PLAZY - OPRAVA VODOVODU</v>
      </c>
      <c r="F48" s="362"/>
      <c r="G48" s="362"/>
      <c r="H48" s="362"/>
      <c r="I48" s="93"/>
      <c r="L48" s="90"/>
    </row>
    <row r="49" spans="2:12" s="92" customFormat="1" ht="12" customHeight="1">
      <c r="B49" s="90"/>
      <c r="C49" s="126" t="s">
        <v>79</v>
      </c>
      <c r="I49" s="93"/>
      <c r="L49" s="90"/>
    </row>
    <row r="50" spans="2:12" s="92" customFormat="1" ht="16.5" customHeight="1">
      <c r="B50" s="90"/>
      <c r="C50" s="91"/>
      <c r="E50" s="359" t="str">
        <f>E9</f>
        <v>1 - PŘELOŽKA VODOVODU P1 OD STANIČENÍ 18 DO STANIČENÍ 168</v>
      </c>
      <c r="F50" s="360"/>
      <c r="G50" s="360"/>
      <c r="H50" s="360"/>
      <c r="I50" s="93"/>
      <c r="L50" s="90"/>
    </row>
    <row r="51" spans="2:12" s="92" customFormat="1" ht="6.95" customHeight="1">
      <c r="B51" s="90"/>
      <c r="C51" s="91"/>
      <c r="I51" s="93"/>
      <c r="L51" s="90"/>
    </row>
    <row r="52" spans="2:12" s="92" customFormat="1" ht="12" customHeight="1">
      <c r="B52" s="90"/>
      <c r="C52" s="126" t="s">
        <v>20</v>
      </c>
      <c r="F52" s="81" t="str">
        <f>F12</f>
        <v>PLAZY</v>
      </c>
      <c r="I52" s="94" t="s">
        <v>22</v>
      </c>
      <c r="J52" s="95" t="str">
        <f>IF(J12="","",J12)</f>
        <v>24. 10. 2020</v>
      </c>
      <c r="L52" s="90"/>
    </row>
    <row r="53" spans="2:12" s="92" customFormat="1" ht="6.95" customHeight="1">
      <c r="B53" s="90"/>
      <c r="C53" s="91"/>
      <c r="I53" s="93"/>
      <c r="L53" s="90"/>
    </row>
    <row r="54" spans="2:12" s="92" customFormat="1" ht="38.65" customHeight="1">
      <c r="B54" s="90"/>
      <c r="C54" s="126" t="s">
        <v>24</v>
      </c>
      <c r="F54" s="81" t="str">
        <f>E15</f>
        <v>VODOVODY A KANALIZACE MLADÁ BOLESLAV a.s.</v>
      </c>
      <c r="I54" s="94" t="s">
        <v>30</v>
      </c>
      <c r="J54" s="127" t="str">
        <f>E21</f>
        <v>ING. JAN ČÍŽEK, VODOHOSPODÁŘSKÁ KANCELÁŘ TRUTNOV</v>
      </c>
      <c r="L54" s="90"/>
    </row>
    <row r="55" spans="2:12" s="92" customFormat="1" ht="13.7" customHeight="1">
      <c r="B55" s="90"/>
      <c r="C55" s="126" t="s">
        <v>28</v>
      </c>
      <c r="F55" s="81" t="str">
        <f>IF(E18="","",E18)</f>
        <v>Vyplň údaj</v>
      </c>
      <c r="I55" s="94" t="s">
        <v>33</v>
      </c>
      <c r="J55" s="127" t="str">
        <f>E24</f>
        <v>Lenka Benešová</v>
      </c>
      <c r="L55" s="90"/>
    </row>
    <row r="56" spans="2:12" s="92" customFormat="1" ht="10.35" customHeight="1">
      <c r="B56" s="90"/>
      <c r="C56" s="91"/>
      <c r="I56" s="93"/>
      <c r="L56" s="90"/>
    </row>
    <row r="57" spans="2:12" s="92" customFormat="1" ht="29.25" customHeight="1">
      <c r="B57" s="90"/>
      <c r="C57" s="128" t="s">
        <v>82</v>
      </c>
      <c r="D57" s="129"/>
      <c r="E57" s="129"/>
      <c r="F57" s="129"/>
      <c r="G57" s="129"/>
      <c r="H57" s="129"/>
      <c r="I57" s="93"/>
      <c r="J57" s="130" t="s">
        <v>83</v>
      </c>
      <c r="K57" s="129"/>
      <c r="L57" s="90"/>
    </row>
    <row r="58" spans="2:12" s="92" customFormat="1" ht="10.35" customHeight="1">
      <c r="B58" s="90"/>
      <c r="C58" s="91"/>
      <c r="I58" s="93"/>
      <c r="L58" s="90"/>
    </row>
    <row r="59" spans="2:47" s="92" customFormat="1" ht="22.9" customHeight="1">
      <c r="B59" s="90"/>
      <c r="C59" s="131" t="s">
        <v>84</v>
      </c>
      <c r="I59" s="93"/>
      <c r="J59" s="104">
        <f>J60+J68+J72</f>
        <v>0</v>
      </c>
      <c r="L59" s="90"/>
      <c r="AU59" s="81" t="s">
        <v>85</v>
      </c>
    </row>
    <row r="60" spans="2:12" s="138" customFormat="1" ht="24.95" customHeight="1">
      <c r="B60" s="132"/>
      <c r="C60" s="133"/>
      <c r="D60" s="134" t="s">
        <v>86</v>
      </c>
      <c r="E60" s="135"/>
      <c r="F60" s="135"/>
      <c r="G60" s="135"/>
      <c r="H60" s="135"/>
      <c r="I60" s="136"/>
      <c r="J60" s="137">
        <f>SUM(J61:J67)</f>
        <v>0</v>
      </c>
      <c r="L60" s="132"/>
    </row>
    <row r="61" spans="2:12" s="145" customFormat="1" ht="19.9" customHeight="1">
      <c r="B61" s="139"/>
      <c r="C61" s="140"/>
      <c r="D61" s="141" t="s">
        <v>87</v>
      </c>
      <c r="E61" s="142"/>
      <c r="F61" s="142"/>
      <c r="G61" s="142"/>
      <c r="H61" s="142"/>
      <c r="I61" s="143"/>
      <c r="J61" s="144">
        <f>J94</f>
        <v>0</v>
      </c>
      <c r="L61" s="139"/>
    </row>
    <row r="62" spans="2:12" s="145" customFormat="1" ht="19.9" customHeight="1">
      <c r="B62" s="139"/>
      <c r="C62" s="140"/>
      <c r="D62" s="141" t="s">
        <v>88</v>
      </c>
      <c r="E62" s="142"/>
      <c r="F62" s="142"/>
      <c r="G62" s="142"/>
      <c r="H62" s="142"/>
      <c r="I62" s="143"/>
      <c r="J62" s="144">
        <f>J327</f>
        <v>0</v>
      </c>
      <c r="L62" s="139"/>
    </row>
    <row r="63" spans="2:12" s="145" customFormat="1" ht="19.9" customHeight="1">
      <c r="B63" s="139"/>
      <c r="C63" s="140"/>
      <c r="D63" s="141" t="s">
        <v>89</v>
      </c>
      <c r="E63" s="142"/>
      <c r="F63" s="142"/>
      <c r="G63" s="142"/>
      <c r="H63" s="142"/>
      <c r="I63" s="143"/>
      <c r="J63" s="144">
        <f>J333</f>
        <v>0</v>
      </c>
      <c r="L63" s="139"/>
    </row>
    <row r="64" spans="2:12" s="145" customFormat="1" ht="19.9" customHeight="1">
      <c r="B64" s="139"/>
      <c r="C64" s="140"/>
      <c r="D64" s="141" t="s">
        <v>90</v>
      </c>
      <c r="E64" s="142"/>
      <c r="F64" s="142"/>
      <c r="G64" s="142"/>
      <c r="H64" s="142"/>
      <c r="I64" s="143"/>
      <c r="J64" s="144">
        <f>J347</f>
        <v>0</v>
      </c>
      <c r="L64" s="139"/>
    </row>
    <row r="65" spans="2:12" s="145" customFormat="1" ht="19.9" customHeight="1">
      <c r="B65" s="139"/>
      <c r="C65" s="140"/>
      <c r="D65" s="141" t="s">
        <v>91</v>
      </c>
      <c r="E65" s="142"/>
      <c r="F65" s="142"/>
      <c r="G65" s="142"/>
      <c r="H65" s="142"/>
      <c r="I65" s="143"/>
      <c r="J65" s="144">
        <f>J374</f>
        <v>0</v>
      </c>
      <c r="L65" s="139"/>
    </row>
    <row r="66" spans="2:12" s="145" customFormat="1" ht="19.9" customHeight="1">
      <c r="B66" s="139"/>
      <c r="C66" s="140"/>
      <c r="D66" s="141" t="s">
        <v>92</v>
      </c>
      <c r="E66" s="142"/>
      <c r="F66" s="142"/>
      <c r="G66" s="142"/>
      <c r="H66" s="142"/>
      <c r="I66" s="143"/>
      <c r="J66" s="144">
        <f>J514</f>
        <v>0</v>
      </c>
      <c r="L66" s="139"/>
    </row>
    <row r="67" spans="2:12" s="145" customFormat="1" ht="19.9" customHeight="1">
      <c r="B67" s="139"/>
      <c r="C67" s="140"/>
      <c r="D67" s="141" t="s">
        <v>93</v>
      </c>
      <c r="E67" s="142"/>
      <c r="F67" s="142"/>
      <c r="G67" s="142"/>
      <c r="H67" s="142"/>
      <c r="I67" s="143"/>
      <c r="J67" s="144">
        <f>J525</f>
        <v>0</v>
      </c>
      <c r="L67" s="139"/>
    </row>
    <row r="68" spans="2:12" s="138" customFormat="1" ht="24.95" customHeight="1">
      <c r="B68" s="132"/>
      <c r="C68" s="133"/>
      <c r="D68" s="134" t="s">
        <v>94</v>
      </c>
      <c r="E68" s="135"/>
      <c r="F68" s="135"/>
      <c r="G68" s="135"/>
      <c r="H68" s="135"/>
      <c r="I68" s="136"/>
      <c r="J68" s="137">
        <f>SUM(J69:J71)</f>
        <v>0</v>
      </c>
      <c r="L68" s="132"/>
    </row>
    <row r="69" spans="2:12" s="145" customFormat="1" ht="19.9" customHeight="1">
      <c r="B69" s="139"/>
      <c r="C69" s="140"/>
      <c r="D69" s="141" t="s">
        <v>95</v>
      </c>
      <c r="E69" s="142"/>
      <c r="F69" s="142"/>
      <c r="G69" s="142"/>
      <c r="H69" s="142"/>
      <c r="I69" s="143"/>
      <c r="J69" s="144">
        <f>J528</f>
        <v>0</v>
      </c>
      <c r="L69" s="139"/>
    </row>
    <row r="70" spans="2:12" s="145" customFormat="1" ht="19.9" customHeight="1">
      <c r="B70" s="139"/>
      <c r="C70" s="140"/>
      <c r="D70" s="141" t="s">
        <v>96</v>
      </c>
      <c r="E70" s="142"/>
      <c r="F70" s="142"/>
      <c r="G70" s="142"/>
      <c r="H70" s="142"/>
      <c r="I70" s="143"/>
      <c r="J70" s="144">
        <f>J551</f>
        <v>0</v>
      </c>
      <c r="L70" s="139"/>
    </row>
    <row r="71" spans="2:12" s="145" customFormat="1" ht="19.9" customHeight="1">
      <c r="B71" s="139"/>
      <c r="C71" s="140"/>
      <c r="D71" s="141" t="s">
        <v>97</v>
      </c>
      <c r="E71" s="142"/>
      <c r="F71" s="142"/>
      <c r="G71" s="142"/>
      <c r="H71" s="142"/>
      <c r="I71" s="143"/>
      <c r="J71" s="144">
        <f>J556</f>
        <v>0</v>
      </c>
      <c r="L71" s="139"/>
    </row>
    <row r="72" spans="2:12" s="138" customFormat="1" ht="24.95" customHeight="1">
      <c r="B72" s="132"/>
      <c r="C72" s="133"/>
      <c r="D72" s="134" t="s">
        <v>98</v>
      </c>
      <c r="E72" s="135"/>
      <c r="F72" s="135"/>
      <c r="G72" s="135"/>
      <c r="H72" s="135"/>
      <c r="I72" s="136"/>
      <c r="J72" s="137">
        <f>J560</f>
        <v>0</v>
      </c>
      <c r="L72" s="132"/>
    </row>
    <row r="73" spans="2:12" s="92" customFormat="1" ht="21.75" customHeight="1">
      <c r="B73" s="90"/>
      <c r="C73" s="91"/>
      <c r="I73" s="93"/>
      <c r="L73" s="90"/>
    </row>
    <row r="74" spans="2:12" s="92" customFormat="1" ht="6.95" customHeight="1">
      <c r="B74" s="117"/>
      <c r="C74" s="118"/>
      <c r="D74" s="119"/>
      <c r="E74" s="119"/>
      <c r="F74" s="119"/>
      <c r="G74" s="119"/>
      <c r="H74" s="119"/>
      <c r="I74" s="120"/>
      <c r="J74" s="119"/>
      <c r="K74" s="119"/>
      <c r="L74" s="90"/>
    </row>
    <row r="78" spans="2:12" s="92" customFormat="1" ht="6.95" customHeight="1">
      <c r="B78" s="121"/>
      <c r="C78" s="122"/>
      <c r="D78" s="123"/>
      <c r="E78" s="123"/>
      <c r="F78" s="123"/>
      <c r="G78" s="123"/>
      <c r="H78" s="123"/>
      <c r="I78" s="124"/>
      <c r="J78" s="123"/>
      <c r="K78" s="123"/>
      <c r="L78" s="90"/>
    </row>
    <row r="79" spans="2:12" s="92" customFormat="1" ht="24.95" customHeight="1">
      <c r="B79" s="90"/>
      <c r="C79" s="125" t="s">
        <v>99</v>
      </c>
      <c r="I79" s="93"/>
      <c r="L79" s="90"/>
    </row>
    <row r="80" spans="2:12" s="92" customFormat="1" ht="6.95" customHeight="1">
      <c r="B80" s="90"/>
      <c r="C80" s="91"/>
      <c r="I80" s="93"/>
      <c r="L80" s="90"/>
    </row>
    <row r="81" spans="2:12" s="92" customFormat="1" ht="12" customHeight="1">
      <c r="B81" s="90"/>
      <c r="C81" s="126" t="s">
        <v>16</v>
      </c>
      <c r="I81" s="93"/>
      <c r="L81" s="90"/>
    </row>
    <row r="82" spans="2:12" s="92" customFormat="1" ht="16.5" customHeight="1">
      <c r="B82" s="90"/>
      <c r="C82" s="91"/>
      <c r="E82" s="361" t="str">
        <f>E7</f>
        <v>PLAZY - OPRAVA VODOVODU</v>
      </c>
      <c r="F82" s="362"/>
      <c r="G82" s="362"/>
      <c r="H82" s="362"/>
      <c r="I82" s="93"/>
      <c r="L82" s="90"/>
    </row>
    <row r="83" spans="2:12" s="92" customFormat="1" ht="12" customHeight="1">
      <c r="B83" s="90"/>
      <c r="C83" s="126" t="s">
        <v>79</v>
      </c>
      <c r="I83" s="93"/>
      <c r="L83" s="90"/>
    </row>
    <row r="84" spans="2:12" s="92" customFormat="1" ht="16.5" customHeight="1">
      <c r="B84" s="90"/>
      <c r="C84" s="91"/>
      <c r="E84" s="359" t="str">
        <f>E9</f>
        <v>1 - PŘELOŽKA VODOVODU P1 OD STANIČENÍ 18 DO STANIČENÍ 168</v>
      </c>
      <c r="F84" s="360"/>
      <c r="G84" s="360"/>
      <c r="H84" s="360"/>
      <c r="I84" s="93"/>
      <c r="L84" s="90"/>
    </row>
    <row r="85" spans="2:12" s="92" customFormat="1" ht="6.95" customHeight="1">
      <c r="B85" s="90"/>
      <c r="C85" s="91"/>
      <c r="I85" s="93"/>
      <c r="L85" s="90"/>
    </row>
    <row r="86" spans="2:12" s="92" customFormat="1" ht="12" customHeight="1">
      <c r="B86" s="90"/>
      <c r="C86" s="126" t="s">
        <v>20</v>
      </c>
      <c r="F86" s="81" t="str">
        <f>F12</f>
        <v>PLAZY</v>
      </c>
      <c r="I86" s="94" t="s">
        <v>22</v>
      </c>
      <c r="J86" s="95" t="str">
        <f>IF(J12="","",J12)</f>
        <v>24. 10. 2020</v>
      </c>
      <c r="L86" s="90"/>
    </row>
    <row r="87" spans="2:12" s="92" customFormat="1" ht="6.95" customHeight="1">
      <c r="B87" s="90"/>
      <c r="C87" s="91"/>
      <c r="I87" s="93"/>
      <c r="L87" s="90"/>
    </row>
    <row r="88" spans="2:12" s="92" customFormat="1" ht="38.65" customHeight="1">
      <c r="B88" s="90"/>
      <c r="C88" s="126" t="s">
        <v>24</v>
      </c>
      <c r="F88" s="81" t="str">
        <f>E15</f>
        <v>VODOVODY A KANALIZACE MLADÁ BOLESLAV a.s.</v>
      </c>
      <c r="I88" s="94" t="s">
        <v>30</v>
      </c>
      <c r="J88" s="127" t="str">
        <f>E21</f>
        <v>ING. JAN ČÍŽEK, VODOHOSPODÁŘSKÁ KANCELÁŘ TRUTNOV</v>
      </c>
      <c r="L88" s="90"/>
    </row>
    <row r="89" spans="2:12" s="92" customFormat="1" ht="13.7" customHeight="1">
      <c r="B89" s="90"/>
      <c r="C89" s="126" t="s">
        <v>28</v>
      </c>
      <c r="F89" s="81" t="str">
        <f>IF(E18="","",E18)</f>
        <v>Vyplň údaj</v>
      </c>
      <c r="I89" s="94" t="s">
        <v>33</v>
      </c>
      <c r="J89" s="127" t="str">
        <f>E24</f>
        <v>Lenka Benešová</v>
      </c>
      <c r="L89" s="90"/>
    </row>
    <row r="90" spans="2:12" s="92" customFormat="1" ht="10.35" customHeight="1">
      <c r="B90" s="90"/>
      <c r="C90" s="91"/>
      <c r="I90" s="93"/>
      <c r="L90" s="90"/>
    </row>
    <row r="91" spans="2:20" s="155" customFormat="1" ht="29.25" customHeight="1">
      <c r="B91" s="146"/>
      <c r="C91" s="147" t="s">
        <v>100</v>
      </c>
      <c r="D91" s="148" t="s">
        <v>54</v>
      </c>
      <c r="E91" s="148" t="s">
        <v>51</v>
      </c>
      <c r="F91" s="148" t="s">
        <v>52</v>
      </c>
      <c r="G91" s="148" t="s">
        <v>101</v>
      </c>
      <c r="H91" s="148" t="s">
        <v>102</v>
      </c>
      <c r="I91" s="149" t="s">
        <v>103</v>
      </c>
      <c r="J91" s="150" t="s">
        <v>83</v>
      </c>
      <c r="K91" s="151" t="s">
        <v>104</v>
      </c>
      <c r="L91" s="146"/>
      <c r="M91" s="152" t="s">
        <v>1</v>
      </c>
      <c r="N91" s="153" t="s">
        <v>40</v>
      </c>
      <c r="O91" s="153" t="s">
        <v>105</v>
      </c>
      <c r="P91" s="153" t="s">
        <v>106</v>
      </c>
      <c r="Q91" s="153" t="s">
        <v>107</v>
      </c>
      <c r="R91" s="153" t="s">
        <v>108</v>
      </c>
      <c r="S91" s="153" t="s">
        <v>109</v>
      </c>
      <c r="T91" s="154" t="s">
        <v>110</v>
      </c>
    </row>
    <row r="92" spans="2:63" s="92" customFormat="1" ht="22.9" customHeight="1">
      <c r="B92" s="90"/>
      <c r="C92" s="156" t="s">
        <v>111</v>
      </c>
      <c r="I92" s="93"/>
      <c r="J92" s="157"/>
      <c r="L92" s="90"/>
      <c r="M92" s="158"/>
      <c r="N92" s="101"/>
      <c r="O92" s="101"/>
      <c r="P92" s="159">
        <f>P93+P527+P560</f>
        <v>0</v>
      </c>
      <c r="Q92" s="101"/>
      <c r="R92" s="159">
        <f>R93+R527+R560</f>
        <v>356.78282757</v>
      </c>
      <c r="S92" s="101"/>
      <c r="T92" s="160">
        <f>T93+T527+T560</f>
        <v>93.8</v>
      </c>
      <c r="AT92" s="81" t="s">
        <v>67</v>
      </c>
      <c r="AU92" s="81" t="s">
        <v>85</v>
      </c>
      <c r="BK92" s="161">
        <f>BK93+BK527+BK560</f>
        <v>0</v>
      </c>
    </row>
    <row r="93" spans="2:63" s="166" customFormat="1" ht="25.9" customHeight="1">
      <c r="B93" s="162"/>
      <c r="C93" s="163"/>
      <c r="D93" s="164" t="s">
        <v>67</v>
      </c>
      <c r="E93" s="165" t="s">
        <v>112</v>
      </c>
      <c r="F93" s="165" t="s">
        <v>113</v>
      </c>
      <c r="I93" s="167"/>
      <c r="J93" s="168"/>
      <c r="L93" s="162"/>
      <c r="M93" s="169"/>
      <c r="N93" s="170"/>
      <c r="O93" s="170"/>
      <c r="P93" s="171">
        <f>P94+P327+P333+P347+P374+P514+P525</f>
        <v>0</v>
      </c>
      <c r="Q93" s="170"/>
      <c r="R93" s="171">
        <f>R94+R327+R333+R347+R374+R514+R525</f>
        <v>356.64433297</v>
      </c>
      <c r="S93" s="170"/>
      <c r="T93" s="172">
        <f>T94+T327+T333+T347+T374+T514+T525</f>
        <v>93.8</v>
      </c>
      <c r="AR93" s="164" t="s">
        <v>73</v>
      </c>
      <c r="AT93" s="173" t="s">
        <v>67</v>
      </c>
      <c r="AU93" s="173" t="s">
        <v>68</v>
      </c>
      <c r="AY93" s="164" t="s">
        <v>114</v>
      </c>
      <c r="BK93" s="174">
        <f>BK94+BK327+BK333+BK347+BK374+BK514+BK525</f>
        <v>0</v>
      </c>
    </row>
    <row r="94" spans="2:63" s="166" customFormat="1" ht="22.9" customHeight="1">
      <c r="B94" s="162"/>
      <c r="C94" s="163"/>
      <c r="D94" s="164" t="s">
        <v>67</v>
      </c>
      <c r="E94" s="175" t="s">
        <v>73</v>
      </c>
      <c r="F94" s="175" t="s">
        <v>115</v>
      </c>
      <c r="I94" s="167"/>
      <c r="J94" s="176">
        <f>SUM(J144:J323)</f>
        <v>0</v>
      </c>
      <c r="L94" s="162"/>
      <c r="M94" s="169"/>
      <c r="N94" s="170"/>
      <c r="O94" s="170"/>
      <c r="P94" s="171">
        <f>SUM(P95:P326)</f>
        <v>0</v>
      </c>
      <c r="Q94" s="170"/>
      <c r="R94" s="171">
        <f>SUM(R95:R326)</f>
        <v>205.33695947</v>
      </c>
      <c r="S94" s="170"/>
      <c r="T94" s="172">
        <f>SUM(T95:T326)</f>
        <v>93.8</v>
      </c>
      <c r="AR94" s="164" t="s">
        <v>73</v>
      </c>
      <c r="AT94" s="173" t="s">
        <v>67</v>
      </c>
      <c r="AU94" s="173" t="s">
        <v>73</v>
      </c>
      <c r="AY94" s="164" t="s">
        <v>114</v>
      </c>
      <c r="BK94" s="174">
        <f>SUM(BK95:BK326)</f>
        <v>0</v>
      </c>
    </row>
    <row r="95" spans="2:65" s="92" customFormat="1" ht="16.5" customHeight="1">
      <c r="B95" s="90"/>
      <c r="C95" s="177" t="s">
        <v>73</v>
      </c>
      <c r="D95" s="178" t="s">
        <v>116</v>
      </c>
      <c r="E95" s="179" t="s">
        <v>117</v>
      </c>
      <c r="F95" s="180" t="s">
        <v>118</v>
      </c>
      <c r="G95" s="181" t="s">
        <v>1</v>
      </c>
      <c r="H95" s="182">
        <f>H143</f>
        <v>361.04499999999996</v>
      </c>
      <c r="I95" s="183"/>
      <c r="J95" s="184"/>
      <c r="K95" s="180" t="s">
        <v>1</v>
      </c>
      <c r="L95" s="90"/>
      <c r="M95" s="185" t="s">
        <v>1</v>
      </c>
      <c r="N95" s="186" t="s">
        <v>41</v>
      </c>
      <c r="O95" s="187"/>
      <c r="P95" s="188">
        <f>O95*H95</f>
        <v>0</v>
      </c>
      <c r="Q95" s="188">
        <v>0</v>
      </c>
      <c r="R95" s="188">
        <f>Q95*H95</f>
        <v>0</v>
      </c>
      <c r="S95" s="188">
        <v>0</v>
      </c>
      <c r="T95" s="189">
        <f>S95*H95</f>
        <v>0</v>
      </c>
      <c r="AR95" s="81" t="s">
        <v>119</v>
      </c>
      <c r="AT95" s="81" t="s">
        <v>116</v>
      </c>
      <c r="AU95" s="81" t="s">
        <v>76</v>
      </c>
      <c r="AY95" s="81" t="s">
        <v>114</v>
      </c>
      <c r="BE95" s="190">
        <f>IF(N95="základní",J95,0)</f>
        <v>0</v>
      </c>
      <c r="BF95" s="190">
        <f>IF(N95="snížená",J95,0)</f>
        <v>0</v>
      </c>
      <c r="BG95" s="190">
        <f>IF(N95="zákl. přenesená",J95,0)</f>
        <v>0</v>
      </c>
      <c r="BH95" s="190">
        <f>IF(N95="sníž. přenesená",J95,0)</f>
        <v>0</v>
      </c>
      <c r="BI95" s="190">
        <f>IF(N95="nulová",J95,0)</f>
        <v>0</v>
      </c>
      <c r="BJ95" s="81" t="s">
        <v>73</v>
      </c>
      <c r="BK95" s="190">
        <f>ROUND(I95*H95,2)</f>
        <v>0</v>
      </c>
      <c r="BL95" s="81" t="s">
        <v>119</v>
      </c>
      <c r="BM95" s="81" t="s">
        <v>120</v>
      </c>
    </row>
    <row r="96" spans="2:51" s="198" customFormat="1" ht="12">
      <c r="B96" s="191"/>
      <c r="C96" s="192"/>
      <c r="D96" s="193" t="s">
        <v>121</v>
      </c>
      <c r="E96" s="194" t="s">
        <v>1</v>
      </c>
      <c r="F96" s="195" t="s">
        <v>801</v>
      </c>
      <c r="G96" s="196"/>
      <c r="H96" s="197" t="s">
        <v>1</v>
      </c>
      <c r="I96" s="196"/>
      <c r="L96" s="191"/>
      <c r="M96" s="199"/>
      <c r="N96" s="200"/>
      <c r="O96" s="200"/>
      <c r="P96" s="200"/>
      <c r="Q96" s="200"/>
      <c r="R96" s="200"/>
      <c r="S96" s="200"/>
      <c r="T96" s="201"/>
      <c r="AT96" s="194" t="s">
        <v>121</v>
      </c>
      <c r="AU96" s="194" t="s">
        <v>76</v>
      </c>
      <c r="AV96" s="198" t="s">
        <v>73</v>
      </c>
      <c r="AW96" s="198" t="s">
        <v>32</v>
      </c>
      <c r="AX96" s="198" t="s">
        <v>68</v>
      </c>
      <c r="AY96" s="194" t="s">
        <v>114</v>
      </c>
    </row>
    <row r="97" spans="2:51" s="208" customFormat="1" ht="12">
      <c r="B97" s="202"/>
      <c r="C97" s="203"/>
      <c r="D97" s="193" t="s">
        <v>121</v>
      </c>
      <c r="E97" s="204" t="s">
        <v>1</v>
      </c>
      <c r="F97" s="205" t="s">
        <v>802</v>
      </c>
      <c r="G97" s="206"/>
      <c r="H97" s="207">
        <v>5.312</v>
      </c>
      <c r="I97" s="206"/>
      <c r="L97" s="202"/>
      <c r="M97" s="209"/>
      <c r="N97" s="210"/>
      <c r="O97" s="210"/>
      <c r="P97" s="210"/>
      <c r="Q97" s="210"/>
      <c r="R97" s="210"/>
      <c r="S97" s="210"/>
      <c r="T97" s="211"/>
      <c r="AT97" s="204" t="s">
        <v>121</v>
      </c>
      <c r="AU97" s="204" t="s">
        <v>76</v>
      </c>
      <c r="AV97" s="208" t="s">
        <v>76</v>
      </c>
      <c r="AW97" s="208" t="s">
        <v>32</v>
      </c>
      <c r="AX97" s="208" t="s">
        <v>68</v>
      </c>
      <c r="AY97" s="204" t="s">
        <v>114</v>
      </c>
    </row>
    <row r="98" spans="2:51" s="208" customFormat="1" ht="12">
      <c r="B98" s="202"/>
      <c r="C98" s="203"/>
      <c r="D98" s="193" t="s">
        <v>121</v>
      </c>
      <c r="E98" s="204" t="s">
        <v>1</v>
      </c>
      <c r="F98" s="205" t="s">
        <v>803</v>
      </c>
      <c r="G98" s="206"/>
      <c r="H98" s="207">
        <v>3.2</v>
      </c>
      <c r="I98" s="206"/>
      <c r="L98" s="202"/>
      <c r="M98" s="209"/>
      <c r="N98" s="210"/>
      <c r="O98" s="210"/>
      <c r="P98" s="210"/>
      <c r="Q98" s="210"/>
      <c r="R98" s="210"/>
      <c r="S98" s="210"/>
      <c r="T98" s="211"/>
      <c r="AT98" s="204" t="s">
        <v>121</v>
      </c>
      <c r="AU98" s="204" t="s">
        <v>76</v>
      </c>
      <c r="AV98" s="208" t="s">
        <v>76</v>
      </c>
      <c r="AW98" s="208" t="s">
        <v>32</v>
      </c>
      <c r="AX98" s="208" t="s">
        <v>68</v>
      </c>
      <c r="AY98" s="204" t="s">
        <v>114</v>
      </c>
    </row>
    <row r="99" spans="2:51" s="198" customFormat="1" ht="12">
      <c r="B99" s="191"/>
      <c r="C99" s="192"/>
      <c r="D99" s="193" t="s">
        <v>121</v>
      </c>
      <c r="E99" s="194" t="s">
        <v>1</v>
      </c>
      <c r="F99" s="195" t="s">
        <v>804</v>
      </c>
      <c r="G99" s="196"/>
      <c r="H99" s="197" t="s">
        <v>1</v>
      </c>
      <c r="I99" s="196"/>
      <c r="L99" s="191"/>
      <c r="M99" s="199"/>
      <c r="N99" s="200"/>
      <c r="O99" s="200"/>
      <c r="P99" s="200"/>
      <c r="Q99" s="200"/>
      <c r="R99" s="200"/>
      <c r="S99" s="200"/>
      <c r="T99" s="201"/>
      <c r="AT99" s="194" t="s">
        <v>121</v>
      </c>
      <c r="AU99" s="194" t="s">
        <v>76</v>
      </c>
      <c r="AV99" s="198" t="s">
        <v>73</v>
      </c>
      <c r="AW99" s="198" t="s">
        <v>32</v>
      </c>
      <c r="AX99" s="198" t="s">
        <v>68</v>
      </c>
      <c r="AY99" s="194" t="s">
        <v>114</v>
      </c>
    </row>
    <row r="100" spans="2:51" s="208" customFormat="1" ht="12">
      <c r="B100" s="202"/>
      <c r="C100" s="203"/>
      <c r="D100" s="193" t="s">
        <v>121</v>
      </c>
      <c r="E100" s="204" t="s">
        <v>1</v>
      </c>
      <c r="F100" s="205" t="s">
        <v>805</v>
      </c>
      <c r="G100" s="206"/>
      <c r="H100" s="207">
        <v>23.7</v>
      </c>
      <c r="I100" s="206"/>
      <c r="L100" s="202"/>
      <c r="M100" s="209"/>
      <c r="N100" s="210"/>
      <c r="O100" s="210"/>
      <c r="P100" s="210"/>
      <c r="Q100" s="210"/>
      <c r="R100" s="210"/>
      <c r="S100" s="210"/>
      <c r="T100" s="211"/>
      <c r="AT100" s="204" t="s">
        <v>121</v>
      </c>
      <c r="AU100" s="204" t="s">
        <v>76</v>
      </c>
      <c r="AV100" s="208" t="s">
        <v>76</v>
      </c>
      <c r="AW100" s="208" t="s">
        <v>32</v>
      </c>
      <c r="AX100" s="208" t="s">
        <v>68</v>
      </c>
      <c r="AY100" s="204" t="s">
        <v>114</v>
      </c>
    </row>
    <row r="101" spans="2:51" s="208" customFormat="1" ht="12">
      <c r="B101" s="202"/>
      <c r="C101" s="203"/>
      <c r="D101" s="193" t="s">
        <v>121</v>
      </c>
      <c r="E101" s="204" t="s">
        <v>1</v>
      </c>
      <c r="F101" s="205" t="s">
        <v>806</v>
      </c>
      <c r="G101" s="206"/>
      <c r="H101" s="207">
        <v>7.8</v>
      </c>
      <c r="I101" s="206"/>
      <c r="L101" s="202"/>
      <c r="M101" s="209"/>
      <c r="N101" s="210"/>
      <c r="O101" s="210"/>
      <c r="P101" s="210"/>
      <c r="Q101" s="210"/>
      <c r="R101" s="210"/>
      <c r="S101" s="210"/>
      <c r="T101" s="211"/>
      <c r="AT101" s="204" t="s">
        <v>121</v>
      </c>
      <c r="AU101" s="204" t="s">
        <v>76</v>
      </c>
      <c r="AV101" s="208" t="s">
        <v>76</v>
      </c>
      <c r="AW101" s="208" t="s">
        <v>32</v>
      </c>
      <c r="AX101" s="208" t="s">
        <v>68</v>
      </c>
      <c r="AY101" s="204" t="s">
        <v>114</v>
      </c>
    </row>
    <row r="102" spans="2:51" s="208" customFormat="1" ht="12">
      <c r="B102" s="202"/>
      <c r="C102" s="203"/>
      <c r="D102" s="193" t="s">
        <v>121</v>
      </c>
      <c r="E102" s="204" t="s">
        <v>1</v>
      </c>
      <c r="F102" s="205" t="s">
        <v>807</v>
      </c>
      <c r="G102" s="206"/>
      <c r="H102" s="207">
        <v>-7.584</v>
      </c>
      <c r="I102" s="206"/>
      <c r="L102" s="202"/>
      <c r="M102" s="209"/>
      <c r="N102" s="210"/>
      <c r="O102" s="210"/>
      <c r="P102" s="210"/>
      <c r="Q102" s="210"/>
      <c r="R102" s="210"/>
      <c r="S102" s="210"/>
      <c r="T102" s="211"/>
      <c r="AT102" s="204" t="s">
        <v>121</v>
      </c>
      <c r="AU102" s="204" t="s">
        <v>76</v>
      </c>
      <c r="AV102" s="208" t="s">
        <v>76</v>
      </c>
      <c r="AW102" s="208" t="s">
        <v>32</v>
      </c>
      <c r="AX102" s="208" t="s">
        <v>68</v>
      </c>
      <c r="AY102" s="204" t="s">
        <v>114</v>
      </c>
    </row>
    <row r="103" spans="2:51" s="208" customFormat="1" ht="12">
      <c r="B103" s="202"/>
      <c r="C103" s="203"/>
      <c r="D103" s="193" t="s">
        <v>121</v>
      </c>
      <c r="E103" s="204" t="s">
        <v>1</v>
      </c>
      <c r="F103" s="205" t="s">
        <v>808</v>
      </c>
      <c r="G103" s="206"/>
      <c r="H103" s="207">
        <v>-3.12</v>
      </c>
      <c r="I103" s="206"/>
      <c r="L103" s="202"/>
      <c r="M103" s="209"/>
      <c r="N103" s="210"/>
      <c r="O103" s="210"/>
      <c r="P103" s="210"/>
      <c r="Q103" s="210"/>
      <c r="R103" s="210"/>
      <c r="S103" s="210"/>
      <c r="T103" s="211"/>
      <c r="AT103" s="204" t="s">
        <v>121</v>
      </c>
      <c r="AU103" s="204" t="s">
        <v>76</v>
      </c>
      <c r="AV103" s="208" t="s">
        <v>76</v>
      </c>
      <c r="AW103" s="208" t="s">
        <v>32</v>
      </c>
      <c r="AX103" s="208" t="s">
        <v>68</v>
      </c>
      <c r="AY103" s="204" t="s">
        <v>114</v>
      </c>
    </row>
    <row r="104" spans="2:51" s="198" customFormat="1" ht="12">
      <c r="B104" s="191"/>
      <c r="C104" s="192"/>
      <c r="D104" s="193" t="s">
        <v>121</v>
      </c>
      <c r="E104" s="194" t="s">
        <v>1</v>
      </c>
      <c r="F104" s="195" t="s">
        <v>809</v>
      </c>
      <c r="G104" s="196"/>
      <c r="H104" s="197" t="s">
        <v>1</v>
      </c>
      <c r="I104" s="196"/>
      <c r="L104" s="191"/>
      <c r="M104" s="199"/>
      <c r="N104" s="200"/>
      <c r="O104" s="200"/>
      <c r="P104" s="200"/>
      <c r="Q104" s="200"/>
      <c r="R104" s="200"/>
      <c r="S104" s="200"/>
      <c r="T104" s="201"/>
      <c r="AT104" s="194" t="s">
        <v>121</v>
      </c>
      <c r="AU104" s="194" t="s">
        <v>76</v>
      </c>
      <c r="AV104" s="198" t="s">
        <v>73</v>
      </c>
      <c r="AW104" s="198" t="s">
        <v>32</v>
      </c>
      <c r="AX104" s="198" t="s">
        <v>68</v>
      </c>
      <c r="AY104" s="194" t="s">
        <v>114</v>
      </c>
    </row>
    <row r="105" spans="2:51" s="208" customFormat="1" ht="12">
      <c r="B105" s="202"/>
      <c r="C105" s="203"/>
      <c r="D105" s="193" t="s">
        <v>121</v>
      </c>
      <c r="E105" s="204" t="s">
        <v>1</v>
      </c>
      <c r="F105" s="205" t="s">
        <v>810</v>
      </c>
      <c r="G105" s="206"/>
      <c r="H105" s="207">
        <v>7.65</v>
      </c>
      <c r="I105" s="206"/>
      <c r="L105" s="202"/>
      <c r="M105" s="209"/>
      <c r="N105" s="210"/>
      <c r="O105" s="210"/>
      <c r="P105" s="210"/>
      <c r="Q105" s="210"/>
      <c r="R105" s="210"/>
      <c r="S105" s="210"/>
      <c r="T105" s="211"/>
      <c r="AT105" s="204" t="s">
        <v>121</v>
      </c>
      <c r="AU105" s="204" t="s">
        <v>76</v>
      </c>
      <c r="AV105" s="208" t="s">
        <v>76</v>
      </c>
      <c r="AW105" s="208" t="s">
        <v>32</v>
      </c>
      <c r="AX105" s="208" t="s">
        <v>68</v>
      </c>
      <c r="AY105" s="204" t="s">
        <v>114</v>
      </c>
    </row>
    <row r="106" spans="2:51" s="208" customFormat="1" ht="12">
      <c r="B106" s="202"/>
      <c r="C106" s="203"/>
      <c r="D106" s="193" t="s">
        <v>121</v>
      </c>
      <c r="E106" s="204" t="s">
        <v>1</v>
      </c>
      <c r="F106" s="205" t="s">
        <v>811</v>
      </c>
      <c r="G106" s="206"/>
      <c r="H106" s="207">
        <v>14.112</v>
      </c>
      <c r="I106" s="206"/>
      <c r="L106" s="202"/>
      <c r="M106" s="209"/>
      <c r="N106" s="210"/>
      <c r="O106" s="210"/>
      <c r="P106" s="210"/>
      <c r="Q106" s="210"/>
      <c r="R106" s="210"/>
      <c r="S106" s="210"/>
      <c r="T106" s="211"/>
      <c r="AT106" s="204" t="s">
        <v>121</v>
      </c>
      <c r="AU106" s="204" t="s">
        <v>76</v>
      </c>
      <c r="AV106" s="208" t="s">
        <v>76</v>
      </c>
      <c r="AW106" s="208" t="s">
        <v>32</v>
      </c>
      <c r="AX106" s="208" t="s">
        <v>68</v>
      </c>
      <c r="AY106" s="204" t="s">
        <v>114</v>
      </c>
    </row>
    <row r="107" spans="2:51" s="208" customFormat="1" ht="12">
      <c r="B107" s="202"/>
      <c r="C107" s="203"/>
      <c r="D107" s="193" t="s">
        <v>121</v>
      </c>
      <c r="E107" s="204" t="s">
        <v>1</v>
      </c>
      <c r="F107" s="205" t="s">
        <v>812</v>
      </c>
      <c r="G107" s="206"/>
      <c r="H107" s="207">
        <v>10.673</v>
      </c>
      <c r="I107" s="206"/>
      <c r="L107" s="202"/>
      <c r="M107" s="209"/>
      <c r="N107" s="210"/>
      <c r="O107" s="210"/>
      <c r="P107" s="210"/>
      <c r="Q107" s="210"/>
      <c r="R107" s="210"/>
      <c r="S107" s="210"/>
      <c r="T107" s="211"/>
      <c r="AT107" s="204" t="s">
        <v>121</v>
      </c>
      <c r="AU107" s="204" t="s">
        <v>76</v>
      </c>
      <c r="AV107" s="208" t="s">
        <v>76</v>
      </c>
      <c r="AW107" s="208" t="s">
        <v>32</v>
      </c>
      <c r="AX107" s="208" t="s">
        <v>68</v>
      </c>
      <c r="AY107" s="204" t="s">
        <v>114</v>
      </c>
    </row>
    <row r="108" spans="2:51" s="208" customFormat="1" ht="12">
      <c r="B108" s="202"/>
      <c r="C108" s="203"/>
      <c r="D108" s="193" t="s">
        <v>121</v>
      </c>
      <c r="E108" s="204" t="s">
        <v>1</v>
      </c>
      <c r="F108" s="205" t="s">
        <v>813</v>
      </c>
      <c r="G108" s="206"/>
      <c r="H108" s="207">
        <v>22.896</v>
      </c>
      <c r="I108" s="206"/>
      <c r="L108" s="202"/>
      <c r="M108" s="209"/>
      <c r="N108" s="210"/>
      <c r="O108" s="210"/>
      <c r="P108" s="210"/>
      <c r="Q108" s="210"/>
      <c r="R108" s="210"/>
      <c r="S108" s="210"/>
      <c r="T108" s="211"/>
      <c r="AT108" s="204" t="s">
        <v>121</v>
      </c>
      <c r="AU108" s="204" t="s">
        <v>76</v>
      </c>
      <c r="AV108" s="208" t="s">
        <v>76</v>
      </c>
      <c r="AW108" s="208" t="s">
        <v>32</v>
      </c>
      <c r="AX108" s="208" t="s">
        <v>68</v>
      </c>
      <c r="AY108" s="204" t="s">
        <v>114</v>
      </c>
    </row>
    <row r="109" spans="2:51" s="208" customFormat="1" ht="12">
      <c r="B109" s="202"/>
      <c r="C109" s="203"/>
      <c r="D109" s="193" t="s">
        <v>121</v>
      </c>
      <c r="E109" s="204" t="s">
        <v>1</v>
      </c>
      <c r="F109" s="205" t="s">
        <v>814</v>
      </c>
      <c r="G109" s="206"/>
      <c r="H109" s="207">
        <v>13.946</v>
      </c>
      <c r="I109" s="206"/>
      <c r="L109" s="202"/>
      <c r="M109" s="209"/>
      <c r="N109" s="210"/>
      <c r="O109" s="210"/>
      <c r="P109" s="210"/>
      <c r="Q109" s="210"/>
      <c r="R109" s="210"/>
      <c r="S109" s="210"/>
      <c r="T109" s="211"/>
      <c r="AT109" s="204" t="s">
        <v>121</v>
      </c>
      <c r="AU109" s="204" t="s">
        <v>76</v>
      </c>
      <c r="AV109" s="208" t="s">
        <v>76</v>
      </c>
      <c r="AW109" s="208" t="s">
        <v>32</v>
      </c>
      <c r="AX109" s="208" t="s">
        <v>68</v>
      </c>
      <c r="AY109" s="204" t="s">
        <v>114</v>
      </c>
    </row>
    <row r="110" spans="2:51" s="208" customFormat="1" ht="12">
      <c r="B110" s="202"/>
      <c r="C110" s="203"/>
      <c r="D110" s="193" t="s">
        <v>121</v>
      </c>
      <c r="E110" s="204" t="s">
        <v>1</v>
      </c>
      <c r="F110" s="205" t="s">
        <v>815</v>
      </c>
      <c r="G110" s="206"/>
      <c r="H110" s="207">
        <v>4.208</v>
      </c>
      <c r="I110" s="206"/>
      <c r="L110" s="202"/>
      <c r="M110" s="209"/>
      <c r="N110" s="210"/>
      <c r="O110" s="210"/>
      <c r="P110" s="210"/>
      <c r="Q110" s="210"/>
      <c r="R110" s="210"/>
      <c r="S110" s="210"/>
      <c r="T110" s="211"/>
      <c r="AT110" s="204" t="s">
        <v>121</v>
      </c>
      <c r="AU110" s="204" t="s">
        <v>76</v>
      </c>
      <c r="AV110" s="208" t="s">
        <v>76</v>
      </c>
      <c r="AW110" s="208" t="s">
        <v>32</v>
      </c>
      <c r="AX110" s="208" t="s">
        <v>68</v>
      </c>
      <c r="AY110" s="204" t="s">
        <v>114</v>
      </c>
    </row>
    <row r="111" spans="2:51" s="208" customFormat="1" ht="12">
      <c r="B111" s="202"/>
      <c r="C111" s="203"/>
      <c r="D111" s="193" t="s">
        <v>121</v>
      </c>
      <c r="E111" s="204" t="s">
        <v>1</v>
      </c>
      <c r="F111" s="205" t="s">
        <v>816</v>
      </c>
      <c r="G111" s="206"/>
      <c r="H111" s="207">
        <v>5.474</v>
      </c>
      <c r="I111" s="206"/>
      <c r="L111" s="202"/>
      <c r="M111" s="209"/>
      <c r="N111" s="210"/>
      <c r="O111" s="210"/>
      <c r="P111" s="210"/>
      <c r="Q111" s="210"/>
      <c r="R111" s="210"/>
      <c r="S111" s="210"/>
      <c r="T111" s="211"/>
      <c r="AT111" s="204" t="s">
        <v>121</v>
      </c>
      <c r="AU111" s="204" t="s">
        <v>76</v>
      </c>
      <c r="AV111" s="208" t="s">
        <v>76</v>
      </c>
      <c r="AW111" s="208" t="s">
        <v>32</v>
      </c>
      <c r="AX111" s="208" t="s">
        <v>68</v>
      </c>
      <c r="AY111" s="204" t="s">
        <v>114</v>
      </c>
    </row>
    <row r="112" spans="2:51" s="198" customFormat="1" ht="12">
      <c r="B112" s="191"/>
      <c r="C112" s="192"/>
      <c r="D112" s="193" t="s">
        <v>121</v>
      </c>
      <c r="E112" s="194" t="s">
        <v>1</v>
      </c>
      <c r="F112" s="195" t="s">
        <v>817</v>
      </c>
      <c r="G112" s="196"/>
      <c r="H112" s="197" t="s">
        <v>1</v>
      </c>
      <c r="I112" s="196"/>
      <c r="L112" s="191"/>
      <c r="M112" s="199"/>
      <c r="N112" s="200"/>
      <c r="O112" s="200"/>
      <c r="P112" s="200"/>
      <c r="Q112" s="200"/>
      <c r="R112" s="200"/>
      <c r="S112" s="200"/>
      <c r="T112" s="201"/>
      <c r="AT112" s="194" t="s">
        <v>121</v>
      </c>
      <c r="AU112" s="194" t="s">
        <v>76</v>
      </c>
      <c r="AV112" s="198" t="s">
        <v>73</v>
      </c>
      <c r="AW112" s="198" t="s">
        <v>32</v>
      </c>
      <c r="AX112" s="198" t="s">
        <v>68</v>
      </c>
      <c r="AY112" s="194" t="s">
        <v>114</v>
      </c>
    </row>
    <row r="113" spans="2:51" s="208" customFormat="1" ht="12">
      <c r="B113" s="202"/>
      <c r="C113" s="203"/>
      <c r="D113" s="193" t="s">
        <v>121</v>
      </c>
      <c r="E113" s="204" t="s">
        <v>1</v>
      </c>
      <c r="F113" s="205" t="s">
        <v>818</v>
      </c>
      <c r="G113" s="206"/>
      <c r="H113" s="207">
        <v>27.144</v>
      </c>
      <c r="I113" s="206"/>
      <c r="L113" s="202"/>
      <c r="M113" s="209"/>
      <c r="N113" s="210"/>
      <c r="O113" s="210"/>
      <c r="P113" s="210"/>
      <c r="Q113" s="210"/>
      <c r="R113" s="210"/>
      <c r="S113" s="210"/>
      <c r="T113" s="211"/>
      <c r="AT113" s="204" t="s">
        <v>121</v>
      </c>
      <c r="AU113" s="204" t="s">
        <v>76</v>
      </c>
      <c r="AV113" s="208" t="s">
        <v>76</v>
      </c>
      <c r="AW113" s="208" t="s">
        <v>32</v>
      </c>
      <c r="AX113" s="208" t="s">
        <v>68</v>
      </c>
      <c r="AY113" s="204" t="s">
        <v>114</v>
      </c>
    </row>
    <row r="114" spans="2:51" s="198" customFormat="1" ht="12">
      <c r="B114" s="191"/>
      <c r="C114" s="192"/>
      <c r="D114" s="193" t="s">
        <v>121</v>
      </c>
      <c r="E114" s="194" t="s">
        <v>1</v>
      </c>
      <c r="F114" s="195" t="s">
        <v>1460</v>
      </c>
      <c r="G114" s="196"/>
      <c r="H114" s="197" t="s">
        <v>1</v>
      </c>
      <c r="I114" s="196"/>
      <c r="L114" s="191"/>
      <c r="M114" s="199"/>
      <c r="N114" s="200"/>
      <c r="O114" s="200"/>
      <c r="P114" s="200"/>
      <c r="Q114" s="200"/>
      <c r="R114" s="200"/>
      <c r="S114" s="200"/>
      <c r="T114" s="201"/>
      <c r="AT114" s="194" t="s">
        <v>121</v>
      </c>
      <c r="AU114" s="194" t="s">
        <v>76</v>
      </c>
      <c r="AV114" s="198" t="s">
        <v>73</v>
      </c>
      <c r="AW114" s="198" t="s">
        <v>32</v>
      </c>
      <c r="AX114" s="198" t="s">
        <v>68</v>
      </c>
      <c r="AY114" s="194" t="s">
        <v>114</v>
      </c>
    </row>
    <row r="115" spans="2:51" s="208" customFormat="1" ht="12">
      <c r="B115" s="202"/>
      <c r="C115" s="203"/>
      <c r="D115" s="193" t="s">
        <v>121</v>
      </c>
      <c r="E115" s="204" t="s">
        <v>1</v>
      </c>
      <c r="F115" s="205" t="s">
        <v>122</v>
      </c>
      <c r="G115" s="206"/>
      <c r="H115" s="207">
        <v>14.782</v>
      </c>
      <c r="I115" s="206"/>
      <c r="L115" s="202"/>
      <c r="M115" s="209"/>
      <c r="N115" s="210"/>
      <c r="O115" s="210"/>
      <c r="P115" s="210"/>
      <c r="Q115" s="210"/>
      <c r="R115" s="210"/>
      <c r="S115" s="210"/>
      <c r="T115" s="211"/>
      <c r="AT115" s="204" t="s">
        <v>121</v>
      </c>
      <c r="AU115" s="204" t="s">
        <v>76</v>
      </c>
      <c r="AV115" s="208" t="s">
        <v>76</v>
      </c>
      <c r="AW115" s="208" t="s">
        <v>32</v>
      </c>
      <c r="AX115" s="208" t="s">
        <v>68</v>
      </c>
      <c r="AY115" s="204" t="s">
        <v>114</v>
      </c>
    </row>
    <row r="116" spans="2:51" s="208" customFormat="1" ht="12">
      <c r="B116" s="202"/>
      <c r="C116" s="203"/>
      <c r="D116" s="193" t="s">
        <v>121</v>
      </c>
      <c r="E116" s="204" t="s">
        <v>1</v>
      </c>
      <c r="F116" s="205" t="s">
        <v>123</v>
      </c>
      <c r="G116" s="206"/>
      <c r="H116" s="207">
        <v>22.74</v>
      </c>
      <c r="I116" s="206"/>
      <c r="L116" s="202"/>
      <c r="M116" s="209"/>
      <c r="N116" s="210"/>
      <c r="O116" s="210"/>
      <c r="P116" s="210"/>
      <c r="Q116" s="210"/>
      <c r="R116" s="210"/>
      <c r="S116" s="210"/>
      <c r="T116" s="211"/>
      <c r="AT116" s="204" t="s">
        <v>121</v>
      </c>
      <c r="AU116" s="204" t="s">
        <v>76</v>
      </c>
      <c r="AV116" s="208" t="s">
        <v>76</v>
      </c>
      <c r="AW116" s="208" t="s">
        <v>32</v>
      </c>
      <c r="AX116" s="208" t="s">
        <v>68</v>
      </c>
      <c r="AY116" s="204" t="s">
        <v>114</v>
      </c>
    </row>
    <row r="117" spans="2:51" s="208" customFormat="1" ht="12">
      <c r="B117" s="202"/>
      <c r="C117" s="203"/>
      <c r="D117" s="193" t="s">
        <v>121</v>
      </c>
      <c r="E117" s="204" t="s">
        <v>1</v>
      </c>
      <c r="F117" s="205" t="s">
        <v>124</v>
      </c>
      <c r="G117" s="206"/>
      <c r="H117" s="207">
        <v>12.558</v>
      </c>
      <c r="I117" s="206"/>
      <c r="L117" s="202"/>
      <c r="M117" s="209"/>
      <c r="N117" s="210"/>
      <c r="O117" s="210"/>
      <c r="P117" s="210"/>
      <c r="Q117" s="210"/>
      <c r="R117" s="210"/>
      <c r="S117" s="210"/>
      <c r="T117" s="211"/>
      <c r="AT117" s="204" t="s">
        <v>121</v>
      </c>
      <c r="AU117" s="204" t="s">
        <v>76</v>
      </c>
      <c r="AV117" s="208" t="s">
        <v>76</v>
      </c>
      <c r="AW117" s="208" t="s">
        <v>32</v>
      </c>
      <c r="AX117" s="208" t="s">
        <v>68</v>
      </c>
      <c r="AY117" s="204" t="s">
        <v>114</v>
      </c>
    </row>
    <row r="118" spans="2:51" s="208" customFormat="1" ht="12">
      <c r="B118" s="202"/>
      <c r="C118" s="203"/>
      <c r="D118" s="193" t="s">
        <v>121</v>
      </c>
      <c r="E118" s="204" t="s">
        <v>1</v>
      </c>
      <c r="F118" s="205" t="s">
        <v>125</v>
      </c>
      <c r="G118" s="206"/>
      <c r="H118" s="207">
        <v>3.886</v>
      </c>
      <c r="I118" s="206"/>
      <c r="L118" s="202"/>
      <c r="M118" s="209"/>
      <c r="N118" s="210"/>
      <c r="O118" s="210"/>
      <c r="P118" s="210"/>
      <c r="Q118" s="210"/>
      <c r="R118" s="210"/>
      <c r="S118" s="210"/>
      <c r="T118" s="211"/>
      <c r="AT118" s="204" t="s">
        <v>121</v>
      </c>
      <c r="AU118" s="204" t="s">
        <v>76</v>
      </c>
      <c r="AV118" s="208" t="s">
        <v>76</v>
      </c>
      <c r="AW118" s="208" t="s">
        <v>32</v>
      </c>
      <c r="AX118" s="208" t="s">
        <v>68</v>
      </c>
      <c r="AY118" s="204" t="s">
        <v>114</v>
      </c>
    </row>
    <row r="119" spans="2:51" s="208" customFormat="1" ht="12">
      <c r="B119" s="202"/>
      <c r="C119" s="203"/>
      <c r="D119" s="193" t="s">
        <v>121</v>
      </c>
      <c r="E119" s="204" t="s">
        <v>1</v>
      </c>
      <c r="F119" s="205" t="s">
        <v>126</v>
      </c>
      <c r="G119" s="206"/>
      <c r="H119" s="207">
        <v>7.944</v>
      </c>
      <c r="I119" s="206"/>
      <c r="L119" s="202"/>
      <c r="M119" s="209"/>
      <c r="N119" s="210"/>
      <c r="O119" s="210"/>
      <c r="P119" s="210"/>
      <c r="Q119" s="210"/>
      <c r="R119" s="210"/>
      <c r="S119" s="210"/>
      <c r="T119" s="211"/>
      <c r="AT119" s="204" t="s">
        <v>121</v>
      </c>
      <c r="AU119" s="204" t="s">
        <v>76</v>
      </c>
      <c r="AV119" s="208" t="s">
        <v>76</v>
      </c>
      <c r="AW119" s="208" t="s">
        <v>32</v>
      </c>
      <c r="AX119" s="208" t="s">
        <v>68</v>
      </c>
      <c r="AY119" s="204" t="s">
        <v>114</v>
      </c>
    </row>
    <row r="120" spans="2:51" s="208" customFormat="1" ht="12">
      <c r="B120" s="202"/>
      <c r="C120" s="203"/>
      <c r="D120" s="193" t="s">
        <v>121</v>
      </c>
      <c r="E120" s="204" t="s">
        <v>1</v>
      </c>
      <c r="F120" s="205" t="s">
        <v>127</v>
      </c>
      <c r="G120" s="206"/>
      <c r="H120" s="207">
        <v>4.648</v>
      </c>
      <c r="I120" s="206"/>
      <c r="L120" s="202"/>
      <c r="M120" s="209"/>
      <c r="N120" s="210"/>
      <c r="O120" s="210"/>
      <c r="P120" s="210"/>
      <c r="Q120" s="210"/>
      <c r="R120" s="210"/>
      <c r="S120" s="210"/>
      <c r="T120" s="211"/>
      <c r="AT120" s="204" t="s">
        <v>121</v>
      </c>
      <c r="AU120" s="204" t="s">
        <v>76</v>
      </c>
      <c r="AV120" s="208" t="s">
        <v>76</v>
      </c>
      <c r="AW120" s="208" t="s">
        <v>32</v>
      </c>
      <c r="AX120" s="208" t="s">
        <v>68</v>
      </c>
      <c r="AY120" s="204" t="s">
        <v>114</v>
      </c>
    </row>
    <row r="121" spans="2:51" s="208" customFormat="1" ht="12">
      <c r="B121" s="202"/>
      <c r="C121" s="203"/>
      <c r="D121" s="193" t="s">
        <v>121</v>
      </c>
      <c r="E121" s="204" t="s">
        <v>1</v>
      </c>
      <c r="F121" s="205" t="s">
        <v>128</v>
      </c>
      <c r="G121" s="206"/>
      <c r="H121" s="207">
        <v>12.046</v>
      </c>
      <c r="I121" s="206"/>
      <c r="L121" s="202"/>
      <c r="M121" s="209"/>
      <c r="N121" s="210"/>
      <c r="O121" s="210"/>
      <c r="P121" s="210"/>
      <c r="Q121" s="210"/>
      <c r="R121" s="210"/>
      <c r="S121" s="210"/>
      <c r="T121" s="211"/>
      <c r="AT121" s="204" t="s">
        <v>121</v>
      </c>
      <c r="AU121" s="204" t="s">
        <v>76</v>
      </c>
      <c r="AV121" s="208" t="s">
        <v>76</v>
      </c>
      <c r="AW121" s="208" t="s">
        <v>32</v>
      </c>
      <c r="AX121" s="208" t="s">
        <v>68</v>
      </c>
      <c r="AY121" s="204" t="s">
        <v>114</v>
      </c>
    </row>
    <row r="122" spans="2:51" s="208" customFormat="1" ht="12">
      <c r="B122" s="202"/>
      <c r="C122" s="203"/>
      <c r="D122" s="193" t="s">
        <v>121</v>
      </c>
      <c r="E122" s="204" t="s">
        <v>1</v>
      </c>
      <c r="F122" s="205" t="s">
        <v>129</v>
      </c>
      <c r="G122" s="206"/>
      <c r="H122" s="207">
        <v>7.826</v>
      </c>
      <c r="I122" s="206"/>
      <c r="L122" s="202"/>
      <c r="M122" s="209"/>
      <c r="N122" s="210"/>
      <c r="O122" s="210"/>
      <c r="P122" s="210"/>
      <c r="Q122" s="210"/>
      <c r="R122" s="210"/>
      <c r="S122" s="210"/>
      <c r="T122" s="211"/>
      <c r="AT122" s="204" t="s">
        <v>121</v>
      </c>
      <c r="AU122" s="204" t="s">
        <v>76</v>
      </c>
      <c r="AV122" s="208" t="s">
        <v>76</v>
      </c>
      <c r="AW122" s="208" t="s">
        <v>32</v>
      </c>
      <c r="AX122" s="208" t="s">
        <v>68</v>
      </c>
      <c r="AY122" s="204" t="s">
        <v>114</v>
      </c>
    </row>
    <row r="123" spans="2:51" s="208" customFormat="1" ht="12">
      <c r="B123" s="202"/>
      <c r="C123" s="203"/>
      <c r="D123" s="193" t="s">
        <v>121</v>
      </c>
      <c r="E123" s="204" t="s">
        <v>1</v>
      </c>
      <c r="F123" s="205" t="s">
        <v>130</v>
      </c>
      <c r="G123" s="206"/>
      <c r="H123" s="207">
        <v>13.32</v>
      </c>
      <c r="I123" s="206"/>
      <c r="L123" s="202"/>
      <c r="M123" s="209"/>
      <c r="N123" s="210"/>
      <c r="O123" s="210"/>
      <c r="P123" s="210"/>
      <c r="Q123" s="210"/>
      <c r="R123" s="210"/>
      <c r="S123" s="210"/>
      <c r="T123" s="211"/>
      <c r="AT123" s="204" t="s">
        <v>121</v>
      </c>
      <c r="AU123" s="204" t="s">
        <v>76</v>
      </c>
      <c r="AV123" s="208" t="s">
        <v>76</v>
      </c>
      <c r="AW123" s="208" t="s">
        <v>32</v>
      </c>
      <c r="AX123" s="208" t="s">
        <v>68</v>
      </c>
      <c r="AY123" s="204" t="s">
        <v>114</v>
      </c>
    </row>
    <row r="124" spans="2:51" s="208" customFormat="1" ht="12">
      <c r="B124" s="202"/>
      <c r="C124" s="203"/>
      <c r="D124" s="193" t="s">
        <v>121</v>
      </c>
      <c r="E124" s="204" t="s">
        <v>1</v>
      </c>
      <c r="F124" s="205" t="s">
        <v>131</v>
      </c>
      <c r="G124" s="206"/>
      <c r="H124" s="207">
        <v>14.48</v>
      </c>
      <c r="I124" s="206"/>
      <c r="L124" s="202"/>
      <c r="M124" s="209"/>
      <c r="N124" s="210"/>
      <c r="O124" s="210"/>
      <c r="P124" s="210"/>
      <c r="Q124" s="210"/>
      <c r="R124" s="210"/>
      <c r="S124" s="210"/>
      <c r="T124" s="211"/>
      <c r="AT124" s="204" t="s">
        <v>121</v>
      </c>
      <c r="AU124" s="204" t="s">
        <v>76</v>
      </c>
      <c r="AV124" s="208" t="s">
        <v>76</v>
      </c>
      <c r="AW124" s="208" t="s">
        <v>32</v>
      </c>
      <c r="AX124" s="208" t="s">
        <v>68</v>
      </c>
      <c r="AY124" s="204" t="s">
        <v>114</v>
      </c>
    </row>
    <row r="125" spans="2:51" s="208" customFormat="1" ht="12">
      <c r="B125" s="202"/>
      <c r="C125" s="203"/>
      <c r="D125" s="193" t="s">
        <v>121</v>
      </c>
      <c r="E125" s="204" t="s">
        <v>1</v>
      </c>
      <c r="F125" s="205" t="s">
        <v>132</v>
      </c>
      <c r="G125" s="206"/>
      <c r="H125" s="207">
        <v>6.426</v>
      </c>
      <c r="I125" s="206"/>
      <c r="L125" s="202"/>
      <c r="M125" s="209"/>
      <c r="N125" s="210"/>
      <c r="O125" s="210"/>
      <c r="P125" s="210"/>
      <c r="Q125" s="210"/>
      <c r="R125" s="210"/>
      <c r="S125" s="210"/>
      <c r="T125" s="211"/>
      <c r="AT125" s="204" t="s">
        <v>121</v>
      </c>
      <c r="AU125" s="204" t="s">
        <v>76</v>
      </c>
      <c r="AV125" s="208" t="s">
        <v>76</v>
      </c>
      <c r="AW125" s="208" t="s">
        <v>32</v>
      </c>
      <c r="AX125" s="208" t="s">
        <v>68</v>
      </c>
      <c r="AY125" s="204" t="s">
        <v>114</v>
      </c>
    </row>
    <row r="126" spans="2:51" s="208" customFormat="1" ht="12">
      <c r="B126" s="202"/>
      <c r="C126" s="203"/>
      <c r="D126" s="193" t="s">
        <v>121</v>
      </c>
      <c r="E126" s="204" t="s">
        <v>1</v>
      </c>
      <c r="F126" s="205" t="s">
        <v>133</v>
      </c>
      <c r="G126" s="206"/>
      <c r="H126" s="207">
        <v>7.634</v>
      </c>
      <c r="I126" s="206"/>
      <c r="L126" s="202"/>
      <c r="M126" s="209"/>
      <c r="N126" s="210"/>
      <c r="O126" s="210"/>
      <c r="P126" s="210"/>
      <c r="Q126" s="210"/>
      <c r="R126" s="210"/>
      <c r="S126" s="210"/>
      <c r="T126" s="211"/>
      <c r="AT126" s="204" t="s">
        <v>121</v>
      </c>
      <c r="AU126" s="204" t="s">
        <v>76</v>
      </c>
      <c r="AV126" s="208" t="s">
        <v>76</v>
      </c>
      <c r="AW126" s="208" t="s">
        <v>32</v>
      </c>
      <c r="AX126" s="208" t="s">
        <v>68</v>
      </c>
      <c r="AY126" s="204" t="s">
        <v>114</v>
      </c>
    </row>
    <row r="127" spans="2:51" s="208" customFormat="1" ht="12">
      <c r="B127" s="202"/>
      <c r="C127" s="203"/>
      <c r="D127" s="193" t="s">
        <v>121</v>
      </c>
      <c r="E127" s="204" t="s">
        <v>1</v>
      </c>
      <c r="F127" s="205" t="s">
        <v>134</v>
      </c>
      <c r="G127" s="206"/>
      <c r="H127" s="207">
        <v>11.254</v>
      </c>
      <c r="I127" s="206"/>
      <c r="L127" s="202"/>
      <c r="M127" s="209"/>
      <c r="N127" s="210"/>
      <c r="O127" s="210"/>
      <c r="P127" s="210"/>
      <c r="Q127" s="210"/>
      <c r="R127" s="210"/>
      <c r="S127" s="210"/>
      <c r="T127" s="211"/>
      <c r="AT127" s="204" t="s">
        <v>121</v>
      </c>
      <c r="AU127" s="204" t="s">
        <v>76</v>
      </c>
      <c r="AV127" s="208" t="s">
        <v>76</v>
      </c>
      <c r="AW127" s="208" t="s">
        <v>32</v>
      </c>
      <c r="AX127" s="208" t="s">
        <v>68</v>
      </c>
      <c r="AY127" s="204" t="s">
        <v>114</v>
      </c>
    </row>
    <row r="128" spans="2:51" s="208" customFormat="1" ht="12">
      <c r="B128" s="202"/>
      <c r="C128" s="203"/>
      <c r="D128" s="193" t="s">
        <v>121</v>
      </c>
      <c r="E128" s="204" t="s">
        <v>1</v>
      </c>
      <c r="F128" s="205" t="s">
        <v>135</v>
      </c>
      <c r="G128" s="206"/>
      <c r="H128" s="207">
        <v>9.072</v>
      </c>
      <c r="I128" s="206"/>
      <c r="L128" s="202"/>
      <c r="M128" s="209"/>
      <c r="N128" s="210"/>
      <c r="O128" s="210"/>
      <c r="P128" s="210"/>
      <c r="Q128" s="210"/>
      <c r="R128" s="210"/>
      <c r="S128" s="210"/>
      <c r="T128" s="211"/>
      <c r="AT128" s="204" t="s">
        <v>121</v>
      </c>
      <c r="AU128" s="204" t="s">
        <v>76</v>
      </c>
      <c r="AV128" s="208" t="s">
        <v>76</v>
      </c>
      <c r="AW128" s="208" t="s">
        <v>32</v>
      </c>
      <c r="AX128" s="208" t="s">
        <v>68</v>
      </c>
      <c r="AY128" s="204" t="s">
        <v>114</v>
      </c>
    </row>
    <row r="129" spans="2:51" s="208" customFormat="1" ht="12">
      <c r="B129" s="202"/>
      <c r="C129" s="203"/>
      <c r="D129" s="193" t="s">
        <v>121</v>
      </c>
      <c r="E129" s="204" t="s">
        <v>1</v>
      </c>
      <c r="F129" s="205" t="s">
        <v>136</v>
      </c>
      <c r="G129" s="206"/>
      <c r="H129" s="207">
        <v>11.651</v>
      </c>
      <c r="I129" s="206"/>
      <c r="L129" s="202"/>
      <c r="M129" s="209"/>
      <c r="N129" s="210"/>
      <c r="O129" s="210"/>
      <c r="P129" s="210"/>
      <c r="Q129" s="210"/>
      <c r="R129" s="210"/>
      <c r="S129" s="210"/>
      <c r="T129" s="211"/>
      <c r="AT129" s="204" t="s">
        <v>121</v>
      </c>
      <c r="AU129" s="204" t="s">
        <v>76</v>
      </c>
      <c r="AV129" s="208" t="s">
        <v>76</v>
      </c>
      <c r="AW129" s="208" t="s">
        <v>32</v>
      </c>
      <c r="AX129" s="208" t="s">
        <v>68</v>
      </c>
      <c r="AY129" s="204" t="s">
        <v>114</v>
      </c>
    </row>
    <row r="130" spans="2:51" s="208" customFormat="1" ht="12">
      <c r="B130" s="202"/>
      <c r="C130" s="203"/>
      <c r="D130" s="193" t="s">
        <v>121</v>
      </c>
      <c r="E130" s="204" t="s">
        <v>1</v>
      </c>
      <c r="F130" s="205" t="s">
        <v>137</v>
      </c>
      <c r="G130" s="206"/>
      <c r="H130" s="207">
        <v>7.592</v>
      </c>
      <c r="I130" s="206"/>
      <c r="L130" s="202"/>
      <c r="M130" s="209"/>
      <c r="N130" s="210"/>
      <c r="O130" s="210"/>
      <c r="P130" s="210"/>
      <c r="Q130" s="210"/>
      <c r="R130" s="210"/>
      <c r="S130" s="210"/>
      <c r="T130" s="211"/>
      <c r="AT130" s="204" t="s">
        <v>121</v>
      </c>
      <c r="AU130" s="204" t="s">
        <v>76</v>
      </c>
      <c r="AV130" s="208" t="s">
        <v>76</v>
      </c>
      <c r="AW130" s="208" t="s">
        <v>32</v>
      </c>
      <c r="AX130" s="208" t="s">
        <v>68</v>
      </c>
      <c r="AY130" s="204" t="s">
        <v>114</v>
      </c>
    </row>
    <row r="131" spans="2:51" s="208" customFormat="1" ht="12">
      <c r="B131" s="202"/>
      <c r="C131" s="203"/>
      <c r="D131" s="193" t="s">
        <v>121</v>
      </c>
      <c r="E131" s="204" t="s">
        <v>1</v>
      </c>
      <c r="F131" s="205" t="s">
        <v>138</v>
      </c>
      <c r="G131" s="206"/>
      <c r="H131" s="207">
        <v>15.048</v>
      </c>
      <c r="I131" s="206"/>
      <c r="L131" s="202"/>
      <c r="M131" s="209"/>
      <c r="N131" s="210"/>
      <c r="O131" s="210"/>
      <c r="P131" s="210"/>
      <c r="Q131" s="210"/>
      <c r="R131" s="210"/>
      <c r="S131" s="210"/>
      <c r="T131" s="211"/>
      <c r="AT131" s="204" t="s">
        <v>121</v>
      </c>
      <c r="AU131" s="204" t="s">
        <v>76</v>
      </c>
      <c r="AV131" s="208" t="s">
        <v>76</v>
      </c>
      <c r="AW131" s="208" t="s">
        <v>32</v>
      </c>
      <c r="AX131" s="208" t="s">
        <v>68</v>
      </c>
      <c r="AY131" s="204" t="s">
        <v>114</v>
      </c>
    </row>
    <row r="132" spans="2:51" s="208" customFormat="1" ht="12">
      <c r="B132" s="202"/>
      <c r="C132" s="203"/>
      <c r="D132" s="193" t="s">
        <v>121</v>
      </c>
      <c r="E132" s="204" t="s">
        <v>1</v>
      </c>
      <c r="F132" s="205" t="s">
        <v>139</v>
      </c>
      <c r="G132" s="206"/>
      <c r="H132" s="207">
        <v>14.708</v>
      </c>
      <c r="I132" s="206"/>
      <c r="L132" s="202"/>
      <c r="M132" s="209"/>
      <c r="N132" s="210"/>
      <c r="O132" s="210"/>
      <c r="P132" s="210"/>
      <c r="Q132" s="210"/>
      <c r="R132" s="210"/>
      <c r="S132" s="210"/>
      <c r="T132" s="211"/>
      <c r="AT132" s="204" t="s">
        <v>121</v>
      </c>
      <c r="AU132" s="204" t="s">
        <v>76</v>
      </c>
      <c r="AV132" s="208" t="s">
        <v>76</v>
      </c>
      <c r="AW132" s="208" t="s">
        <v>32</v>
      </c>
      <c r="AX132" s="208" t="s">
        <v>68</v>
      </c>
      <c r="AY132" s="204" t="s">
        <v>114</v>
      </c>
    </row>
    <row r="133" spans="2:51" s="208" customFormat="1" ht="12">
      <c r="B133" s="202"/>
      <c r="C133" s="203"/>
      <c r="D133" s="193" t="s">
        <v>121</v>
      </c>
      <c r="E133" s="204" t="s">
        <v>1</v>
      </c>
      <c r="F133" s="205" t="s">
        <v>140</v>
      </c>
      <c r="G133" s="206"/>
      <c r="H133" s="207">
        <v>9.782</v>
      </c>
      <c r="I133" s="206"/>
      <c r="L133" s="202"/>
      <c r="M133" s="209"/>
      <c r="N133" s="210"/>
      <c r="O133" s="210"/>
      <c r="P133" s="210"/>
      <c r="Q133" s="210"/>
      <c r="R133" s="210"/>
      <c r="S133" s="210"/>
      <c r="T133" s="211"/>
      <c r="AT133" s="204" t="s">
        <v>121</v>
      </c>
      <c r="AU133" s="204" t="s">
        <v>76</v>
      </c>
      <c r="AV133" s="208" t="s">
        <v>76</v>
      </c>
      <c r="AW133" s="208" t="s">
        <v>32</v>
      </c>
      <c r="AX133" s="208" t="s">
        <v>68</v>
      </c>
      <c r="AY133" s="204" t="s">
        <v>114</v>
      </c>
    </row>
    <row r="134" spans="2:51" s="198" customFormat="1" ht="12">
      <c r="B134" s="191"/>
      <c r="C134" s="192"/>
      <c r="D134" s="193" t="s">
        <v>121</v>
      </c>
      <c r="E134" s="194" t="s">
        <v>1</v>
      </c>
      <c r="F134" s="195" t="s">
        <v>141</v>
      </c>
      <c r="G134" s="196"/>
      <c r="H134" s="197" t="s">
        <v>1</v>
      </c>
      <c r="I134" s="196"/>
      <c r="L134" s="191"/>
      <c r="M134" s="199"/>
      <c r="N134" s="200"/>
      <c r="O134" s="200"/>
      <c r="P134" s="200"/>
      <c r="Q134" s="200"/>
      <c r="R134" s="200"/>
      <c r="S134" s="200"/>
      <c r="T134" s="201"/>
      <c r="AT134" s="194" t="s">
        <v>121</v>
      </c>
      <c r="AU134" s="194" t="s">
        <v>76</v>
      </c>
      <c r="AV134" s="198" t="s">
        <v>73</v>
      </c>
      <c r="AW134" s="198" t="s">
        <v>32</v>
      </c>
      <c r="AX134" s="198" t="s">
        <v>68</v>
      </c>
      <c r="AY134" s="194" t="s">
        <v>114</v>
      </c>
    </row>
    <row r="135" spans="2:51" s="208" customFormat="1" ht="12">
      <c r="B135" s="202"/>
      <c r="C135" s="203"/>
      <c r="D135" s="193" t="s">
        <v>121</v>
      </c>
      <c r="E135" s="204" t="s">
        <v>1</v>
      </c>
      <c r="F135" s="205" t="s">
        <v>142</v>
      </c>
      <c r="G135" s="206"/>
      <c r="H135" s="207">
        <v>44.52</v>
      </c>
      <c r="I135" s="206"/>
      <c r="L135" s="202"/>
      <c r="M135" s="209"/>
      <c r="N135" s="210"/>
      <c r="O135" s="210"/>
      <c r="P135" s="210"/>
      <c r="Q135" s="210"/>
      <c r="R135" s="210"/>
      <c r="S135" s="210"/>
      <c r="T135" s="211"/>
      <c r="AT135" s="204" t="s">
        <v>121</v>
      </c>
      <c r="AU135" s="204" t="s">
        <v>76</v>
      </c>
      <c r="AV135" s="208" t="s">
        <v>76</v>
      </c>
      <c r="AW135" s="208" t="s">
        <v>32</v>
      </c>
      <c r="AX135" s="208" t="s">
        <v>68</v>
      </c>
      <c r="AY135" s="204" t="s">
        <v>114</v>
      </c>
    </row>
    <row r="136" spans="2:51" s="208" customFormat="1" ht="12">
      <c r="B136" s="202"/>
      <c r="C136" s="203"/>
      <c r="D136" s="193" t="s">
        <v>121</v>
      </c>
      <c r="E136" s="204" t="s">
        <v>1</v>
      </c>
      <c r="F136" s="205" t="s">
        <v>143</v>
      </c>
      <c r="G136" s="206"/>
      <c r="H136" s="207">
        <v>-6.451</v>
      </c>
      <c r="I136" s="206"/>
      <c r="L136" s="202"/>
      <c r="M136" s="209"/>
      <c r="N136" s="210"/>
      <c r="O136" s="210"/>
      <c r="P136" s="210"/>
      <c r="Q136" s="210"/>
      <c r="R136" s="210"/>
      <c r="S136" s="210"/>
      <c r="T136" s="211"/>
      <c r="AT136" s="204" t="s">
        <v>121</v>
      </c>
      <c r="AU136" s="204" t="s">
        <v>76</v>
      </c>
      <c r="AV136" s="208" t="s">
        <v>76</v>
      </c>
      <c r="AW136" s="208" t="s">
        <v>32</v>
      </c>
      <c r="AX136" s="208" t="s">
        <v>68</v>
      </c>
      <c r="AY136" s="204" t="s">
        <v>114</v>
      </c>
    </row>
    <row r="137" spans="2:51" s="198" customFormat="1" ht="12">
      <c r="B137" s="191"/>
      <c r="C137" s="192"/>
      <c r="D137" s="193" t="s">
        <v>121</v>
      </c>
      <c r="E137" s="194" t="s">
        <v>1</v>
      </c>
      <c r="F137" s="195" t="s">
        <v>144</v>
      </c>
      <c r="G137" s="196"/>
      <c r="H137" s="197" t="s">
        <v>1</v>
      </c>
      <c r="I137" s="196"/>
      <c r="L137" s="191"/>
      <c r="M137" s="199"/>
      <c r="N137" s="200"/>
      <c r="O137" s="200"/>
      <c r="P137" s="200"/>
      <c r="Q137" s="200"/>
      <c r="R137" s="200"/>
      <c r="S137" s="200"/>
      <c r="T137" s="201"/>
      <c r="AT137" s="194" t="s">
        <v>121</v>
      </c>
      <c r="AU137" s="194" t="s">
        <v>76</v>
      </c>
      <c r="AV137" s="198" t="s">
        <v>73</v>
      </c>
      <c r="AW137" s="198" t="s">
        <v>32</v>
      </c>
      <c r="AX137" s="198" t="s">
        <v>68</v>
      </c>
      <c r="AY137" s="194" t="s">
        <v>114</v>
      </c>
    </row>
    <row r="138" spans="2:51" s="208" customFormat="1" ht="12">
      <c r="B138" s="202"/>
      <c r="C138" s="203"/>
      <c r="D138" s="193" t="s">
        <v>121</v>
      </c>
      <c r="E138" s="204" t="s">
        <v>1</v>
      </c>
      <c r="F138" s="205" t="s">
        <v>145</v>
      </c>
      <c r="G138" s="206"/>
      <c r="H138" s="207">
        <v>37.12</v>
      </c>
      <c r="I138" s="206"/>
      <c r="L138" s="202"/>
      <c r="M138" s="209"/>
      <c r="N138" s="210"/>
      <c r="O138" s="210"/>
      <c r="P138" s="210"/>
      <c r="Q138" s="210"/>
      <c r="R138" s="210"/>
      <c r="S138" s="210"/>
      <c r="T138" s="211"/>
      <c r="AT138" s="204" t="s">
        <v>121</v>
      </c>
      <c r="AU138" s="204" t="s">
        <v>76</v>
      </c>
      <c r="AV138" s="208" t="s">
        <v>76</v>
      </c>
      <c r="AW138" s="208" t="s">
        <v>32</v>
      </c>
      <c r="AX138" s="208" t="s">
        <v>68</v>
      </c>
      <c r="AY138" s="204" t="s">
        <v>114</v>
      </c>
    </row>
    <row r="139" spans="2:51" s="218" customFormat="1" ht="12">
      <c r="B139" s="212"/>
      <c r="C139" s="213"/>
      <c r="D139" s="193" t="s">
        <v>121</v>
      </c>
      <c r="E139" s="214" t="s">
        <v>1</v>
      </c>
      <c r="F139" s="215" t="s">
        <v>146</v>
      </c>
      <c r="G139" s="216"/>
      <c r="H139" s="217">
        <f>SUM(H97:H138)</f>
        <v>417.99699999999996</v>
      </c>
      <c r="I139" s="216"/>
      <c r="L139" s="212"/>
      <c r="M139" s="219"/>
      <c r="N139" s="220"/>
      <c r="O139" s="220"/>
      <c r="P139" s="220"/>
      <c r="Q139" s="220"/>
      <c r="R139" s="220"/>
      <c r="S139" s="220"/>
      <c r="T139" s="221"/>
      <c r="AT139" s="214" t="s">
        <v>121</v>
      </c>
      <c r="AU139" s="214" t="s">
        <v>76</v>
      </c>
      <c r="AV139" s="218" t="s">
        <v>147</v>
      </c>
      <c r="AW139" s="218" t="s">
        <v>32</v>
      </c>
      <c r="AX139" s="218" t="s">
        <v>68</v>
      </c>
      <c r="AY139" s="214" t="s">
        <v>114</v>
      </c>
    </row>
    <row r="140" spans="2:51" s="198" customFormat="1" ht="12">
      <c r="B140" s="191"/>
      <c r="C140" s="192"/>
      <c r="D140" s="193" t="s">
        <v>121</v>
      </c>
      <c r="E140" s="194" t="s">
        <v>1</v>
      </c>
      <c r="F140" s="195" t="s">
        <v>148</v>
      </c>
      <c r="G140" s="196"/>
      <c r="H140" s="197" t="s">
        <v>1</v>
      </c>
      <c r="I140" s="196"/>
      <c r="L140" s="191"/>
      <c r="M140" s="199"/>
      <c r="N140" s="200"/>
      <c r="O140" s="200"/>
      <c r="P140" s="200"/>
      <c r="Q140" s="200"/>
      <c r="R140" s="200"/>
      <c r="S140" s="200"/>
      <c r="T140" s="201"/>
      <c r="AT140" s="194" t="s">
        <v>121</v>
      </c>
      <c r="AU140" s="194" t="s">
        <v>76</v>
      </c>
      <c r="AV140" s="198" t="s">
        <v>73</v>
      </c>
      <c r="AW140" s="198" t="s">
        <v>32</v>
      </c>
      <c r="AX140" s="198" t="s">
        <v>68</v>
      </c>
      <c r="AY140" s="194" t="s">
        <v>114</v>
      </c>
    </row>
    <row r="141" spans="2:51" s="208" customFormat="1" ht="12">
      <c r="B141" s="202"/>
      <c r="C141" s="203"/>
      <c r="D141" s="193" t="s">
        <v>121</v>
      </c>
      <c r="E141" s="204" t="s">
        <v>1</v>
      </c>
      <c r="F141" s="205" t="s">
        <v>149</v>
      </c>
      <c r="G141" s="206"/>
      <c r="H141" s="207">
        <v>-56.952</v>
      </c>
      <c r="I141" s="206"/>
      <c r="L141" s="202"/>
      <c r="M141" s="209"/>
      <c r="N141" s="210"/>
      <c r="O141" s="210"/>
      <c r="P141" s="210"/>
      <c r="Q141" s="210"/>
      <c r="R141" s="210"/>
      <c r="S141" s="210"/>
      <c r="T141" s="211"/>
      <c r="AT141" s="204" t="s">
        <v>121</v>
      </c>
      <c r="AU141" s="204" t="s">
        <v>76</v>
      </c>
      <c r="AV141" s="208" t="s">
        <v>76</v>
      </c>
      <c r="AW141" s="208" t="s">
        <v>32</v>
      </c>
      <c r="AX141" s="208" t="s">
        <v>68</v>
      </c>
      <c r="AY141" s="204" t="s">
        <v>114</v>
      </c>
    </row>
    <row r="142" spans="2:51" s="218" customFormat="1" ht="12">
      <c r="B142" s="212"/>
      <c r="C142" s="213"/>
      <c r="D142" s="193" t="s">
        <v>121</v>
      </c>
      <c r="E142" s="214" t="s">
        <v>1</v>
      </c>
      <c r="F142" s="215" t="s">
        <v>146</v>
      </c>
      <c r="G142" s="216"/>
      <c r="H142" s="217">
        <v>-56.952</v>
      </c>
      <c r="I142" s="216"/>
      <c r="L142" s="212"/>
      <c r="M142" s="219"/>
      <c r="N142" s="220"/>
      <c r="O142" s="220"/>
      <c r="P142" s="220"/>
      <c r="Q142" s="220"/>
      <c r="R142" s="220"/>
      <c r="S142" s="220"/>
      <c r="T142" s="221"/>
      <c r="AT142" s="214" t="s">
        <v>121</v>
      </c>
      <c r="AU142" s="214" t="s">
        <v>76</v>
      </c>
      <c r="AV142" s="218" t="s">
        <v>147</v>
      </c>
      <c r="AW142" s="218" t="s">
        <v>32</v>
      </c>
      <c r="AX142" s="218" t="s">
        <v>68</v>
      </c>
      <c r="AY142" s="214" t="s">
        <v>114</v>
      </c>
    </row>
    <row r="143" spans="2:51" s="228" customFormat="1" ht="12">
      <c r="B143" s="222"/>
      <c r="C143" s="223"/>
      <c r="D143" s="193" t="s">
        <v>121</v>
      </c>
      <c r="E143" s="224" t="s">
        <v>1</v>
      </c>
      <c r="F143" s="225" t="s">
        <v>150</v>
      </c>
      <c r="G143" s="226"/>
      <c r="H143" s="227">
        <f>H139+H142</f>
        <v>361.04499999999996</v>
      </c>
      <c r="I143" s="226"/>
      <c r="L143" s="222"/>
      <c r="M143" s="229"/>
      <c r="N143" s="230"/>
      <c r="O143" s="230"/>
      <c r="P143" s="230"/>
      <c r="Q143" s="230"/>
      <c r="R143" s="230"/>
      <c r="S143" s="230"/>
      <c r="T143" s="231"/>
      <c r="AT143" s="224" t="s">
        <v>121</v>
      </c>
      <c r="AU143" s="224" t="s">
        <v>76</v>
      </c>
      <c r="AV143" s="228" t="s">
        <v>119</v>
      </c>
      <c r="AW143" s="228" t="s">
        <v>32</v>
      </c>
      <c r="AX143" s="228" t="s">
        <v>73</v>
      </c>
      <c r="AY143" s="224" t="s">
        <v>114</v>
      </c>
    </row>
    <row r="144" spans="2:65" s="92" customFormat="1" ht="16.5" customHeight="1">
      <c r="B144" s="90"/>
      <c r="C144" s="177" t="s">
        <v>76</v>
      </c>
      <c r="D144" s="178" t="s">
        <v>116</v>
      </c>
      <c r="E144" s="179" t="s">
        <v>151</v>
      </c>
      <c r="F144" s="232" t="s">
        <v>152</v>
      </c>
      <c r="G144" s="233" t="s">
        <v>153</v>
      </c>
      <c r="H144" s="234">
        <v>85.6</v>
      </c>
      <c r="I144" s="69"/>
      <c r="J144" s="184">
        <f>ROUND(I144*H144,2)</f>
        <v>0</v>
      </c>
      <c r="K144" s="180" t="s">
        <v>154</v>
      </c>
      <c r="L144" s="90"/>
      <c r="M144" s="185" t="s">
        <v>1</v>
      </c>
      <c r="N144" s="186" t="s">
        <v>41</v>
      </c>
      <c r="O144" s="187"/>
      <c r="P144" s="188">
        <f>O144*H144</f>
        <v>0</v>
      </c>
      <c r="Q144" s="188">
        <v>0</v>
      </c>
      <c r="R144" s="188">
        <f>Q144*H144</f>
        <v>0</v>
      </c>
      <c r="S144" s="188">
        <v>0.44</v>
      </c>
      <c r="T144" s="189">
        <f>S144*H144</f>
        <v>37.663999999999994</v>
      </c>
      <c r="AR144" s="81" t="s">
        <v>119</v>
      </c>
      <c r="AT144" s="81" t="s">
        <v>116</v>
      </c>
      <c r="AU144" s="81" t="s">
        <v>76</v>
      </c>
      <c r="AY144" s="81" t="s">
        <v>114</v>
      </c>
      <c r="BE144" s="190">
        <f>IF(N144="základní",J144,0)</f>
        <v>0</v>
      </c>
      <c r="BF144" s="190">
        <f>IF(N144="snížená",J144,0)</f>
        <v>0</v>
      </c>
      <c r="BG144" s="190">
        <f>IF(N144="zákl. přenesená",J144,0)</f>
        <v>0</v>
      </c>
      <c r="BH144" s="190">
        <f>IF(N144="sníž. přenesená",J144,0)</f>
        <v>0</v>
      </c>
      <c r="BI144" s="190">
        <f>IF(N144="nulová",J144,0)</f>
        <v>0</v>
      </c>
      <c r="BJ144" s="81" t="s">
        <v>73</v>
      </c>
      <c r="BK144" s="190">
        <f>ROUND(I144*H144,2)</f>
        <v>0</v>
      </c>
      <c r="BL144" s="81" t="s">
        <v>119</v>
      </c>
      <c r="BM144" s="81" t="s">
        <v>155</v>
      </c>
    </row>
    <row r="145" spans="2:51" s="208" customFormat="1" ht="12">
      <c r="B145" s="202"/>
      <c r="C145" s="203"/>
      <c r="D145" s="193" t="s">
        <v>121</v>
      </c>
      <c r="E145" s="204" t="s">
        <v>1</v>
      </c>
      <c r="F145" s="205" t="s">
        <v>156</v>
      </c>
      <c r="G145" s="206"/>
      <c r="H145" s="207">
        <v>85.6</v>
      </c>
      <c r="I145" s="70"/>
      <c r="L145" s="202"/>
      <c r="M145" s="209"/>
      <c r="N145" s="210"/>
      <c r="O145" s="210"/>
      <c r="P145" s="210"/>
      <c r="Q145" s="210"/>
      <c r="R145" s="210"/>
      <c r="S145" s="210"/>
      <c r="T145" s="211"/>
      <c r="AT145" s="204" t="s">
        <v>121</v>
      </c>
      <c r="AU145" s="204" t="s">
        <v>76</v>
      </c>
      <c r="AV145" s="208" t="s">
        <v>76</v>
      </c>
      <c r="AW145" s="208" t="s">
        <v>32</v>
      </c>
      <c r="AX145" s="208" t="s">
        <v>68</v>
      </c>
      <c r="AY145" s="204" t="s">
        <v>114</v>
      </c>
    </row>
    <row r="146" spans="2:51" s="228" customFormat="1" ht="12">
      <c r="B146" s="222"/>
      <c r="C146" s="223"/>
      <c r="D146" s="193" t="s">
        <v>121</v>
      </c>
      <c r="E146" s="224" t="s">
        <v>1</v>
      </c>
      <c r="F146" s="225" t="s">
        <v>150</v>
      </c>
      <c r="G146" s="226"/>
      <c r="H146" s="227">
        <v>85.6</v>
      </c>
      <c r="I146" s="72"/>
      <c r="L146" s="222"/>
      <c r="M146" s="229"/>
      <c r="N146" s="230"/>
      <c r="O146" s="230"/>
      <c r="P146" s="230"/>
      <c r="Q146" s="230"/>
      <c r="R146" s="230"/>
      <c r="S146" s="230"/>
      <c r="T146" s="231"/>
      <c r="AT146" s="224" t="s">
        <v>121</v>
      </c>
      <c r="AU146" s="224" t="s">
        <v>76</v>
      </c>
      <c r="AV146" s="228" t="s">
        <v>119</v>
      </c>
      <c r="AW146" s="228" t="s">
        <v>32</v>
      </c>
      <c r="AX146" s="228" t="s">
        <v>73</v>
      </c>
      <c r="AY146" s="224" t="s">
        <v>114</v>
      </c>
    </row>
    <row r="147" spans="2:65" s="92" customFormat="1" ht="16.5" customHeight="1">
      <c r="B147" s="90"/>
      <c r="C147" s="177" t="s">
        <v>1461</v>
      </c>
      <c r="D147" s="178" t="s">
        <v>116</v>
      </c>
      <c r="E147" s="179" t="s">
        <v>883</v>
      </c>
      <c r="F147" s="232" t="s">
        <v>884</v>
      </c>
      <c r="G147" s="233" t="s">
        <v>153</v>
      </c>
      <c r="H147" s="234">
        <v>37.2</v>
      </c>
      <c r="I147" s="69"/>
      <c r="J147" s="184">
        <f>ROUND(I147*H147,2)</f>
        <v>0</v>
      </c>
      <c r="K147" s="180" t="s">
        <v>154</v>
      </c>
      <c r="L147" s="90"/>
      <c r="M147" s="185" t="s">
        <v>1</v>
      </c>
      <c r="N147" s="186" t="s">
        <v>41</v>
      </c>
      <c r="O147" s="187"/>
      <c r="P147" s="188">
        <f>O147*H147</f>
        <v>0</v>
      </c>
      <c r="Q147" s="188">
        <v>0</v>
      </c>
      <c r="R147" s="188">
        <f>Q147*H147</f>
        <v>0</v>
      </c>
      <c r="S147" s="188">
        <v>0.58</v>
      </c>
      <c r="T147" s="189">
        <f>S147*H147</f>
        <v>21.576</v>
      </c>
      <c r="AR147" s="81" t="s">
        <v>119</v>
      </c>
      <c r="AT147" s="81" t="s">
        <v>116</v>
      </c>
      <c r="AU147" s="81" t="s">
        <v>76</v>
      </c>
      <c r="AY147" s="81" t="s">
        <v>114</v>
      </c>
      <c r="BE147" s="190">
        <f>IF(N147="základní",J147,0)</f>
        <v>0</v>
      </c>
      <c r="BF147" s="190">
        <f>IF(N147="snížená",J147,0)</f>
        <v>0</v>
      </c>
      <c r="BG147" s="190">
        <f>IF(N147="zákl. přenesená",J147,0)</f>
        <v>0</v>
      </c>
      <c r="BH147" s="190">
        <f>IF(N147="sníž. přenesená",J147,0)</f>
        <v>0</v>
      </c>
      <c r="BI147" s="190">
        <f>IF(N147="nulová",J147,0)</f>
        <v>0</v>
      </c>
      <c r="BJ147" s="81" t="s">
        <v>73</v>
      </c>
      <c r="BK147" s="190">
        <f>ROUND(I147*H147,2)</f>
        <v>0</v>
      </c>
      <c r="BL147" s="81" t="s">
        <v>119</v>
      </c>
      <c r="BM147" s="81" t="s">
        <v>885</v>
      </c>
    </row>
    <row r="148" spans="2:51" s="198" customFormat="1" ht="12">
      <c r="B148" s="191"/>
      <c r="C148" s="192"/>
      <c r="D148" s="193" t="s">
        <v>121</v>
      </c>
      <c r="E148" s="194" t="s">
        <v>1</v>
      </c>
      <c r="F148" s="195" t="s">
        <v>886</v>
      </c>
      <c r="G148" s="196"/>
      <c r="H148" s="197" t="s">
        <v>1</v>
      </c>
      <c r="I148" s="71"/>
      <c r="L148" s="191"/>
      <c r="M148" s="199"/>
      <c r="N148" s="200"/>
      <c r="O148" s="200"/>
      <c r="P148" s="200"/>
      <c r="Q148" s="200"/>
      <c r="R148" s="200"/>
      <c r="S148" s="200"/>
      <c r="T148" s="201"/>
      <c r="AT148" s="194" t="s">
        <v>121</v>
      </c>
      <c r="AU148" s="194" t="s">
        <v>76</v>
      </c>
      <c r="AV148" s="198" t="s">
        <v>73</v>
      </c>
      <c r="AW148" s="198" t="s">
        <v>32</v>
      </c>
      <c r="AX148" s="198" t="s">
        <v>68</v>
      </c>
      <c r="AY148" s="194" t="s">
        <v>114</v>
      </c>
    </row>
    <row r="149" spans="2:51" s="208" customFormat="1" ht="12">
      <c r="B149" s="202"/>
      <c r="C149" s="203"/>
      <c r="D149" s="193" t="s">
        <v>121</v>
      </c>
      <c r="E149" s="204" t="s">
        <v>1</v>
      </c>
      <c r="F149" s="205" t="s">
        <v>887</v>
      </c>
      <c r="G149" s="206"/>
      <c r="H149" s="207">
        <v>37.2</v>
      </c>
      <c r="I149" s="70"/>
      <c r="L149" s="202"/>
      <c r="M149" s="209"/>
      <c r="N149" s="210"/>
      <c r="O149" s="210"/>
      <c r="P149" s="210"/>
      <c r="Q149" s="210"/>
      <c r="R149" s="210"/>
      <c r="S149" s="210"/>
      <c r="T149" s="211"/>
      <c r="AT149" s="204" t="s">
        <v>121</v>
      </c>
      <c r="AU149" s="204" t="s">
        <v>76</v>
      </c>
      <c r="AV149" s="208" t="s">
        <v>76</v>
      </c>
      <c r="AW149" s="208" t="s">
        <v>32</v>
      </c>
      <c r="AX149" s="208" t="s">
        <v>68</v>
      </c>
      <c r="AY149" s="204" t="s">
        <v>114</v>
      </c>
    </row>
    <row r="150" spans="2:51" s="228" customFormat="1" ht="12">
      <c r="B150" s="222"/>
      <c r="C150" s="223"/>
      <c r="D150" s="193" t="s">
        <v>121</v>
      </c>
      <c r="E150" s="224" t="s">
        <v>1</v>
      </c>
      <c r="F150" s="225" t="s">
        <v>150</v>
      </c>
      <c r="G150" s="226"/>
      <c r="H150" s="227">
        <v>37.2</v>
      </c>
      <c r="I150" s="72"/>
      <c r="L150" s="222"/>
      <c r="M150" s="229"/>
      <c r="N150" s="230"/>
      <c r="O150" s="230"/>
      <c r="P150" s="230"/>
      <c r="Q150" s="230"/>
      <c r="R150" s="230"/>
      <c r="S150" s="230"/>
      <c r="T150" s="231"/>
      <c r="AT150" s="224" t="s">
        <v>121</v>
      </c>
      <c r="AU150" s="224" t="s">
        <v>76</v>
      </c>
      <c r="AV150" s="228" t="s">
        <v>119</v>
      </c>
      <c r="AW150" s="228" t="s">
        <v>32</v>
      </c>
      <c r="AX150" s="228" t="s">
        <v>73</v>
      </c>
      <c r="AY150" s="224" t="s">
        <v>114</v>
      </c>
    </row>
    <row r="151" spans="2:65" s="92" customFormat="1" ht="16.5" customHeight="1">
      <c r="B151" s="90"/>
      <c r="C151" s="177" t="s">
        <v>147</v>
      </c>
      <c r="D151" s="178" t="s">
        <v>116</v>
      </c>
      <c r="E151" s="179" t="s">
        <v>157</v>
      </c>
      <c r="F151" s="232" t="s">
        <v>158</v>
      </c>
      <c r="G151" s="233" t="s">
        <v>153</v>
      </c>
      <c r="H151" s="234">
        <f>H154</f>
        <v>190</v>
      </c>
      <c r="I151" s="69"/>
      <c r="J151" s="184">
        <f>ROUND(I151*H151,2)</f>
        <v>0</v>
      </c>
      <c r="K151" s="180" t="s">
        <v>154</v>
      </c>
      <c r="L151" s="90"/>
      <c r="M151" s="185" t="s">
        <v>1</v>
      </c>
      <c r="N151" s="186" t="s">
        <v>41</v>
      </c>
      <c r="O151" s="187"/>
      <c r="P151" s="188">
        <f>O151*H151</f>
        <v>0</v>
      </c>
      <c r="Q151" s="188">
        <v>4E-05</v>
      </c>
      <c r="R151" s="188">
        <f>Q151*H151</f>
        <v>0.007600000000000001</v>
      </c>
      <c r="S151" s="188">
        <v>0.128</v>
      </c>
      <c r="T151" s="189">
        <f>S151*H151</f>
        <v>24.32</v>
      </c>
      <c r="AR151" s="81" t="s">
        <v>119</v>
      </c>
      <c r="AT151" s="81" t="s">
        <v>116</v>
      </c>
      <c r="AU151" s="81" t="s">
        <v>76</v>
      </c>
      <c r="AY151" s="81" t="s">
        <v>114</v>
      </c>
      <c r="BE151" s="190">
        <f>IF(N151="základní",J151,0)</f>
        <v>0</v>
      </c>
      <c r="BF151" s="190">
        <f>IF(N151="snížená",J151,0)</f>
        <v>0</v>
      </c>
      <c r="BG151" s="190">
        <f>IF(N151="zákl. přenesená",J151,0)</f>
        <v>0</v>
      </c>
      <c r="BH151" s="190">
        <f>IF(N151="sníž. přenesená",J151,0)</f>
        <v>0</v>
      </c>
      <c r="BI151" s="190">
        <f>IF(N151="nulová",J151,0)</f>
        <v>0</v>
      </c>
      <c r="BJ151" s="81" t="s">
        <v>73</v>
      </c>
      <c r="BK151" s="190">
        <f>ROUND(I151*H151,2)</f>
        <v>0</v>
      </c>
      <c r="BL151" s="81" t="s">
        <v>119</v>
      </c>
      <c r="BM151" s="81" t="s">
        <v>159</v>
      </c>
    </row>
    <row r="152" spans="2:51" s="208" customFormat="1" ht="12">
      <c r="B152" s="202"/>
      <c r="C152" s="203"/>
      <c r="D152" s="193" t="s">
        <v>121</v>
      </c>
      <c r="E152" s="204" t="s">
        <v>1</v>
      </c>
      <c r="F152" s="205" t="s">
        <v>1518</v>
      </c>
      <c r="G152" s="206"/>
      <c r="H152" s="207">
        <f>(80-55)*1</f>
        <v>25</v>
      </c>
      <c r="I152" s="70"/>
      <c r="L152" s="202"/>
      <c r="M152" s="209"/>
      <c r="N152" s="210"/>
      <c r="O152" s="210"/>
      <c r="P152" s="210"/>
      <c r="Q152" s="210"/>
      <c r="R152" s="210"/>
      <c r="S152" s="210"/>
      <c r="T152" s="211"/>
      <c r="AT152" s="204" t="s">
        <v>121</v>
      </c>
      <c r="AU152" s="204" t="s">
        <v>76</v>
      </c>
      <c r="AV152" s="208" t="s">
        <v>76</v>
      </c>
      <c r="AW152" s="208" t="s">
        <v>32</v>
      </c>
      <c r="AX152" s="208" t="s">
        <v>68</v>
      </c>
      <c r="AY152" s="204" t="s">
        <v>114</v>
      </c>
    </row>
    <row r="153" spans="2:51" s="208" customFormat="1" ht="12">
      <c r="B153" s="202"/>
      <c r="C153" s="203"/>
      <c r="D153" s="193" t="s">
        <v>121</v>
      </c>
      <c r="E153" s="204" t="s">
        <v>1</v>
      </c>
      <c r="F153" s="205" t="s">
        <v>1517</v>
      </c>
      <c r="G153" s="206"/>
      <c r="H153" s="207">
        <f>55*3</f>
        <v>165</v>
      </c>
      <c r="I153" s="70"/>
      <c r="L153" s="202"/>
      <c r="M153" s="209"/>
      <c r="N153" s="210"/>
      <c r="O153" s="210"/>
      <c r="P153" s="210"/>
      <c r="Q153" s="210"/>
      <c r="R153" s="210"/>
      <c r="S153" s="210"/>
      <c r="T153" s="211"/>
      <c r="AT153" s="204" t="s">
        <v>121</v>
      </c>
      <c r="AU153" s="204" t="s">
        <v>76</v>
      </c>
      <c r="AV153" s="208" t="s">
        <v>76</v>
      </c>
      <c r="AW153" s="208" t="s">
        <v>32</v>
      </c>
      <c r="AX153" s="208" t="s">
        <v>68</v>
      </c>
      <c r="AY153" s="204" t="s">
        <v>114</v>
      </c>
    </row>
    <row r="154" spans="2:51" s="228" customFormat="1" ht="12">
      <c r="B154" s="222"/>
      <c r="C154" s="223"/>
      <c r="D154" s="193" t="s">
        <v>121</v>
      </c>
      <c r="E154" s="224" t="s">
        <v>1</v>
      </c>
      <c r="F154" s="225" t="s">
        <v>150</v>
      </c>
      <c r="G154" s="226"/>
      <c r="H154" s="227">
        <f>H152+H153</f>
        <v>190</v>
      </c>
      <c r="I154" s="72"/>
      <c r="L154" s="222"/>
      <c r="M154" s="229"/>
      <c r="N154" s="230"/>
      <c r="O154" s="230"/>
      <c r="P154" s="230"/>
      <c r="Q154" s="230"/>
      <c r="R154" s="230"/>
      <c r="S154" s="230"/>
      <c r="T154" s="231"/>
      <c r="AT154" s="224" t="s">
        <v>121</v>
      </c>
      <c r="AU154" s="224" t="s">
        <v>76</v>
      </c>
      <c r="AV154" s="228" t="s">
        <v>119</v>
      </c>
      <c r="AW154" s="228" t="s">
        <v>32</v>
      </c>
      <c r="AX154" s="228" t="s">
        <v>73</v>
      </c>
      <c r="AY154" s="224" t="s">
        <v>114</v>
      </c>
    </row>
    <row r="155" spans="2:51" s="242" customFormat="1" ht="12">
      <c r="B155" s="235"/>
      <c r="C155" s="236" t="s">
        <v>1520</v>
      </c>
      <c r="D155" s="237"/>
      <c r="E155" s="238">
        <v>113107042</v>
      </c>
      <c r="F155" s="239" t="s">
        <v>1521</v>
      </c>
      <c r="G155" s="240" t="s">
        <v>153</v>
      </c>
      <c r="H155" s="241">
        <v>80</v>
      </c>
      <c r="I155" s="69"/>
      <c r="J155" s="184">
        <f>ROUND(I155*H155,2)</f>
        <v>0</v>
      </c>
      <c r="K155" s="180" t="s">
        <v>154</v>
      </c>
      <c r="L155" s="90"/>
      <c r="M155" s="185" t="s">
        <v>1</v>
      </c>
      <c r="N155" s="186" t="s">
        <v>41</v>
      </c>
      <c r="O155" s="187"/>
      <c r="P155" s="188">
        <f>O155*H155</f>
        <v>0</v>
      </c>
      <c r="Q155" s="188">
        <v>4E-05</v>
      </c>
      <c r="R155" s="188">
        <f>Q155*H155</f>
        <v>0.0032</v>
      </c>
      <c r="S155" s="188">
        <v>0.128</v>
      </c>
      <c r="T155" s="189">
        <f>S155*H155</f>
        <v>10.24</v>
      </c>
      <c r="U155" s="92"/>
      <c r="V155" s="92"/>
      <c r="AT155" s="238"/>
      <c r="AU155" s="238"/>
      <c r="AY155" s="238"/>
    </row>
    <row r="156" spans="2:51" s="242" customFormat="1" ht="12">
      <c r="B156" s="235"/>
      <c r="C156" s="243"/>
      <c r="D156" s="237"/>
      <c r="E156" s="238"/>
      <c r="F156" s="239" t="s">
        <v>1522</v>
      </c>
      <c r="G156" s="240"/>
      <c r="H156" s="241"/>
      <c r="I156" s="75"/>
      <c r="L156" s="235"/>
      <c r="M156" s="244"/>
      <c r="N156" s="245"/>
      <c r="O156" s="245"/>
      <c r="P156" s="245"/>
      <c r="Q156" s="245"/>
      <c r="R156" s="245"/>
      <c r="S156" s="245"/>
      <c r="T156" s="246"/>
      <c r="AT156" s="238"/>
      <c r="AU156" s="238"/>
      <c r="AY156" s="238"/>
    </row>
    <row r="157" spans="2:65" s="92" customFormat="1" ht="16.5" customHeight="1">
      <c r="B157" s="90"/>
      <c r="C157" s="177" t="s">
        <v>119</v>
      </c>
      <c r="D157" s="178" t="s">
        <v>116</v>
      </c>
      <c r="E157" s="179" t="s">
        <v>160</v>
      </c>
      <c r="F157" s="232" t="s">
        <v>161</v>
      </c>
      <c r="G157" s="233" t="s">
        <v>162</v>
      </c>
      <c r="H157" s="234">
        <f>H163</f>
        <v>72</v>
      </c>
      <c r="I157" s="69"/>
      <c r="J157" s="184">
        <f>ROUND(I157*H157,2)</f>
        <v>0</v>
      </c>
      <c r="K157" s="180" t="s">
        <v>154</v>
      </c>
      <c r="L157" s="90"/>
      <c r="M157" s="185" t="s">
        <v>1</v>
      </c>
      <c r="N157" s="186" t="s">
        <v>41</v>
      </c>
      <c r="O157" s="187"/>
      <c r="P157" s="188">
        <f>O157*H157</f>
        <v>0</v>
      </c>
      <c r="Q157" s="188">
        <v>0</v>
      </c>
      <c r="R157" s="188">
        <f>Q157*H157</f>
        <v>0</v>
      </c>
      <c r="S157" s="188">
        <v>0</v>
      </c>
      <c r="T157" s="189">
        <f>S157*H157</f>
        <v>0</v>
      </c>
      <c r="AR157" s="81" t="s">
        <v>119</v>
      </c>
      <c r="AT157" s="81" t="s">
        <v>116</v>
      </c>
      <c r="AU157" s="81" t="s">
        <v>76</v>
      </c>
      <c r="AY157" s="81" t="s">
        <v>114</v>
      </c>
      <c r="BE157" s="190">
        <f>IF(N157="základní",J157,0)</f>
        <v>0</v>
      </c>
      <c r="BF157" s="190">
        <f>IF(N157="snížená",J157,0)</f>
        <v>0</v>
      </c>
      <c r="BG157" s="190">
        <f>IF(N157="zákl. přenesená",J157,0)</f>
        <v>0</v>
      </c>
      <c r="BH157" s="190">
        <f>IF(N157="sníž. přenesená",J157,0)</f>
        <v>0</v>
      </c>
      <c r="BI157" s="190">
        <f>IF(N157="nulová",J157,0)</f>
        <v>0</v>
      </c>
      <c r="BJ157" s="81" t="s">
        <v>73</v>
      </c>
      <c r="BK157" s="190">
        <f>ROUND(I157*H157,2)</f>
        <v>0</v>
      </c>
      <c r="BL157" s="81" t="s">
        <v>119</v>
      </c>
      <c r="BM157" s="81" t="s">
        <v>163</v>
      </c>
    </row>
    <row r="158" spans="2:51" s="198" customFormat="1" ht="12">
      <c r="B158" s="191"/>
      <c r="C158" s="192"/>
      <c r="D158" s="193" t="s">
        <v>121</v>
      </c>
      <c r="E158" s="194" t="s">
        <v>1</v>
      </c>
      <c r="F158" s="195" t="s">
        <v>164</v>
      </c>
      <c r="G158" s="196"/>
      <c r="H158" s="197" t="s">
        <v>1</v>
      </c>
      <c r="I158" s="71"/>
      <c r="L158" s="191"/>
      <c r="M158" s="199"/>
      <c r="N158" s="200"/>
      <c r="O158" s="200"/>
      <c r="P158" s="200"/>
      <c r="Q158" s="200"/>
      <c r="R158" s="200"/>
      <c r="S158" s="200"/>
      <c r="T158" s="201"/>
      <c r="AT158" s="194" t="s">
        <v>121</v>
      </c>
      <c r="AU158" s="194" t="s">
        <v>76</v>
      </c>
      <c r="AV158" s="198" t="s">
        <v>73</v>
      </c>
      <c r="AW158" s="198" t="s">
        <v>32</v>
      </c>
      <c r="AX158" s="198" t="s">
        <v>68</v>
      </c>
      <c r="AY158" s="194" t="s">
        <v>114</v>
      </c>
    </row>
    <row r="159" spans="2:51" s="198" customFormat="1" ht="12">
      <c r="B159" s="191"/>
      <c r="C159" s="192"/>
      <c r="D159" s="193" t="s">
        <v>121</v>
      </c>
      <c r="E159" s="194" t="s">
        <v>1</v>
      </c>
      <c r="F159" s="195" t="s">
        <v>165</v>
      </c>
      <c r="G159" s="196"/>
      <c r="H159" s="197" t="s">
        <v>1</v>
      </c>
      <c r="I159" s="71"/>
      <c r="L159" s="191"/>
      <c r="M159" s="199"/>
      <c r="N159" s="200"/>
      <c r="O159" s="200"/>
      <c r="P159" s="200"/>
      <c r="Q159" s="200"/>
      <c r="R159" s="200"/>
      <c r="S159" s="200"/>
      <c r="T159" s="201"/>
      <c r="AT159" s="194" t="s">
        <v>121</v>
      </c>
      <c r="AU159" s="194" t="s">
        <v>76</v>
      </c>
      <c r="AV159" s="198" t="s">
        <v>73</v>
      </c>
      <c r="AW159" s="198" t="s">
        <v>32</v>
      </c>
      <c r="AX159" s="198" t="s">
        <v>68</v>
      </c>
      <c r="AY159" s="194" t="s">
        <v>114</v>
      </c>
    </row>
    <row r="160" spans="2:51" s="198" customFormat="1" ht="12">
      <c r="B160" s="191"/>
      <c r="C160" s="192"/>
      <c r="D160" s="193" t="s">
        <v>121</v>
      </c>
      <c r="E160" s="194" t="s">
        <v>1</v>
      </c>
      <c r="F160" s="195" t="s">
        <v>166</v>
      </c>
      <c r="G160" s="196"/>
      <c r="H160" s="197" t="s">
        <v>1</v>
      </c>
      <c r="I160" s="71"/>
      <c r="L160" s="191"/>
      <c r="M160" s="199"/>
      <c r="N160" s="200"/>
      <c r="O160" s="200"/>
      <c r="P160" s="200"/>
      <c r="Q160" s="200"/>
      <c r="R160" s="200"/>
      <c r="S160" s="200"/>
      <c r="T160" s="201"/>
      <c r="AT160" s="194" t="s">
        <v>121</v>
      </c>
      <c r="AU160" s="194" t="s">
        <v>76</v>
      </c>
      <c r="AV160" s="198" t="s">
        <v>73</v>
      </c>
      <c r="AW160" s="198" t="s">
        <v>32</v>
      </c>
      <c r="AX160" s="198" t="s">
        <v>68</v>
      </c>
      <c r="AY160" s="194" t="s">
        <v>114</v>
      </c>
    </row>
    <row r="161" spans="2:51" s="198" customFormat="1" ht="12">
      <c r="B161" s="191"/>
      <c r="C161" s="192"/>
      <c r="D161" s="193" t="s">
        <v>121</v>
      </c>
      <c r="E161" s="194" t="s">
        <v>1</v>
      </c>
      <c r="F161" s="195" t="s">
        <v>1462</v>
      </c>
      <c r="G161" s="196"/>
      <c r="H161" s="197" t="s">
        <v>1</v>
      </c>
      <c r="I161" s="71"/>
      <c r="L161" s="191"/>
      <c r="M161" s="199"/>
      <c r="N161" s="200"/>
      <c r="O161" s="200"/>
      <c r="P161" s="200"/>
      <c r="Q161" s="200"/>
      <c r="R161" s="200"/>
      <c r="S161" s="200"/>
      <c r="T161" s="201"/>
      <c r="AT161" s="194" t="s">
        <v>121</v>
      </c>
      <c r="AU161" s="194" t="s">
        <v>76</v>
      </c>
      <c r="AV161" s="198" t="s">
        <v>73</v>
      </c>
      <c r="AW161" s="198" t="s">
        <v>32</v>
      </c>
      <c r="AX161" s="198" t="s">
        <v>68</v>
      </c>
      <c r="AY161" s="194" t="s">
        <v>114</v>
      </c>
    </row>
    <row r="162" spans="2:51" s="208" customFormat="1" ht="12">
      <c r="B162" s="202"/>
      <c r="C162" s="203"/>
      <c r="D162" s="193" t="s">
        <v>121</v>
      </c>
      <c r="E162" s="204" t="s">
        <v>1</v>
      </c>
      <c r="F162" s="205" t="s">
        <v>1463</v>
      </c>
      <c r="G162" s="206"/>
      <c r="H162" s="207">
        <f>18*4</f>
        <v>72</v>
      </c>
      <c r="I162" s="70"/>
      <c r="L162" s="202"/>
      <c r="M162" s="209"/>
      <c r="N162" s="210"/>
      <c r="O162" s="210"/>
      <c r="P162" s="210"/>
      <c r="Q162" s="210"/>
      <c r="R162" s="210"/>
      <c r="S162" s="210"/>
      <c r="T162" s="211"/>
      <c r="AT162" s="204" t="s">
        <v>121</v>
      </c>
      <c r="AU162" s="204" t="s">
        <v>76</v>
      </c>
      <c r="AV162" s="208" t="s">
        <v>76</v>
      </c>
      <c r="AW162" s="208" t="s">
        <v>32</v>
      </c>
      <c r="AX162" s="208" t="s">
        <v>68</v>
      </c>
      <c r="AY162" s="204" t="s">
        <v>114</v>
      </c>
    </row>
    <row r="163" spans="2:51" s="228" customFormat="1" ht="12">
      <c r="B163" s="222"/>
      <c r="C163" s="223"/>
      <c r="D163" s="193" t="s">
        <v>121</v>
      </c>
      <c r="E163" s="224" t="s">
        <v>1</v>
      </c>
      <c r="F163" s="225" t="s">
        <v>150</v>
      </c>
      <c r="G163" s="226"/>
      <c r="H163" s="227">
        <f>H162</f>
        <v>72</v>
      </c>
      <c r="I163" s="72"/>
      <c r="L163" s="222"/>
      <c r="M163" s="229"/>
      <c r="N163" s="230"/>
      <c r="O163" s="230"/>
      <c r="P163" s="230"/>
      <c r="Q163" s="230"/>
      <c r="R163" s="230"/>
      <c r="S163" s="230"/>
      <c r="T163" s="231"/>
      <c r="AT163" s="224" t="s">
        <v>121</v>
      </c>
      <c r="AU163" s="224" t="s">
        <v>76</v>
      </c>
      <c r="AV163" s="228" t="s">
        <v>119</v>
      </c>
      <c r="AW163" s="228" t="s">
        <v>32</v>
      </c>
      <c r="AX163" s="228" t="s">
        <v>73</v>
      </c>
      <c r="AY163" s="224" t="s">
        <v>114</v>
      </c>
    </row>
    <row r="164" spans="2:65" s="92" customFormat="1" ht="16.5" customHeight="1">
      <c r="B164" s="90"/>
      <c r="C164" s="177" t="s">
        <v>167</v>
      </c>
      <c r="D164" s="178" t="s">
        <v>116</v>
      </c>
      <c r="E164" s="179" t="s">
        <v>168</v>
      </c>
      <c r="F164" s="232" t="s">
        <v>169</v>
      </c>
      <c r="G164" s="233" t="s">
        <v>170</v>
      </c>
      <c r="H164" s="234">
        <f>H167</f>
        <v>36</v>
      </c>
      <c r="I164" s="69"/>
      <c r="J164" s="184">
        <f>ROUND(I164*H164,2)</f>
        <v>0</v>
      </c>
      <c r="K164" s="180" t="s">
        <v>154</v>
      </c>
      <c r="L164" s="90"/>
      <c r="M164" s="185" t="s">
        <v>1</v>
      </c>
      <c r="N164" s="186" t="s">
        <v>41</v>
      </c>
      <c r="O164" s="187"/>
      <c r="P164" s="188">
        <f>O164*H164</f>
        <v>0</v>
      </c>
      <c r="Q164" s="188">
        <v>0</v>
      </c>
      <c r="R164" s="188">
        <f>Q164*H164</f>
        <v>0</v>
      </c>
      <c r="S164" s="188">
        <v>0</v>
      </c>
      <c r="T164" s="189">
        <f>S164*H164</f>
        <v>0</v>
      </c>
      <c r="AR164" s="81" t="s">
        <v>119</v>
      </c>
      <c r="AT164" s="81" t="s">
        <v>116</v>
      </c>
      <c r="AU164" s="81" t="s">
        <v>76</v>
      </c>
      <c r="AY164" s="81" t="s">
        <v>114</v>
      </c>
      <c r="BE164" s="190">
        <f>IF(N164="základní",J164,0)</f>
        <v>0</v>
      </c>
      <c r="BF164" s="190">
        <f>IF(N164="snížená",J164,0)</f>
        <v>0</v>
      </c>
      <c r="BG164" s="190">
        <f>IF(N164="zákl. přenesená",J164,0)</f>
        <v>0</v>
      </c>
      <c r="BH164" s="190">
        <f>IF(N164="sníž. přenesená",J164,0)</f>
        <v>0</v>
      </c>
      <c r="BI164" s="190">
        <f>IF(N164="nulová",J164,0)</f>
        <v>0</v>
      </c>
      <c r="BJ164" s="81" t="s">
        <v>73</v>
      </c>
      <c r="BK164" s="190">
        <f>ROUND(I164*H164,2)</f>
        <v>0</v>
      </c>
      <c r="BL164" s="81" t="s">
        <v>119</v>
      </c>
      <c r="BM164" s="81" t="s">
        <v>171</v>
      </c>
    </row>
    <row r="165" spans="2:51" s="198" customFormat="1" ht="12">
      <c r="B165" s="191"/>
      <c r="C165" s="192"/>
      <c r="D165" s="193" t="s">
        <v>121</v>
      </c>
      <c r="E165" s="194" t="s">
        <v>1</v>
      </c>
      <c r="F165" s="195" t="s">
        <v>172</v>
      </c>
      <c r="G165" s="196"/>
      <c r="H165" s="197" t="s">
        <v>1</v>
      </c>
      <c r="I165" s="71"/>
      <c r="L165" s="191"/>
      <c r="M165" s="199"/>
      <c r="N165" s="200"/>
      <c r="O165" s="200"/>
      <c r="P165" s="200"/>
      <c r="Q165" s="200"/>
      <c r="R165" s="200"/>
      <c r="S165" s="200"/>
      <c r="T165" s="201"/>
      <c r="AT165" s="194" t="s">
        <v>121</v>
      </c>
      <c r="AU165" s="194" t="s">
        <v>76</v>
      </c>
      <c r="AV165" s="198" t="s">
        <v>73</v>
      </c>
      <c r="AW165" s="198" t="s">
        <v>32</v>
      </c>
      <c r="AX165" s="198" t="s">
        <v>68</v>
      </c>
      <c r="AY165" s="194" t="s">
        <v>114</v>
      </c>
    </row>
    <row r="166" spans="2:51" s="208" customFormat="1" ht="12">
      <c r="B166" s="202"/>
      <c r="C166" s="203"/>
      <c r="D166" s="193" t="s">
        <v>121</v>
      </c>
      <c r="E166" s="204" t="s">
        <v>1</v>
      </c>
      <c r="F166" s="205" t="s">
        <v>1464</v>
      </c>
      <c r="G166" s="206"/>
      <c r="H166" s="207">
        <f>18*2</f>
        <v>36</v>
      </c>
      <c r="I166" s="70"/>
      <c r="L166" s="202"/>
      <c r="M166" s="209"/>
      <c r="N166" s="210"/>
      <c r="O166" s="210"/>
      <c r="P166" s="210"/>
      <c r="Q166" s="210"/>
      <c r="R166" s="210"/>
      <c r="S166" s="210"/>
      <c r="T166" s="211"/>
      <c r="AT166" s="204" t="s">
        <v>121</v>
      </c>
      <c r="AU166" s="204" t="s">
        <v>76</v>
      </c>
      <c r="AV166" s="208" t="s">
        <v>76</v>
      </c>
      <c r="AW166" s="208" t="s">
        <v>32</v>
      </c>
      <c r="AX166" s="208" t="s">
        <v>68</v>
      </c>
      <c r="AY166" s="204" t="s">
        <v>114</v>
      </c>
    </row>
    <row r="167" spans="2:51" s="228" customFormat="1" ht="12">
      <c r="B167" s="222"/>
      <c r="C167" s="223"/>
      <c r="D167" s="193" t="s">
        <v>121</v>
      </c>
      <c r="E167" s="224" t="s">
        <v>1</v>
      </c>
      <c r="F167" s="225" t="s">
        <v>150</v>
      </c>
      <c r="G167" s="226"/>
      <c r="H167" s="227">
        <f>H166</f>
        <v>36</v>
      </c>
      <c r="I167" s="72"/>
      <c r="L167" s="222"/>
      <c r="M167" s="229"/>
      <c r="N167" s="230"/>
      <c r="O167" s="230"/>
      <c r="P167" s="230"/>
      <c r="Q167" s="230"/>
      <c r="R167" s="230"/>
      <c r="S167" s="230"/>
      <c r="T167" s="231"/>
      <c r="AT167" s="224" t="s">
        <v>121</v>
      </c>
      <c r="AU167" s="224" t="s">
        <v>76</v>
      </c>
      <c r="AV167" s="228" t="s">
        <v>119</v>
      </c>
      <c r="AW167" s="228" t="s">
        <v>32</v>
      </c>
      <c r="AX167" s="228" t="s">
        <v>73</v>
      </c>
      <c r="AY167" s="224" t="s">
        <v>114</v>
      </c>
    </row>
    <row r="168" spans="2:65" s="92" customFormat="1" ht="16.5" customHeight="1">
      <c r="B168" s="90"/>
      <c r="C168" s="177" t="s">
        <v>173</v>
      </c>
      <c r="D168" s="178" t="s">
        <v>116</v>
      </c>
      <c r="E168" s="179" t="s">
        <v>174</v>
      </c>
      <c r="F168" s="232" t="s">
        <v>175</v>
      </c>
      <c r="G168" s="233" t="s">
        <v>176</v>
      </c>
      <c r="H168" s="234">
        <v>0.8</v>
      </c>
      <c r="I168" s="69"/>
      <c r="J168" s="184">
        <f>ROUND(I168*H168,2)</f>
        <v>0</v>
      </c>
      <c r="K168" s="180" t="s">
        <v>154</v>
      </c>
      <c r="L168" s="90"/>
      <c r="M168" s="185" t="s">
        <v>1</v>
      </c>
      <c r="N168" s="186" t="s">
        <v>41</v>
      </c>
      <c r="O168" s="187"/>
      <c r="P168" s="188">
        <f>O168*H168</f>
        <v>0</v>
      </c>
      <c r="Q168" s="188">
        <v>0.00868</v>
      </c>
      <c r="R168" s="188">
        <f>Q168*H168</f>
        <v>0.0069440000000000005</v>
      </c>
      <c r="S168" s="188">
        <v>0</v>
      </c>
      <c r="T168" s="189">
        <f>S168*H168</f>
        <v>0</v>
      </c>
      <c r="AR168" s="81" t="s">
        <v>119</v>
      </c>
      <c r="AT168" s="81" t="s">
        <v>116</v>
      </c>
      <c r="AU168" s="81" t="s">
        <v>76</v>
      </c>
      <c r="AY168" s="81" t="s">
        <v>114</v>
      </c>
      <c r="BE168" s="190">
        <f>IF(N168="základní",J168,0)</f>
        <v>0</v>
      </c>
      <c r="BF168" s="190">
        <f>IF(N168="snížená",J168,0)</f>
        <v>0</v>
      </c>
      <c r="BG168" s="190">
        <f>IF(N168="zákl. přenesená",J168,0)</f>
        <v>0</v>
      </c>
      <c r="BH168" s="190">
        <f>IF(N168="sníž. přenesená",J168,0)</f>
        <v>0</v>
      </c>
      <c r="BI168" s="190">
        <f>IF(N168="nulová",J168,0)</f>
        <v>0</v>
      </c>
      <c r="BJ168" s="81" t="s">
        <v>73</v>
      </c>
      <c r="BK168" s="190">
        <f>ROUND(I168*H168,2)</f>
        <v>0</v>
      </c>
      <c r="BL168" s="81" t="s">
        <v>119</v>
      </c>
      <c r="BM168" s="81" t="s">
        <v>177</v>
      </c>
    </row>
    <row r="169" spans="2:51" s="208" customFormat="1" ht="12">
      <c r="B169" s="202"/>
      <c r="C169" s="203"/>
      <c r="D169" s="193" t="s">
        <v>121</v>
      </c>
      <c r="E169" s="204" t="s">
        <v>1</v>
      </c>
      <c r="F169" s="205" t="s">
        <v>178</v>
      </c>
      <c r="G169" s="206"/>
      <c r="H169" s="207">
        <v>0.8</v>
      </c>
      <c r="I169" s="70"/>
      <c r="L169" s="202"/>
      <c r="M169" s="209"/>
      <c r="N169" s="210"/>
      <c r="O169" s="210"/>
      <c r="P169" s="210"/>
      <c r="Q169" s="210"/>
      <c r="R169" s="210"/>
      <c r="S169" s="210"/>
      <c r="T169" s="211"/>
      <c r="AT169" s="204" t="s">
        <v>121</v>
      </c>
      <c r="AU169" s="204" t="s">
        <v>76</v>
      </c>
      <c r="AV169" s="208" t="s">
        <v>76</v>
      </c>
      <c r="AW169" s="208" t="s">
        <v>32</v>
      </c>
      <c r="AX169" s="208" t="s">
        <v>68</v>
      </c>
      <c r="AY169" s="204" t="s">
        <v>114</v>
      </c>
    </row>
    <row r="170" spans="2:51" s="228" customFormat="1" ht="12">
      <c r="B170" s="222"/>
      <c r="C170" s="223"/>
      <c r="D170" s="193" t="s">
        <v>121</v>
      </c>
      <c r="E170" s="224" t="s">
        <v>1</v>
      </c>
      <c r="F170" s="225" t="s">
        <v>150</v>
      </c>
      <c r="G170" s="226"/>
      <c r="H170" s="227">
        <v>0.8</v>
      </c>
      <c r="I170" s="72"/>
      <c r="L170" s="222"/>
      <c r="M170" s="229"/>
      <c r="N170" s="230"/>
      <c r="O170" s="230"/>
      <c r="P170" s="230"/>
      <c r="Q170" s="230"/>
      <c r="R170" s="230"/>
      <c r="S170" s="230"/>
      <c r="T170" s="231"/>
      <c r="AT170" s="224" t="s">
        <v>121</v>
      </c>
      <c r="AU170" s="224" t="s">
        <v>76</v>
      </c>
      <c r="AV170" s="228" t="s">
        <v>119</v>
      </c>
      <c r="AW170" s="228" t="s">
        <v>32</v>
      </c>
      <c r="AX170" s="228" t="s">
        <v>73</v>
      </c>
      <c r="AY170" s="224" t="s">
        <v>114</v>
      </c>
    </row>
    <row r="171" spans="2:65" s="92" customFormat="1" ht="16.5" customHeight="1">
      <c r="B171" s="90"/>
      <c r="C171" s="177" t="s">
        <v>179</v>
      </c>
      <c r="D171" s="178" t="s">
        <v>116</v>
      </c>
      <c r="E171" s="179" t="s">
        <v>180</v>
      </c>
      <c r="F171" s="232" t="s">
        <v>181</v>
      </c>
      <c r="G171" s="233" t="s">
        <v>176</v>
      </c>
      <c r="H171" s="234">
        <v>0.8</v>
      </c>
      <c r="I171" s="69"/>
      <c r="J171" s="184">
        <f>ROUND(I171*H171,2)</f>
        <v>0</v>
      </c>
      <c r="K171" s="180" t="s">
        <v>154</v>
      </c>
      <c r="L171" s="90"/>
      <c r="M171" s="185" t="s">
        <v>1</v>
      </c>
      <c r="N171" s="186" t="s">
        <v>41</v>
      </c>
      <c r="O171" s="187"/>
      <c r="P171" s="188">
        <f>O171*H171</f>
        <v>0</v>
      </c>
      <c r="Q171" s="188">
        <v>0.01269</v>
      </c>
      <c r="R171" s="188">
        <f>Q171*H171</f>
        <v>0.010152000000000001</v>
      </c>
      <c r="S171" s="188">
        <v>0</v>
      </c>
      <c r="T171" s="189">
        <f>S171*H171</f>
        <v>0</v>
      </c>
      <c r="AR171" s="81" t="s">
        <v>119</v>
      </c>
      <c r="AT171" s="81" t="s">
        <v>116</v>
      </c>
      <c r="AU171" s="81" t="s">
        <v>76</v>
      </c>
      <c r="AY171" s="81" t="s">
        <v>114</v>
      </c>
      <c r="BE171" s="190">
        <f>IF(N171="základní",J171,0)</f>
        <v>0</v>
      </c>
      <c r="BF171" s="190">
        <f>IF(N171="snížená",J171,0)</f>
        <v>0</v>
      </c>
      <c r="BG171" s="190">
        <f>IF(N171="zákl. přenesená",J171,0)</f>
        <v>0</v>
      </c>
      <c r="BH171" s="190">
        <f>IF(N171="sníž. přenesená",J171,0)</f>
        <v>0</v>
      </c>
      <c r="BI171" s="190">
        <f>IF(N171="nulová",J171,0)</f>
        <v>0</v>
      </c>
      <c r="BJ171" s="81" t="s">
        <v>73</v>
      </c>
      <c r="BK171" s="190">
        <f>ROUND(I171*H171,2)</f>
        <v>0</v>
      </c>
      <c r="BL171" s="81" t="s">
        <v>119</v>
      </c>
      <c r="BM171" s="81" t="s">
        <v>182</v>
      </c>
    </row>
    <row r="172" spans="2:65" s="92" customFormat="1" ht="16.5" customHeight="1">
      <c r="B172" s="90"/>
      <c r="C172" s="177" t="s">
        <v>183</v>
      </c>
      <c r="D172" s="178" t="s">
        <v>116</v>
      </c>
      <c r="E172" s="179" t="s">
        <v>184</v>
      </c>
      <c r="F172" s="232" t="s">
        <v>185</v>
      </c>
      <c r="G172" s="233" t="s">
        <v>176</v>
      </c>
      <c r="H172" s="234">
        <v>1.6</v>
      </c>
      <c r="I172" s="69"/>
      <c r="J172" s="184">
        <f>ROUND(I172*H172,2)</f>
        <v>0</v>
      </c>
      <c r="K172" s="180" t="s">
        <v>154</v>
      </c>
      <c r="L172" s="90"/>
      <c r="M172" s="185" t="s">
        <v>1</v>
      </c>
      <c r="N172" s="186" t="s">
        <v>41</v>
      </c>
      <c r="O172" s="187"/>
      <c r="P172" s="188">
        <f>O172*H172</f>
        <v>0</v>
      </c>
      <c r="Q172" s="188">
        <v>0.10775</v>
      </c>
      <c r="R172" s="188">
        <f>Q172*H172</f>
        <v>0.1724</v>
      </c>
      <c r="S172" s="188">
        <v>0</v>
      </c>
      <c r="T172" s="189">
        <f>S172*H172</f>
        <v>0</v>
      </c>
      <c r="AR172" s="81" t="s">
        <v>119</v>
      </c>
      <c r="AT172" s="81" t="s">
        <v>116</v>
      </c>
      <c r="AU172" s="81" t="s">
        <v>76</v>
      </c>
      <c r="AY172" s="81" t="s">
        <v>114</v>
      </c>
      <c r="BE172" s="190">
        <f>IF(N172="základní",J172,0)</f>
        <v>0</v>
      </c>
      <c r="BF172" s="190">
        <f>IF(N172="snížená",J172,0)</f>
        <v>0</v>
      </c>
      <c r="BG172" s="190">
        <f>IF(N172="zákl. přenesená",J172,0)</f>
        <v>0</v>
      </c>
      <c r="BH172" s="190">
        <f>IF(N172="sníž. přenesená",J172,0)</f>
        <v>0</v>
      </c>
      <c r="BI172" s="190">
        <f>IF(N172="nulová",J172,0)</f>
        <v>0</v>
      </c>
      <c r="BJ172" s="81" t="s">
        <v>73</v>
      </c>
      <c r="BK172" s="190">
        <f>ROUND(I172*H172,2)</f>
        <v>0</v>
      </c>
      <c r="BL172" s="81" t="s">
        <v>119</v>
      </c>
      <c r="BM172" s="81" t="s">
        <v>186</v>
      </c>
    </row>
    <row r="173" spans="2:51" s="208" customFormat="1" ht="12">
      <c r="B173" s="202"/>
      <c r="C173" s="203"/>
      <c r="D173" s="193" t="s">
        <v>121</v>
      </c>
      <c r="E173" s="204" t="s">
        <v>1</v>
      </c>
      <c r="F173" s="205" t="s">
        <v>187</v>
      </c>
      <c r="G173" s="206"/>
      <c r="H173" s="207">
        <v>1.6</v>
      </c>
      <c r="I173" s="70"/>
      <c r="L173" s="202"/>
      <c r="M173" s="209"/>
      <c r="N173" s="210"/>
      <c r="O173" s="210"/>
      <c r="P173" s="210"/>
      <c r="Q173" s="210"/>
      <c r="R173" s="210"/>
      <c r="S173" s="210"/>
      <c r="T173" s="211"/>
      <c r="AT173" s="204" t="s">
        <v>121</v>
      </c>
      <c r="AU173" s="204" t="s">
        <v>76</v>
      </c>
      <c r="AV173" s="208" t="s">
        <v>76</v>
      </c>
      <c r="AW173" s="208" t="s">
        <v>32</v>
      </c>
      <c r="AX173" s="208" t="s">
        <v>68</v>
      </c>
      <c r="AY173" s="204" t="s">
        <v>114</v>
      </c>
    </row>
    <row r="174" spans="2:51" s="228" customFormat="1" ht="12">
      <c r="B174" s="222"/>
      <c r="C174" s="223"/>
      <c r="D174" s="193" t="s">
        <v>121</v>
      </c>
      <c r="E174" s="224" t="s">
        <v>1</v>
      </c>
      <c r="F174" s="225" t="s">
        <v>150</v>
      </c>
      <c r="G174" s="226"/>
      <c r="H174" s="227">
        <v>1.6</v>
      </c>
      <c r="I174" s="72"/>
      <c r="L174" s="222"/>
      <c r="M174" s="229"/>
      <c r="N174" s="230"/>
      <c r="O174" s="230"/>
      <c r="P174" s="230"/>
      <c r="Q174" s="230"/>
      <c r="R174" s="230"/>
      <c r="S174" s="230"/>
      <c r="T174" s="231"/>
      <c r="AT174" s="224" t="s">
        <v>121</v>
      </c>
      <c r="AU174" s="224" t="s">
        <v>76</v>
      </c>
      <c r="AV174" s="228" t="s">
        <v>119</v>
      </c>
      <c r="AW174" s="228" t="s">
        <v>32</v>
      </c>
      <c r="AX174" s="228" t="s">
        <v>73</v>
      </c>
      <c r="AY174" s="224" t="s">
        <v>114</v>
      </c>
    </row>
    <row r="175" spans="2:65" s="92" customFormat="1" ht="16.5" customHeight="1">
      <c r="B175" s="90"/>
      <c r="C175" s="177" t="s">
        <v>188</v>
      </c>
      <c r="D175" s="178" t="s">
        <v>116</v>
      </c>
      <c r="E175" s="179" t="s">
        <v>189</v>
      </c>
      <c r="F175" s="232" t="s">
        <v>190</v>
      </c>
      <c r="G175" s="233" t="s">
        <v>191</v>
      </c>
      <c r="H175" s="234">
        <f>H186</f>
        <v>135.89999999999998</v>
      </c>
      <c r="I175" s="69"/>
      <c r="J175" s="184">
        <f>ROUND(I175*H175,2)</f>
        <v>0</v>
      </c>
      <c r="K175" s="180" t="s">
        <v>1</v>
      </c>
      <c r="L175" s="90"/>
      <c r="M175" s="185" t="s">
        <v>1</v>
      </c>
      <c r="N175" s="186" t="s">
        <v>41</v>
      </c>
      <c r="O175" s="187"/>
      <c r="P175" s="188">
        <f>O175*H175</f>
        <v>0</v>
      </c>
      <c r="Q175" s="188">
        <v>0</v>
      </c>
      <c r="R175" s="188">
        <f>Q175*H175</f>
        <v>0</v>
      </c>
      <c r="S175" s="188">
        <v>0</v>
      </c>
      <c r="T175" s="189">
        <f>S175*H175</f>
        <v>0</v>
      </c>
      <c r="AR175" s="81" t="s">
        <v>119</v>
      </c>
      <c r="AT175" s="81" t="s">
        <v>116</v>
      </c>
      <c r="AU175" s="81" t="s">
        <v>76</v>
      </c>
      <c r="AY175" s="81" t="s">
        <v>114</v>
      </c>
      <c r="BE175" s="190">
        <f>IF(N175="základní",J175,0)</f>
        <v>0</v>
      </c>
      <c r="BF175" s="190">
        <f>IF(N175="snížená",J175,0)</f>
        <v>0</v>
      </c>
      <c r="BG175" s="190">
        <f>IF(N175="zákl. přenesená",J175,0)</f>
        <v>0</v>
      </c>
      <c r="BH175" s="190">
        <f>IF(N175="sníž. přenesená",J175,0)</f>
        <v>0</v>
      </c>
      <c r="BI175" s="190">
        <f>IF(N175="nulová",J175,0)</f>
        <v>0</v>
      </c>
      <c r="BJ175" s="81" t="s">
        <v>73</v>
      </c>
      <c r="BK175" s="190">
        <f>ROUND(I175*H175,2)</f>
        <v>0</v>
      </c>
      <c r="BL175" s="81" t="s">
        <v>119</v>
      </c>
      <c r="BM175" s="81" t="s">
        <v>192</v>
      </c>
    </row>
    <row r="176" spans="2:51" s="198" customFormat="1" ht="12">
      <c r="B176" s="191"/>
      <c r="C176" s="192"/>
      <c r="D176" s="193" t="s">
        <v>121</v>
      </c>
      <c r="E176" s="194" t="s">
        <v>1</v>
      </c>
      <c r="F176" s="195" t="s">
        <v>193</v>
      </c>
      <c r="G176" s="196"/>
      <c r="H176" s="197" t="s">
        <v>1</v>
      </c>
      <c r="I176" s="71"/>
      <c r="L176" s="191"/>
      <c r="M176" s="199"/>
      <c r="N176" s="200"/>
      <c r="O176" s="200"/>
      <c r="P176" s="200"/>
      <c r="Q176" s="200"/>
      <c r="R176" s="200"/>
      <c r="S176" s="200"/>
      <c r="T176" s="201"/>
      <c r="AT176" s="194" t="s">
        <v>121</v>
      </c>
      <c r="AU176" s="194" t="s">
        <v>76</v>
      </c>
      <c r="AV176" s="198" t="s">
        <v>73</v>
      </c>
      <c r="AW176" s="198" t="s">
        <v>32</v>
      </c>
      <c r="AX176" s="198" t="s">
        <v>68</v>
      </c>
      <c r="AY176" s="194" t="s">
        <v>114</v>
      </c>
    </row>
    <row r="177" spans="2:51" s="198" customFormat="1" ht="12">
      <c r="B177" s="191"/>
      <c r="C177" s="192"/>
      <c r="D177" s="193" t="s">
        <v>121</v>
      </c>
      <c r="E177" s="194" t="s">
        <v>1</v>
      </c>
      <c r="F177" s="195" t="s">
        <v>194</v>
      </c>
      <c r="G177" s="196"/>
      <c r="H177" s="197" t="s">
        <v>1</v>
      </c>
      <c r="I177" s="71"/>
      <c r="L177" s="191"/>
      <c r="M177" s="199"/>
      <c r="N177" s="200"/>
      <c r="O177" s="200"/>
      <c r="P177" s="200"/>
      <c r="Q177" s="200"/>
      <c r="R177" s="200"/>
      <c r="S177" s="200"/>
      <c r="T177" s="201"/>
      <c r="AT177" s="194" t="s">
        <v>121</v>
      </c>
      <c r="AU177" s="194" t="s">
        <v>76</v>
      </c>
      <c r="AV177" s="198" t="s">
        <v>73</v>
      </c>
      <c r="AW177" s="198" t="s">
        <v>32</v>
      </c>
      <c r="AX177" s="198" t="s">
        <v>68</v>
      </c>
      <c r="AY177" s="194" t="s">
        <v>114</v>
      </c>
    </row>
    <row r="178" spans="2:51" s="198" customFormat="1" ht="12">
      <c r="B178" s="191"/>
      <c r="C178" s="192"/>
      <c r="D178" s="193" t="s">
        <v>121</v>
      </c>
      <c r="E178" s="194" t="s">
        <v>1</v>
      </c>
      <c r="F178" s="195" t="s">
        <v>195</v>
      </c>
      <c r="G178" s="196"/>
      <c r="H178" s="197" t="s">
        <v>1</v>
      </c>
      <c r="I178" s="71"/>
      <c r="L178" s="191"/>
      <c r="M178" s="199"/>
      <c r="N178" s="200"/>
      <c r="O178" s="200"/>
      <c r="P178" s="200"/>
      <c r="Q178" s="200"/>
      <c r="R178" s="200"/>
      <c r="S178" s="200"/>
      <c r="T178" s="201"/>
      <c r="AT178" s="194" t="s">
        <v>121</v>
      </c>
      <c r="AU178" s="194" t="s">
        <v>76</v>
      </c>
      <c r="AV178" s="198" t="s">
        <v>73</v>
      </c>
      <c r="AW178" s="198" t="s">
        <v>32</v>
      </c>
      <c r="AX178" s="198" t="s">
        <v>68</v>
      </c>
      <c r="AY178" s="194" t="s">
        <v>114</v>
      </c>
    </row>
    <row r="179" spans="2:51" s="198" customFormat="1" ht="12">
      <c r="B179" s="191"/>
      <c r="C179" s="192"/>
      <c r="D179" s="193" t="s">
        <v>121</v>
      </c>
      <c r="E179" s="194" t="s">
        <v>1</v>
      </c>
      <c r="F179" s="195" t="s">
        <v>196</v>
      </c>
      <c r="G179" s="196"/>
      <c r="H179" s="197" t="s">
        <v>1</v>
      </c>
      <c r="I179" s="71"/>
      <c r="L179" s="191"/>
      <c r="M179" s="199"/>
      <c r="N179" s="200"/>
      <c r="O179" s="200"/>
      <c r="P179" s="200"/>
      <c r="Q179" s="200"/>
      <c r="R179" s="200"/>
      <c r="S179" s="200"/>
      <c r="T179" s="201"/>
      <c r="AT179" s="194" t="s">
        <v>121</v>
      </c>
      <c r="AU179" s="194" t="s">
        <v>76</v>
      </c>
      <c r="AV179" s="198" t="s">
        <v>73</v>
      </c>
      <c r="AW179" s="198" t="s">
        <v>32</v>
      </c>
      <c r="AX179" s="198" t="s">
        <v>68</v>
      </c>
      <c r="AY179" s="194" t="s">
        <v>114</v>
      </c>
    </row>
    <row r="180" spans="2:51" s="208" customFormat="1" ht="12">
      <c r="B180" s="202"/>
      <c r="C180" s="203"/>
      <c r="D180" s="193" t="s">
        <v>121</v>
      </c>
      <c r="E180" s="204" t="s">
        <v>1</v>
      </c>
      <c r="F180" s="205" t="s">
        <v>1481</v>
      </c>
      <c r="G180" s="206"/>
      <c r="H180" s="207">
        <f>72*3*0.3+(52-20+14)*3*0.3</f>
        <v>106.19999999999999</v>
      </c>
      <c r="I180" s="70"/>
      <c r="L180" s="202"/>
      <c r="M180" s="209"/>
      <c r="N180" s="210"/>
      <c r="O180" s="210"/>
      <c r="P180" s="210"/>
      <c r="Q180" s="210"/>
      <c r="R180" s="210"/>
      <c r="S180" s="210"/>
      <c r="T180" s="211"/>
      <c r="AT180" s="204" t="s">
        <v>121</v>
      </c>
      <c r="AU180" s="204" t="s">
        <v>76</v>
      </c>
      <c r="AV180" s="208" t="s">
        <v>76</v>
      </c>
      <c r="AW180" s="208" t="s">
        <v>32</v>
      </c>
      <c r="AX180" s="208" t="s">
        <v>68</v>
      </c>
      <c r="AY180" s="204" t="s">
        <v>114</v>
      </c>
    </row>
    <row r="181" spans="2:51" s="198" customFormat="1" ht="12">
      <c r="B181" s="191"/>
      <c r="C181" s="192"/>
      <c r="D181" s="193" t="s">
        <v>121</v>
      </c>
      <c r="E181" s="194" t="s">
        <v>1</v>
      </c>
      <c r="F181" s="195" t="s">
        <v>197</v>
      </c>
      <c r="G181" s="196"/>
      <c r="H181" s="197" t="s">
        <v>1</v>
      </c>
      <c r="I181" s="71"/>
      <c r="L181" s="191"/>
      <c r="M181" s="199"/>
      <c r="N181" s="200"/>
      <c r="O181" s="200"/>
      <c r="P181" s="200"/>
      <c r="Q181" s="200"/>
      <c r="R181" s="200"/>
      <c r="S181" s="200"/>
      <c r="T181" s="201"/>
      <c r="AT181" s="194" t="s">
        <v>121</v>
      </c>
      <c r="AU181" s="194" t="s">
        <v>76</v>
      </c>
      <c r="AV181" s="198" t="s">
        <v>73</v>
      </c>
      <c r="AW181" s="198" t="s">
        <v>32</v>
      </c>
      <c r="AX181" s="198" t="s">
        <v>68</v>
      </c>
      <c r="AY181" s="194" t="s">
        <v>114</v>
      </c>
    </row>
    <row r="182" spans="2:51" s="208" customFormat="1" ht="12">
      <c r="B182" s="202"/>
      <c r="C182" s="203"/>
      <c r="D182" s="193" t="s">
        <v>121</v>
      </c>
      <c r="E182" s="204" t="s">
        <v>1</v>
      </c>
      <c r="F182" s="205" t="s">
        <v>198</v>
      </c>
      <c r="G182" s="206"/>
      <c r="H182" s="207">
        <v>21</v>
      </c>
      <c r="I182" s="70"/>
      <c r="L182" s="202"/>
      <c r="M182" s="209"/>
      <c r="N182" s="210"/>
      <c r="O182" s="210"/>
      <c r="P182" s="210"/>
      <c r="Q182" s="210"/>
      <c r="R182" s="210"/>
      <c r="S182" s="210"/>
      <c r="T182" s="211"/>
      <c r="AT182" s="204" t="s">
        <v>121</v>
      </c>
      <c r="AU182" s="204" t="s">
        <v>76</v>
      </c>
      <c r="AV182" s="208" t="s">
        <v>76</v>
      </c>
      <c r="AW182" s="208" t="s">
        <v>32</v>
      </c>
      <c r="AX182" s="208" t="s">
        <v>68</v>
      </c>
      <c r="AY182" s="204" t="s">
        <v>114</v>
      </c>
    </row>
    <row r="183" spans="2:51" s="198" customFormat="1" ht="12">
      <c r="B183" s="191"/>
      <c r="D183" s="193" t="s">
        <v>121</v>
      </c>
      <c r="E183" s="194" t="s">
        <v>1</v>
      </c>
      <c r="F183" s="195" t="s">
        <v>1467</v>
      </c>
      <c r="G183" s="196"/>
      <c r="H183" s="197" t="s">
        <v>1</v>
      </c>
      <c r="I183" s="71"/>
      <c r="L183" s="191"/>
      <c r="M183" s="199"/>
      <c r="N183" s="200"/>
      <c r="O183" s="200"/>
      <c r="P183" s="200"/>
      <c r="Q183" s="200"/>
      <c r="R183" s="200"/>
      <c r="S183" s="200"/>
      <c r="T183" s="201"/>
      <c r="AT183" s="194" t="s">
        <v>121</v>
      </c>
      <c r="AU183" s="194" t="s">
        <v>76</v>
      </c>
      <c r="AV183" s="198" t="s">
        <v>73</v>
      </c>
      <c r="AW183" s="198" t="s">
        <v>32</v>
      </c>
      <c r="AX183" s="198" t="s">
        <v>68</v>
      </c>
      <c r="AY183" s="194" t="s">
        <v>114</v>
      </c>
    </row>
    <row r="184" spans="2:51" s="208" customFormat="1" ht="12">
      <c r="B184" s="202"/>
      <c r="D184" s="193" t="s">
        <v>121</v>
      </c>
      <c r="E184" s="204" t="s">
        <v>1</v>
      </c>
      <c r="F184" s="205" t="s">
        <v>908</v>
      </c>
      <c r="G184" s="206"/>
      <c r="H184" s="207">
        <f>2*6*0.3*2</f>
        <v>7.199999999999999</v>
      </c>
      <c r="I184" s="70"/>
      <c r="L184" s="202"/>
      <c r="M184" s="209"/>
      <c r="N184" s="210"/>
      <c r="O184" s="210"/>
      <c r="P184" s="210"/>
      <c r="Q184" s="210"/>
      <c r="R184" s="210"/>
      <c r="S184" s="210"/>
      <c r="T184" s="211"/>
      <c r="AT184" s="204" t="s">
        <v>121</v>
      </c>
      <c r="AU184" s="204" t="s">
        <v>76</v>
      </c>
      <c r="AV184" s="208" t="s">
        <v>76</v>
      </c>
      <c r="AW184" s="208" t="s">
        <v>32</v>
      </c>
      <c r="AX184" s="208" t="s">
        <v>68</v>
      </c>
      <c r="AY184" s="204" t="s">
        <v>114</v>
      </c>
    </row>
    <row r="185" spans="2:51" s="208" customFormat="1" ht="12">
      <c r="B185" s="202"/>
      <c r="D185" s="193" t="s">
        <v>121</v>
      </c>
      <c r="E185" s="204" t="s">
        <v>1</v>
      </c>
      <c r="F185" s="205" t="s">
        <v>1465</v>
      </c>
      <c r="G185" s="206"/>
      <c r="H185" s="207">
        <f>2.5*0.3*2</f>
        <v>1.5</v>
      </c>
      <c r="I185" s="70"/>
      <c r="L185" s="202"/>
      <c r="M185" s="209"/>
      <c r="N185" s="210"/>
      <c r="O185" s="210"/>
      <c r="P185" s="210"/>
      <c r="Q185" s="210"/>
      <c r="R185" s="210"/>
      <c r="S185" s="210"/>
      <c r="T185" s="211"/>
      <c r="AT185" s="204" t="s">
        <v>121</v>
      </c>
      <c r="AU185" s="204" t="s">
        <v>76</v>
      </c>
      <c r="AV185" s="208" t="s">
        <v>76</v>
      </c>
      <c r="AW185" s="208" t="s">
        <v>32</v>
      </c>
      <c r="AX185" s="208" t="s">
        <v>68</v>
      </c>
      <c r="AY185" s="204" t="s">
        <v>114</v>
      </c>
    </row>
    <row r="186" spans="2:51" s="228" customFormat="1" ht="12">
      <c r="B186" s="222"/>
      <c r="C186" s="223"/>
      <c r="D186" s="193" t="s">
        <v>121</v>
      </c>
      <c r="E186" s="224" t="s">
        <v>1</v>
      </c>
      <c r="F186" s="225" t="s">
        <v>150</v>
      </c>
      <c r="G186" s="226"/>
      <c r="H186" s="227">
        <f>SUM(H180:H185)</f>
        <v>135.89999999999998</v>
      </c>
      <c r="I186" s="72"/>
      <c r="L186" s="222"/>
      <c r="M186" s="229"/>
      <c r="N186" s="230"/>
      <c r="O186" s="230"/>
      <c r="P186" s="230"/>
      <c r="Q186" s="230"/>
      <c r="R186" s="230"/>
      <c r="S186" s="230"/>
      <c r="T186" s="231"/>
      <c r="AT186" s="224" t="s">
        <v>121</v>
      </c>
      <c r="AU186" s="224" t="s">
        <v>76</v>
      </c>
      <c r="AV186" s="228" t="s">
        <v>119</v>
      </c>
      <c r="AW186" s="228" t="s">
        <v>32</v>
      </c>
      <c r="AX186" s="228" t="s">
        <v>73</v>
      </c>
      <c r="AY186" s="224" t="s">
        <v>114</v>
      </c>
    </row>
    <row r="187" spans="2:65" s="92" customFormat="1" ht="16.5" customHeight="1">
      <c r="B187" s="90"/>
      <c r="C187" s="177" t="s">
        <v>199</v>
      </c>
      <c r="D187" s="178" t="s">
        <v>116</v>
      </c>
      <c r="E187" s="179" t="s">
        <v>200</v>
      </c>
      <c r="F187" s="232" t="s">
        <v>201</v>
      </c>
      <c r="G187" s="233" t="s">
        <v>191</v>
      </c>
      <c r="H187" s="234">
        <v>5.12</v>
      </c>
      <c r="I187" s="69"/>
      <c r="J187" s="184">
        <f>ROUND(I187*H187,2)</f>
        <v>0</v>
      </c>
      <c r="K187" s="180" t="s">
        <v>154</v>
      </c>
      <c r="L187" s="90"/>
      <c r="M187" s="185" t="s">
        <v>1</v>
      </c>
      <c r="N187" s="186" t="s">
        <v>41</v>
      </c>
      <c r="O187" s="187"/>
      <c r="P187" s="188">
        <f>O187*H187</f>
        <v>0</v>
      </c>
      <c r="Q187" s="188">
        <v>0</v>
      </c>
      <c r="R187" s="188">
        <f>Q187*H187</f>
        <v>0</v>
      </c>
      <c r="S187" s="188">
        <v>0</v>
      </c>
      <c r="T187" s="189">
        <f>S187*H187</f>
        <v>0</v>
      </c>
      <c r="AR187" s="81" t="s">
        <v>119</v>
      </c>
      <c r="AT187" s="81" t="s">
        <v>116</v>
      </c>
      <c r="AU187" s="81" t="s">
        <v>76</v>
      </c>
      <c r="AY187" s="81" t="s">
        <v>114</v>
      </c>
      <c r="BE187" s="190">
        <f>IF(N187="základní",J187,0)</f>
        <v>0</v>
      </c>
      <c r="BF187" s="190">
        <f>IF(N187="snížená",J187,0)</f>
        <v>0</v>
      </c>
      <c r="BG187" s="190">
        <f>IF(N187="zákl. přenesená",J187,0)</f>
        <v>0</v>
      </c>
      <c r="BH187" s="190">
        <f>IF(N187="sníž. přenesená",J187,0)</f>
        <v>0</v>
      </c>
      <c r="BI187" s="190">
        <f>IF(N187="nulová",J187,0)</f>
        <v>0</v>
      </c>
      <c r="BJ187" s="81" t="s">
        <v>73</v>
      </c>
      <c r="BK187" s="190">
        <f>ROUND(I187*H187,2)</f>
        <v>0</v>
      </c>
      <c r="BL187" s="81" t="s">
        <v>119</v>
      </c>
      <c r="BM187" s="81" t="s">
        <v>202</v>
      </c>
    </row>
    <row r="188" spans="2:51" s="208" customFormat="1" ht="12">
      <c r="B188" s="202"/>
      <c r="C188" s="203"/>
      <c r="D188" s="193" t="s">
        <v>121</v>
      </c>
      <c r="E188" s="204" t="s">
        <v>1</v>
      </c>
      <c r="F188" s="205" t="s">
        <v>203</v>
      </c>
      <c r="G188" s="206"/>
      <c r="H188" s="207">
        <v>5.12</v>
      </c>
      <c r="I188" s="70"/>
      <c r="L188" s="202"/>
      <c r="M188" s="209"/>
      <c r="N188" s="210"/>
      <c r="O188" s="210"/>
      <c r="P188" s="210"/>
      <c r="Q188" s="210"/>
      <c r="R188" s="210"/>
      <c r="S188" s="210"/>
      <c r="T188" s="211"/>
      <c r="AT188" s="204" t="s">
        <v>121</v>
      </c>
      <c r="AU188" s="204" t="s">
        <v>76</v>
      </c>
      <c r="AV188" s="208" t="s">
        <v>76</v>
      </c>
      <c r="AW188" s="208" t="s">
        <v>32</v>
      </c>
      <c r="AX188" s="208" t="s">
        <v>68</v>
      </c>
      <c r="AY188" s="204" t="s">
        <v>114</v>
      </c>
    </row>
    <row r="189" spans="2:51" s="228" customFormat="1" ht="12">
      <c r="B189" s="222"/>
      <c r="C189" s="223"/>
      <c r="D189" s="193" t="s">
        <v>121</v>
      </c>
      <c r="E189" s="224" t="s">
        <v>1</v>
      </c>
      <c r="F189" s="225" t="s">
        <v>150</v>
      </c>
      <c r="G189" s="226"/>
      <c r="H189" s="227">
        <v>5.12</v>
      </c>
      <c r="I189" s="72"/>
      <c r="L189" s="222"/>
      <c r="M189" s="229"/>
      <c r="N189" s="230"/>
      <c r="O189" s="230"/>
      <c r="P189" s="230"/>
      <c r="Q189" s="230"/>
      <c r="R189" s="230"/>
      <c r="S189" s="230"/>
      <c r="T189" s="231"/>
      <c r="AT189" s="224" t="s">
        <v>121</v>
      </c>
      <c r="AU189" s="224" t="s">
        <v>76</v>
      </c>
      <c r="AV189" s="228" t="s">
        <v>119</v>
      </c>
      <c r="AW189" s="228" t="s">
        <v>32</v>
      </c>
      <c r="AX189" s="228" t="s">
        <v>73</v>
      </c>
      <c r="AY189" s="224" t="s">
        <v>114</v>
      </c>
    </row>
    <row r="190" spans="2:65" s="92" customFormat="1" ht="16.5" customHeight="1">
      <c r="B190" s="90"/>
      <c r="C190" s="177" t="s">
        <v>204</v>
      </c>
      <c r="D190" s="178" t="s">
        <v>116</v>
      </c>
      <c r="E190" s="179" t="s">
        <v>205</v>
      </c>
      <c r="F190" s="232" t="s">
        <v>206</v>
      </c>
      <c r="G190" s="233" t="s">
        <v>191</v>
      </c>
      <c r="H190" s="234">
        <f>H193</f>
        <v>216.627</v>
      </c>
      <c r="I190" s="69"/>
      <c r="J190" s="184">
        <f>ROUND(I190*H190,2)</f>
        <v>0</v>
      </c>
      <c r="K190" s="180" t="s">
        <v>154</v>
      </c>
      <c r="L190" s="90"/>
      <c r="M190" s="185" t="s">
        <v>1</v>
      </c>
      <c r="N190" s="186" t="s">
        <v>41</v>
      </c>
      <c r="O190" s="187"/>
      <c r="P190" s="188">
        <f>O190*H190</f>
        <v>0</v>
      </c>
      <c r="Q190" s="188">
        <v>0</v>
      </c>
      <c r="R190" s="188">
        <f>Q190*H190</f>
        <v>0</v>
      </c>
      <c r="S190" s="188">
        <v>0</v>
      </c>
      <c r="T190" s="189">
        <f>S190*H190</f>
        <v>0</v>
      </c>
      <c r="AR190" s="81" t="s">
        <v>119</v>
      </c>
      <c r="AT190" s="81" t="s">
        <v>116</v>
      </c>
      <c r="AU190" s="81" t="s">
        <v>76</v>
      </c>
      <c r="AY190" s="81" t="s">
        <v>114</v>
      </c>
      <c r="BE190" s="190">
        <f>IF(N190="základní",J190,0)</f>
        <v>0</v>
      </c>
      <c r="BF190" s="190">
        <f>IF(N190="snížená",J190,0)</f>
        <v>0</v>
      </c>
      <c r="BG190" s="190">
        <f>IF(N190="zákl. přenesená",J190,0)</f>
        <v>0</v>
      </c>
      <c r="BH190" s="190">
        <f>IF(N190="sníž. přenesená",J190,0)</f>
        <v>0</v>
      </c>
      <c r="BI190" s="190">
        <f>IF(N190="nulová",J190,0)</f>
        <v>0</v>
      </c>
      <c r="BJ190" s="81" t="s">
        <v>73</v>
      </c>
      <c r="BK190" s="190">
        <f>ROUND(I190*H190,2)</f>
        <v>0</v>
      </c>
      <c r="BL190" s="81" t="s">
        <v>119</v>
      </c>
      <c r="BM190" s="81" t="s">
        <v>207</v>
      </c>
    </row>
    <row r="191" spans="2:51" s="198" customFormat="1" ht="12">
      <c r="B191" s="191"/>
      <c r="C191" s="192"/>
      <c r="D191" s="193" t="s">
        <v>121</v>
      </c>
      <c r="E191" s="194" t="s">
        <v>1</v>
      </c>
      <c r="F191" s="195" t="s">
        <v>208</v>
      </c>
      <c r="G191" s="196"/>
      <c r="H191" s="197" t="s">
        <v>1</v>
      </c>
      <c r="I191" s="71"/>
      <c r="L191" s="191"/>
      <c r="M191" s="199"/>
      <c r="N191" s="200"/>
      <c r="O191" s="200"/>
      <c r="P191" s="200"/>
      <c r="Q191" s="200"/>
      <c r="R191" s="200"/>
      <c r="S191" s="200"/>
      <c r="T191" s="201"/>
      <c r="AT191" s="194" t="s">
        <v>121</v>
      </c>
      <c r="AU191" s="194" t="s">
        <v>76</v>
      </c>
      <c r="AV191" s="198" t="s">
        <v>73</v>
      </c>
      <c r="AW191" s="198" t="s">
        <v>32</v>
      </c>
      <c r="AX191" s="198" t="s">
        <v>68</v>
      </c>
      <c r="AY191" s="194" t="s">
        <v>114</v>
      </c>
    </row>
    <row r="192" spans="2:51" s="208" customFormat="1" ht="12">
      <c r="B192" s="202"/>
      <c r="C192" s="203"/>
      <c r="D192" s="193" t="s">
        <v>121</v>
      </c>
      <c r="E192" s="204" t="s">
        <v>1</v>
      </c>
      <c r="F192" s="205" t="s">
        <v>1468</v>
      </c>
      <c r="G192" s="206"/>
      <c r="H192" s="207">
        <f>361.045*0.6</f>
        <v>216.627</v>
      </c>
      <c r="I192" s="70"/>
      <c r="L192" s="202"/>
      <c r="M192" s="209"/>
      <c r="N192" s="210"/>
      <c r="O192" s="210"/>
      <c r="P192" s="210"/>
      <c r="Q192" s="210"/>
      <c r="R192" s="210"/>
      <c r="S192" s="210"/>
      <c r="T192" s="211"/>
      <c r="AT192" s="204" t="s">
        <v>121</v>
      </c>
      <c r="AU192" s="204" t="s">
        <v>76</v>
      </c>
      <c r="AV192" s="208" t="s">
        <v>76</v>
      </c>
      <c r="AW192" s="208" t="s">
        <v>32</v>
      </c>
      <c r="AX192" s="208" t="s">
        <v>68</v>
      </c>
      <c r="AY192" s="204" t="s">
        <v>114</v>
      </c>
    </row>
    <row r="193" spans="2:51" s="228" customFormat="1" ht="12">
      <c r="B193" s="222"/>
      <c r="C193" s="223"/>
      <c r="D193" s="193" t="s">
        <v>121</v>
      </c>
      <c r="E193" s="224" t="s">
        <v>1</v>
      </c>
      <c r="F193" s="225" t="s">
        <v>150</v>
      </c>
      <c r="G193" s="226"/>
      <c r="H193" s="227">
        <f>H192</f>
        <v>216.627</v>
      </c>
      <c r="I193" s="72"/>
      <c r="L193" s="222"/>
      <c r="M193" s="229"/>
      <c r="N193" s="230"/>
      <c r="O193" s="230"/>
      <c r="P193" s="230"/>
      <c r="Q193" s="230"/>
      <c r="R193" s="230"/>
      <c r="S193" s="230"/>
      <c r="T193" s="231"/>
      <c r="AT193" s="224" t="s">
        <v>121</v>
      </c>
      <c r="AU193" s="224" t="s">
        <v>76</v>
      </c>
      <c r="AV193" s="228" t="s">
        <v>119</v>
      </c>
      <c r="AW193" s="228" t="s">
        <v>32</v>
      </c>
      <c r="AX193" s="228" t="s">
        <v>73</v>
      </c>
      <c r="AY193" s="224" t="s">
        <v>114</v>
      </c>
    </row>
    <row r="194" spans="2:65" s="92" customFormat="1" ht="16.5" customHeight="1">
      <c r="B194" s="90"/>
      <c r="C194" s="177" t="s">
        <v>209</v>
      </c>
      <c r="D194" s="178" t="s">
        <v>116</v>
      </c>
      <c r="E194" s="179" t="s">
        <v>210</v>
      </c>
      <c r="F194" s="232" t="s">
        <v>211</v>
      </c>
      <c r="G194" s="233" t="s">
        <v>191</v>
      </c>
      <c r="H194" s="234">
        <v>135.38</v>
      </c>
      <c r="I194" s="69"/>
      <c r="J194" s="184">
        <f>ROUND(I194*H194,2)</f>
        <v>0</v>
      </c>
      <c r="K194" s="180" t="s">
        <v>154</v>
      </c>
      <c r="L194" s="90"/>
      <c r="M194" s="185" t="s">
        <v>1</v>
      </c>
      <c r="N194" s="186" t="s">
        <v>41</v>
      </c>
      <c r="O194" s="187"/>
      <c r="P194" s="188">
        <f>O194*H194</f>
        <v>0</v>
      </c>
      <c r="Q194" s="188">
        <v>0</v>
      </c>
      <c r="R194" s="188">
        <f>Q194*H194</f>
        <v>0</v>
      </c>
      <c r="S194" s="188">
        <v>0</v>
      </c>
      <c r="T194" s="189">
        <f>S194*H194</f>
        <v>0</v>
      </c>
      <c r="AR194" s="81" t="s">
        <v>119</v>
      </c>
      <c r="AT194" s="81" t="s">
        <v>116</v>
      </c>
      <c r="AU194" s="81" t="s">
        <v>76</v>
      </c>
      <c r="AY194" s="81" t="s">
        <v>114</v>
      </c>
      <c r="BE194" s="190">
        <f>IF(N194="základní",J194,0)</f>
        <v>0</v>
      </c>
      <c r="BF194" s="190">
        <f>IF(N194="snížená",J194,0)</f>
        <v>0</v>
      </c>
      <c r="BG194" s="190">
        <f>IF(N194="zákl. přenesená",J194,0)</f>
        <v>0</v>
      </c>
      <c r="BH194" s="190">
        <f>IF(N194="sníž. přenesená",J194,0)</f>
        <v>0</v>
      </c>
      <c r="BI194" s="190">
        <f>IF(N194="nulová",J194,0)</f>
        <v>0</v>
      </c>
      <c r="BJ194" s="81" t="s">
        <v>73</v>
      </c>
      <c r="BK194" s="190">
        <f>ROUND(I194*H194,2)</f>
        <v>0</v>
      </c>
      <c r="BL194" s="81" t="s">
        <v>119</v>
      </c>
      <c r="BM194" s="81" t="s">
        <v>212</v>
      </c>
    </row>
    <row r="195" spans="2:65" s="92" customFormat="1" ht="16.5" customHeight="1">
      <c r="B195" s="90"/>
      <c r="C195" s="177" t="s">
        <v>213</v>
      </c>
      <c r="D195" s="178" t="s">
        <v>116</v>
      </c>
      <c r="E195" s="179" t="s">
        <v>214</v>
      </c>
      <c r="F195" s="232" t="s">
        <v>215</v>
      </c>
      <c r="G195" s="233" t="s">
        <v>191</v>
      </c>
      <c r="H195" s="234">
        <f>H198</f>
        <v>144.418</v>
      </c>
      <c r="I195" s="69"/>
      <c r="J195" s="184">
        <f>ROUND(I195*H195,2)</f>
        <v>0</v>
      </c>
      <c r="K195" s="180" t="s">
        <v>154</v>
      </c>
      <c r="L195" s="90"/>
      <c r="M195" s="185" t="s">
        <v>1</v>
      </c>
      <c r="N195" s="186" t="s">
        <v>41</v>
      </c>
      <c r="O195" s="187"/>
      <c r="P195" s="188">
        <f>O195*H195</f>
        <v>0</v>
      </c>
      <c r="Q195" s="188">
        <v>0</v>
      </c>
      <c r="R195" s="188">
        <f>Q195*H195</f>
        <v>0</v>
      </c>
      <c r="S195" s="188">
        <v>0</v>
      </c>
      <c r="T195" s="189">
        <f>S195*H195</f>
        <v>0</v>
      </c>
      <c r="AR195" s="81" t="s">
        <v>119</v>
      </c>
      <c r="AT195" s="81" t="s">
        <v>116</v>
      </c>
      <c r="AU195" s="81" t="s">
        <v>76</v>
      </c>
      <c r="AY195" s="81" t="s">
        <v>114</v>
      </c>
      <c r="BE195" s="190">
        <f>IF(N195="základní",J195,0)</f>
        <v>0</v>
      </c>
      <c r="BF195" s="190">
        <f>IF(N195="snížená",J195,0)</f>
        <v>0</v>
      </c>
      <c r="BG195" s="190">
        <f>IF(N195="zákl. přenesená",J195,0)</f>
        <v>0</v>
      </c>
      <c r="BH195" s="190">
        <f>IF(N195="sníž. přenesená",J195,0)</f>
        <v>0</v>
      </c>
      <c r="BI195" s="190">
        <f>IF(N195="nulová",J195,0)</f>
        <v>0</v>
      </c>
      <c r="BJ195" s="81" t="s">
        <v>73</v>
      </c>
      <c r="BK195" s="190">
        <f>ROUND(I195*H195,2)</f>
        <v>0</v>
      </c>
      <c r="BL195" s="81" t="s">
        <v>119</v>
      </c>
      <c r="BM195" s="81" t="s">
        <v>216</v>
      </c>
    </row>
    <row r="196" spans="2:51" s="198" customFormat="1" ht="12">
      <c r="B196" s="191"/>
      <c r="C196" s="192"/>
      <c r="D196" s="193" t="s">
        <v>121</v>
      </c>
      <c r="E196" s="194" t="s">
        <v>1</v>
      </c>
      <c r="F196" s="195" t="s">
        <v>217</v>
      </c>
      <c r="G196" s="196"/>
      <c r="H196" s="197" t="s">
        <v>1</v>
      </c>
      <c r="I196" s="71"/>
      <c r="L196" s="191"/>
      <c r="M196" s="199"/>
      <c r="N196" s="200"/>
      <c r="O196" s="200"/>
      <c r="P196" s="200"/>
      <c r="Q196" s="200"/>
      <c r="R196" s="200"/>
      <c r="S196" s="200"/>
      <c r="T196" s="201"/>
      <c r="AT196" s="194" t="s">
        <v>121</v>
      </c>
      <c r="AU196" s="194" t="s">
        <v>76</v>
      </c>
      <c r="AV196" s="198" t="s">
        <v>73</v>
      </c>
      <c r="AW196" s="198" t="s">
        <v>32</v>
      </c>
      <c r="AX196" s="198" t="s">
        <v>68</v>
      </c>
      <c r="AY196" s="194" t="s">
        <v>114</v>
      </c>
    </row>
    <row r="197" spans="2:51" s="208" customFormat="1" ht="12">
      <c r="B197" s="202"/>
      <c r="C197" s="203"/>
      <c r="D197" s="193" t="s">
        <v>121</v>
      </c>
      <c r="E197" s="204" t="s">
        <v>1</v>
      </c>
      <c r="F197" s="205" t="s">
        <v>1469</v>
      </c>
      <c r="G197" s="206"/>
      <c r="H197" s="207">
        <f>361.045*0.4</f>
        <v>144.418</v>
      </c>
      <c r="I197" s="70"/>
      <c r="L197" s="202"/>
      <c r="M197" s="209"/>
      <c r="N197" s="210"/>
      <c r="O197" s="210"/>
      <c r="P197" s="210"/>
      <c r="Q197" s="210"/>
      <c r="R197" s="210"/>
      <c r="S197" s="210"/>
      <c r="T197" s="211"/>
      <c r="AT197" s="204" t="s">
        <v>121</v>
      </c>
      <c r="AU197" s="204" t="s">
        <v>76</v>
      </c>
      <c r="AV197" s="208" t="s">
        <v>76</v>
      </c>
      <c r="AW197" s="208" t="s">
        <v>32</v>
      </c>
      <c r="AX197" s="208" t="s">
        <v>68</v>
      </c>
      <c r="AY197" s="204" t="s">
        <v>114</v>
      </c>
    </row>
    <row r="198" spans="2:51" s="228" customFormat="1" ht="12">
      <c r="B198" s="222"/>
      <c r="C198" s="223"/>
      <c r="D198" s="193" t="s">
        <v>121</v>
      </c>
      <c r="E198" s="224" t="s">
        <v>1</v>
      </c>
      <c r="F198" s="225" t="s">
        <v>150</v>
      </c>
      <c r="G198" s="226"/>
      <c r="H198" s="227">
        <f>H197</f>
        <v>144.418</v>
      </c>
      <c r="I198" s="72"/>
      <c r="L198" s="222"/>
      <c r="M198" s="229"/>
      <c r="N198" s="230"/>
      <c r="O198" s="230"/>
      <c r="P198" s="230"/>
      <c r="Q198" s="230"/>
      <c r="R198" s="230"/>
      <c r="S198" s="230"/>
      <c r="T198" s="231"/>
      <c r="AT198" s="224" t="s">
        <v>121</v>
      </c>
      <c r="AU198" s="224" t="s">
        <v>76</v>
      </c>
      <c r="AV198" s="228" t="s">
        <v>119</v>
      </c>
      <c r="AW198" s="228" t="s">
        <v>32</v>
      </c>
      <c r="AX198" s="228" t="s">
        <v>73</v>
      </c>
      <c r="AY198" s="224" t="s">
        <v>114</v>
      </c>
    </row>
    <row r="199" spans="2:65" s="92" customFormat="1" ht="16.5" customHeight="1">
      <c r="B199" s="90"/>
      <c r="C199" s="177" t="s">
        <v>218</v>
      </c>
      <c r="D199" s="178" t="s">
        <v>116</v>
      </c>
      <c r="E199" s="179" t="s">
        <v>219</v>
      </c>
      <c r="F199" s="232" t="s">
        <v>220</v>
      </c>
      <c r="G199" s="233" t="s">
        <v>191</v>
      </c>
      <c r="H199" s="234">
        <f>H195</f>
        <v>144.418</v>
      </c>
      <c r="I199" s="69"/>
      <c r="J199" s="184">
        <f>ROUND(I199*H199,2)</f>
        <v>0</v>
      </c>
      <c r="K199" s="180" t="s">
        <v>154</v>
      </c>
      <c r="L199" s="90"/>
      <c r="M199" s="185" t="s">
        <v>1</v>
      </c>
      <c r="N199" s="186" t="s">
        <v>41</v>
      </c>
      <c r="O199" s="187"/>
      <c r="P199" s="188">
        <f>O199*H199</f>
        <v>0</v>
      </c>
      <c r="Q199" s="188">
        <v>0</v>
      </c>
      <c r="R199" s="188">
        <f>Q199*H199</f>
        <v>0</v>
      </c>
      <c r="S199" s="188">
        <v>0</v>
      </c>
      <c r="T199" s="189">
        <f>S199*H199</f>
        <v>0</v>
      </c>
      <c r="AR199" s="81" t="s">
        <v>119</v>
      </c>
      <c r="AT199" s="81" t="s">
        <v>116</v>
      </c>
      <c r="AU199" s="81" t="s">
        <v>76</v>
      </c>
      <c r="AY199" s="81" t="s">
        <v>114</v>
      </c>
      <c r="BE199" s="190">
        <f>IF(N199="základní",J199,0)</f>
        <v>0</v>
      </c>
      <c r="BF199" s="190">
        <f>IF(N199="snížená",J199,0)</f>
        <v>0</v>
      </c>
      <c r="BG199" s="190">
        <f>IF(N199="zákl. přenesená",J199,0)</f>
        <v>0</v>
      </c>
      <c r="BH199" s="190">
        <f>IF(N199="sníž. přenesená",J199,0)</f>
        <v>0</v>
      </c>
      <c r="BI199" s="190">
        <f>IF(N199="nulová",J199,0)</f>
        <v>0</v>
      </c>
      <c r="BJ199" s="81" t="s">
        <v>73</v>
      </c>
      <c r="BK199" s="190">
        <f>ROUND(I199*H199,2)</f>
        <v>0</v>
      </c>
      <c r="BL199" s="81" t="s">
        <v>119</v>
      </c>
      <c r="BM199" s="81" t="s">
        <v>221</v>
      </c>
    </row>
    <row r="200" spans="2:65" s="92" customFormat="1" ht="16.5" customHeight="1">
      <c r="B200" s="90"/>
      <c r="C200" s="178" t="s">
        <v>1484</v>
      </c>
      <c r="D200" s="178" t="s">
        <v>116</v>
      </c>
      <c r="E200" s="179" t="s">
        <v>923</v>
      </c>
      <c r="F200" s="232" t="s">
        <v>924</v>
      </c>
      <c r="G200" s="233" t="s">
        <v>176</v>
      </c>
      <c r="H200" s="234">
        <v>22</v>
      </c>
      <c r="I200" s="69"/>
      <c r="J200" s="184">
        <f>ROUND(I200*H200,2)</f>
        <v>0</v>
      </c>
      <c r="K200" s="180" t="s">
        <v>154</v>
      </c>
      <c r="L200" s="90"/>
      <c r="M200" s="185" t="s">
        <v>1</v>
      </c>
      <c r="N200" s="186" t="s">
        <v>41</v>
      </c>
      <c r="O200" s="187"/>
      <c r="P200" s="188">
        <f>O200*H200</f>
        <v>0</v>
      </c>
      <c r="Q200" s="188">
        <v>0</v>
      </c>
      <c r="R200" s="188">
        <f>Q200*H200</f>
        <v>0</v>
      </c>
      <c r="S200" s="188">
        <v>0</v>
      </c>
      <c r="T200" s="189">
        <f>S200*H200</f>
        <v>0</v>
      </c>
      <c r="AR200" s="81" t="s">
        <v>119</v>
      </c>
      <c r="AT200" s="81" t="s">
        <v>116</v>
      </c>
      <c r="AU200" s="81" t="s">
        <v>76</v>
      </c>
      <c r="AY200" s="81" t="s">
        <v>114</v>
      </c>
      <c r="BE200" s="190">
        <f>IF(N200="základní",J200,0)</f>
        <v>0</v>
      </c>
      <c r="BF200" s="190">
        <f>IF(N200="snížená",J200,0)</f>
        <v>0</v>
      </c>
      <c r="BG200" s="190">
        <f>IF(N200="zákl. přenesená",J200,0)</f>
        <v>0</v>
      </c>
      <c r="BH200" s="190">
        <f>IF(N200="sníž. přenesená",J200,0)</f>
        <v>0</v>
      </c>
      <c r="BI200" s="190">
        <f>IF(N200="nulová",J200,0)</f>
        <v>0</v>
      </c>
      <c r="BJ200" s="81" t="s">
        <v>73</v>
      </c>
      <c r="BK200" s="190">
        <f>ROUND(I200*H200,2)</f>
        <v>0</v>
      </c>
      <c r="BL200" s="81" t="s">
        <v>119</v>
      </c>
      <c r="BM200" s="81" t="s">
        <v>925</v>
      </c>
    </row>
    <row r="201" spans="2:65" s="92" customFormat="1" ht="16.5" customHeight="1">
      <c r="B201" s="90"/>
      <c r="C201" s="247" t="s">
        <v>1485</v>
      </c>
      <c r="D201" s="247" t="s">
        <v>319</v>
      </c>
      <c r="E201" s="248" t="s">
        <v>926</v>
      </c>
      <c r="F201" s="249" t="s">
        <v>927</v>
      </c>
      <c r="G201" s="250" t="s">
        <v>176</v>
      </c>
      <c r="H201" s="251">
        <v>22.66</v>
      </c>
      <c r="I201" s="76"/>
      <c r="J201" s="252">
        <f>ROUND(I201*H201,2)</f>
        <v>0</v>
      </c>
      <c r="K201" s="253" t="s">
        <v>154</v>
      </c>
      <c r="L201" s="254"/>
      <c r="M201" s="255" t="s">
        <v>1</v>
      </c>
      <c r="N201" s="256" t="s">
        <v>41</v>
      </c>
      <c r="O201" s="187"/>
      <c r="P201" s="188">
        <f>O201*H201</f>
        <v>0</v>
      </c>
      <c r="Q201" s="188">
        <v>0.0624</v>
      </c>
      <c r="R201" s="188">
        <f>Q201*H201</f>
        <v>1.413984</v>
      </c>
      <c r="S201" s="188">
        <v>0</v>
      </c>
      <c r="T201" s="189">
        <f>S201*H201</f>
        <v>0</v>
      </c>
      <c r="AR201" s="81" t="s">
        <v>183</v>
      </c>
      <c r="AT201" s="81" t="s">
        <v>319</v>
      </c>
      <c r="AU201" s="81" t="s">
        <v>76</v>
      </c>
      <c r="AY201" s="81" t="s">
        <v>114</v>
      </c>
      <c r="BE201" s="190">
        <f>IF(N201="základní",J201,0)</f>
        <v>0</v>
      </c>
      <c r="BF201" s="190">
        <f>IF(N201="snížená",J201,0)</f>
        <v>0</v>
      </c>
      <c r="BG201" s="190">
        <f>IF(N201="zákl. přenesená",J201,0)</f>
        <v>0</v>
      </c>
      <c r="BH201" s="190">
        <f>IF(N201="sníž. přenesená",J201,0)</f>
        <v>0</v>
      </c>
      <c r="BI201" s="190">
        <f>IF(N201="nulová",J201,0)</f>
        <v>0</v>
      </c>
      <c r="BJ201" s="81" t="s">
        <v>73</v>
      </c>
      <c r="BK201" s="190">
        <f>ROUND(I201*H201,2)</f>
        <v>0</v>
      </c>
      <c r="BL201" s="81" t="s">
        <v>119</v>
      </c>
      <c r="BM201" s="81" t="s">
        <v>928</v>
      </c>
    </row>
    <row r="202" spans="2:51" s="208" customFormat="1" ht="12">
      <c r="B202" s="202"/>
      <c r="D202" s="193" t="s">
        <v>121</v>
      </c>
      <c r="F202" s="205" t="s">
        <v>929</v>
      </c>
      <c r="G202" s="206"/>
      <c r="H202" s="207">
        <v>22.66</v>
      </c>
      <c r="I202" s="70"/>
      <c r="L202" s="202"/>
      <c r="M202" s="209"/>
      <c r="N202" s="210"/>
      <c r="O202" s="210"/>
      <c r="P202" s="210"/>
      <c r="Q202" s="210"/>
      <c r="R202" s="210"/>
      <c r="S202" s="210"/>
      <c r="T202" s="211"/>
      <c r="AT202" s="204" t="s">
        <v>121</v>
      </c>
      <c r="AU202" s="204" t="s">
        <v>76</v>
      </c>
      <c r="AV202" s="208" t="s">
        <v>76</v>
      </c>
      <c r="AW202" s="208" t="s">
        <v>3</v>
      </c>
      <c r="AX202" s="208" t="s">
        <v>73</v>
      </c>
      <c r="AY202" s="204" t="s">
        <v>114</v>
      </c>
    </row>
    <row r="203" spans="2:65" s="92" customFormat="1" ht="16.5" customHeight="1">
      <c r="B203" s="90"/>
      <c r="C203" s="177" t="s">
        <v>8</v>
      </c>
      <c r="D203" s="178" t="s">
        <v>116</v>
      </c>
      <c r="E203" s="179" t="s">
        <v>222</v>
      </c>
      <c r="F203" s="232" t="s">
        <v>223</v>
      </c>
      <c r="G203" s="233" t="s">
        <v>153</v>
      </c>
      <c r="H203" s="234">
        <f>H242</f>
        <v>877.3030000000001</v>
      </c>
      <c r="I203" s="69"/>
      <c r="J203" s="184">
        <f>ROUND(I203*H203,2)</f>
        <v>0</v>
      </c>
      <c r="K203" s="180" t="s">
        <v>154</v>
      </c>
      <c r="L203" s="90"/>
      <c r="M203" s="185" t="s">
        <v>1</v>
      </c>
      <c r="N203" s="186" t="s">
        <v>41</v>
      </c>
      <c r="O203" s="187"/>
      <c r="P203" s="188">
        <f>O203*H203</f>
        <v>0</v>
      </c>
      <c r="Q203" s="188">
        <v>0.00084</v>
      </c>
      <c r="R203" s="188">
        <f>Q203*H203</f>
        <v>0.7369345200000001</v>
      </c>
      <c r="S203" s="188">
        <v>0</v>
      </c>
      <c r="T203" s="189">
        <f>S203*H203</f>
        <v>0</v>
      </c>
      <c r="AR203" s="81" t="s">
        <v>119</v>
      </c>
      <c r="AT203" s="81" t="s">
        <v>116</v>
      </c>
      <c r="AU203" s="81" t="s">
        <v>76</v>
      </c>
      <c r="AY203" s="81" t="s">
        <v>114</v>
      </c>
      <c r="BE203" s="190">
        <f>IF(N203="základní",J203,0)</f>
        <v>0</v>
      </c>
      <c r="BF203" s="190">
        <f>IF(N203="snížená",J203,0)</f>
        <v>0</v>
      </c>
      <c r="BG203" s="190">
        <f>IF(N203="zákl. přenesená",J203,0)</f>
        <v>0</v>
      </c>
      <c r="BH203" s="190">
        <f>IF(N203="sníž. přenesená",J203,0)</f>
        <v>0</v>
      </c>
      <c r="BI203" s="190">
        <f>IF(N203="nulová",J203,0)</f>
        <v>0</v>
      </c>
      <c r="BJ203" s="81" t="s">
        <v>73</v>
      </c>
      <c r="BK203" s="190">
        <f>ROUND(I203*H203,2)</f>
        <v>0</v>
      </c>
      <c r="BL203" s="81" t="s">
        <v>119</v>
      </c>
      <c r="BM203" s="81" t="s">
        <v>224</v>
      </c>
    </row>
    <row r="204" spans="2:51" s="198" customFormat="1" ht="12">
      <c r="B204" s="191"/>
      <c r="D204" s="193" t="s">
        <v>121</v>
      </c>
      <c r="E204" s="194" t="s">
        <v>1</v>
      </c>
      <c r="F204" s="195" t="s">
        <v>801</v>
      </c>
      <c r="G204" s="196"/>
      <c r="H204" s="197" t="s">
        <v>1</v>
      </c>
      <c r="I204" s="71"/>
      <c r="L204" s="191"/>
      <c r="M204" s="199"/>
      <c r="N204" s="200"/>
      <c r="O204" s="200"/>
      <c r="P204" s="200"/>
      <c r="Q204" s="200"/>
      <c r="R204" s="200"/>
      <c r="S204" s="200"/>
      <c r="T204" s="201"/>
      <c r="AT204" s="194" t="s">
        <v>121</v>
      </c>
      <c r="AU204" s="194" t="s">
        <v>76</v>
      </c>
      <c r="AV204" s="198" t="s">
        <v>73</v>
      </c>
      <c r="AW204" s="198" t="s">
        <v>32</v>
      </c>
      <c r="AX204" s="198" t="s">
        <v>68</v>
      </c>
      <c r="AY204" s="194" t="s">
        <v>114</v>
      </c>
    </row>
    <row r="205" spans="2:51" s="208" customFormat="1" ht="12">
      <c r="B205" s="202"/>
      <c r="D205" s="193" t="s">
        <v>121</v>
      </c>
      <c r="E205" s="204" t="s">
        <v>1</v>
      </c>
      <c r="F205" s="205" t="s">
        <v>931</v>
      </c>
      <c r="G205" s="206"/>
      <c r="H205" s="207">
        <v>13.28</v>
      </c>
      <c r="I205" s="70"/>
      <c r="L205" s="202"/>
      <c r="M205" s="209"/>
      <c r="N205" s="210"/>
      <c r="O205" s="210"/>
      <c r="P205" s="210"/>
      <c r="Q205" s="210"/>
      <c r="R205" s="210"/>
      <c r="S205" s="210"/>
      <c r="T205" s="211"/>
      <c r="AT205" s="204" t="s">
        <v>121</v>
      </c>
      <c r="AU205" s="204" t="s">
        <v>76</v>
      </c>
      <c r="AV205" s="208" t="s">
        <v>76</v>
      </c>
      <c r="AW205" s="208" t="s">
        <v>32</v>
      </c>
      <c r="AX205" s="208" t="s">
        <v>68</v>
      </c>
      <c r="AY205" s="204" t="s">
        <v>114</v>
      </c>
    </row>
    <row r="206" spans="2:51" s="208" customFormat="1" ht="12">
      <c r="B206" s="202"/>
      <c r="D206" s="193" t="s">
        <v>121</v>
      </c>
      <c r="E206" s="204" t="s">
        <v>1</v>
      </c>
      <c r="F206" s="205" t="s">
        <v>932</v>
      </c>
      <c r="G206" s="206"/>
      <c r="H206" s="207">
        <v>8</v>
      </c>
      <c r="I206" s="70"/>
      <c r="L206" s="202"/>
      <c r="M206" s="209"/>
      <c r="N206" s="210"/>
      <c r="O206" s="210"/>
      <c r="P206" s="210"/>
      <c r="Q206" s="210"/>
      <c r="R206" s="210"/>
      <c r="S206" s="210"/>
      <c r="T206" s="211"/>
      <c r="AT206" s="204" t="s">
        <v>121</v>
      </c>
      <c r="AU206" s="204" t="s">
        <v>76</v>
      </c>
      <c r="AV206" s="208" t="s">
        <v>76</v>
      </c>
      <c r="AW206" s="208" t="s">
        <v>32</v>
      </c>
      <c r="AX206" s="208" t="s">
        <v>68</v>
      </c>
      <c r="AY206" s="204" t="s">
        <v>114</v>
      </c>
    </row>
    <row r="207" spans="2:51" s="198" customFormat="1" ht="12">
      <c r="B207" s="191"/>
      <c r="D207" s="193" t="s">
        <v>121</v>
      </c>
      <c r="E207" s="194" t="s">
        <v>1</v>
      </c>
      <c r="F207" s="195" t="s">
        <v>804</v>
      </c>
      <c r="G207" s="196"/>
      <c r="H207" s="197" t="s">
        <v>1</v>
      </c>
      <c r="I207" s="71"/>
      <c r="L207" s="191"/>
      <c r="M207" s="199"/>
      <c r="N207" s="200"/>
      <c r="O207" s="200"/>
      <c r="P207" s="200"/>
      <c r="Q207" s="200"/>
      <c r="R207" s="200"/>
      <c r="S207" s="200"/>
      <c r="T207" s="201"/>
      <c r="AT207" s="194" t="s">
        <v>121</v>
      </c>
      <c r="AU207" s="194" t="s">
        <v>76</v>
      </c>
      <c r="AV207" s="198" t="s">
        <v>73</v>
      </c>
      <c r="AW207" s="198" t="s">
        <v>32</v>
      </c>
      <c r="AX207" s="198" t="s">
        <v>68</v>
      </c>
      <c r="AY207" s="194" t="s">
        <v>114</v>
      </c>
    </row>
    <row r="208" spans="2:51" s="208" customFormat="1" ht="12">
      <c r="B208" s="202"/>
      <c r="D208" s="193" t="s">
        <v>121</v>
      </c>
      <c r="E208" s="204" t="s">
        <v>1</v>
      </c>
      <c r="F208" s="205" t="s">
        <v>933</v>
      </c>
      <c r="G208" s="206"/>
      <c r="H208" s="207">
        <v>26.86</v>
      </c>
      <c r="I208" s="70"/>
      <c r="L208" s="202"/>
      <c r="M208" s="209"/>
      <c r="N208" s="210"/>
      <c r="O208" s="210"/>
      <c r="P208" s="210"/>
      <c r="Q208" s="210"/>
      <c r="R208" s="210"/>
      <c r="S208" s="210"/>
      <c r="T208" s="211"/>
      <c r="AT208" s="204" t="s">
        <v>121</v>
      </c>
      <c r="AU208" s="204" t="s">
        <v>76</v>
      </c>
      <c r="AV208" s="208" t="s">
        <v>76</v>
      </c>
      <c r="AW208" s="208" t="s">
        <v>32</v>
      </c>
      <c r="AX208" s="208" t="s">
        <v>68</v>
      </c>
      <c r="AY208" s="204" t="s">
        <v>114</v>
      </c>
    </row>
    <row r="209" spans="2:51" s="208" customFormat="1" ht="12">
      <c r="B209" s="202"/>
      <c r="D209" s="193" t="s">
        <v>121</v>
      </c>
      <c r="E209" s="204" t="s">
        <v>1</v>
      </c>
      <c r="F209" s="205" t="s">
        <v>934</v>
      </c>
      <c r="G209" s="206"/>
      <c r="H209" s="207">
        <v>14.04</v>
      </c>
      <c r="I209" s="70"/>
      <c r="L209" s="202"/>
      <c r="M209" s="209"/>
      <c r="N209" s="210"/>
      <c r="O209" s="210"/>
      <c r="P209" s="210"/>
      <c r="Q209" s="210"/>
      <c r="R209" s="210"/>
      <c r="S209" s="210"/>
      <c r="T209" s="211"/>
      <c r="AT209" s="204" t="s">
        <v>121</v>
      </c>
      <c r="AU209" s="204" t="s">
        <v>76</v>
      </c>
      <c r="AV209" s="208" t="s">
        <v>76</v>
      </c>
      <c r="AW209" s="208" t="s">
        <v>32</v>
      </c>
      <c r="AX209" s="208" t="s">
        <v>68</v>
      </c>
      <c r="AY209" s="204" t="s">
        <v>114</v>
      </c>
    </row>
    <row r="210" spans="2:51" s="208" customFormat="1" ht="12">
      <c r="B210" s="202"/>
      <c r="D210" s="193" t="s">
        <v>121</v>
      </c>
      <c r="E210" s="204" t="s">
        <v>1</v>
      </c>
      <c r="F210" s="205" t="s">
        <v>935</v>
      </c>
      <c r="G210" s="206"/>
      <c r="H210" s="207">
        <v>-21.488</v>
      </c>
      <c r="I210" s="70"/>
      <c r="L210" s="202"/>
      <c r="M210" s="209"/>
      <c r="N210" s="210"/>
      <c r="O210" s="210"/>
      <c r="P210" s="210"/>
      <c r="Q210" s="210"/>
      <c r="R210" s="210"/>
      <c r="S210" s="210"/>
      <c r="T210" s="211"/>
      <c r="AT210" s="204" t="s">
        <v>121</v>
      </c>
      <c r="AU210" s="204" t="s">
        <v>76</v>
      </c>
      <c r="AV210" s="208" t="s">
        <v>76</v>
      </c>
      <c r="AW210" s="208" t="s">
        <v>32</v>
      </c>
      <c r="AX210" s="208" t="s">
        <v>68</v>
      </c>
      <c r="AY210" s="204" t="s">
        <v>114</v>
      </c>
    </row>
    <row r="211" spans="2:51" s="208" customFormat="1" ht="12">
      <c r="B211" s="202"/>
      <c r="D211" s="193" t="s">
        <v>121</v>
      </c>
      <c r="E211" s="204" t="s">
        <v>1</v>
      </c>
      <c r="F211" s="205" t="s">
        <v>936</v>
      </c>
      <c r="G211" s="206"/>
      <c r="H211" s="207">
        <v>-10.296</v>
      </c>
      <c r="I211" s="70"/>
      <c r="L211" s="202"/>
      <c r="M211" s="209"/>
      <c r="N211" s="210"/>
      <c r="O211" s="210"/>
      <c r="P211" s="210"/>
      <c r="Q211" s="210"/>
      <c r="R211" s="210"/>
      <c r="S211" s="210"/>
      <c r="T211" s="211"/>
      <c r="AT211" s="204" t="s">
        <v>121</v>
      </c>
      <c r="AU211" s="204" t="s">
        <v>76</v>
      </c>
      <c r="AV211" s="208" t="s">
        <v>76</v>
      </c>
      <c r="AW211" s="208" t="s">
        <v>32</v>
      </c>
      <c r="AX211" s="208" t="s">
        <v>68</v>
      </c>
      <c r="AY211" s="204" t="s">
        <v>114</v>
      </c>
    </row>
    <row r="212" spans="2:51" s="198" customFormat="1" ht="12">
      <c r="B212" s="191"/>
      <c r="D212" s="193" t="s">
        <v>121</v>
      </c>
      <c r="E212" s="194" t="s">
        <v>1</v>
      </c>
      <c r="F212" s="195" t="s">
        <v>809</v>
      </c>
      <c r="G212" s="196"/>
      <c r="H212" s="197" t="s">
        <v>1</v>
      </c>
      <c r="I212" s="71"/>
      <c r="L212" s="191"/>
      <c r="M212" s="199"/>
      <c r="N212" s="200"/>
      <c r="O212" s="200"/>
      <c r="P212" s="200"/>
      <c r="Q212" s="200"/>
      <c r="R212" s="200"/>
      <c r="S212" s="200"/>
      <c r="T212" s="201"/>
      <c r="AT212" s="194" t="s">
        <v>121</v>
      </c>
      <c r="AU212" s="194" t="s">
        <v>76</v>
      </c>
      <c r="AV212" s="198" t="s">
        <v>73</v>
      </c>
      <c r="AW212" s="198" t="s">
        <v>32</v>
      </c>
      <c r="AX212" s="198" t="s">
        <v>68</v>
      </c>
      <c r="AY212" s="194" t="s">
        <v>114</v>
      </c>
    </row>
    <row r="213" spans="2:51" s="208" customFormat="1" ht="12">
      <c r="B213" s="202"/>
      <c r="D213" s="193" t="s">
        <v>121</v>
      </c>
      <c r="E213" s="204" t="s">
        <v>1</v>
      </c>
      <c r="F213" s="205" t="s">
        <v>937</v>
      </c>
      <c r="G213" s="206"/>
      <c r="H213" s="207">
        <v>35.28</v>
      </c>
      <c r="I213" s="70"/>
      <c r="L213" s="202"/>
      <c r="M213" s="209"/>
      <c r="N213" s="210"/>
      <c r="O213" s="210"/>
      <c r="P213" s="210"/>
      <c r="Q213" s="210"/>
      <c r="R213" s="210"/>
      <c r="S213" s="210"/>
      <c r="T213" s="211"/>
      <c r="AT213" s="204" t="s">
        <v>121</v>
      </c>
      <c r="AU213" s="204" t="s">
        <v>76</v>
      </c>
      <c r="AV213" s="208" t="s">
        <v>76</v>
      </c>
      <c r="AW213" s="208" t="s">
        <v>32</v>
      </c>
      <c r="AX213" s="208" t="s">
        <v>68</v>
      </c>
      <c r="AY213" s="204" t="s">
        <v>114</v>
      </c>
    </row>
    <row r="214" spans="2:51" s="208" customFormat="1" ht="12">
      <c r="B214" s="202"/>
      <c r="D214" s="193" t="s">
        <v>121</v>
      </c>
      <c r="E214" s="204" t="s">
        <v>1</v>
      </c>
      <c r="F214" s="205" t="s">
        <v>938</v>
      </c>
      <c r="G214" s="206"/>
      <c r="H214" s="207">
        <v>26.682</v>
      </c>
      <c r="I214" s="70"/>
      <c r="L214" s="202"/>
      <c r="M214" s="209"/>
      <c r="N214" s="210"/>
      <c r="O214" s="210"/>
      <c r="P214" s="210"/>
      <c r="Q214" s="210"/>
      <c r="R214" s="210"/>
      <c r="S214" s="210"/>
      <c r="T214" s="211"/>
      <c r="AT214" s="204" t="s">
        <v>121</v>
      </c>
      <c r="AU214" s="204" t="s">
        <v>76</v>
      </c>
      <c r="AV214" s="208" t="s">
        <v>76</v>
      </c>
      <c r="AW214" s="208" t="s">
        <v>32</v>
      </c>
      <c r="AX214" s="208" t="s">
        <v>68</v>
      </c>
      <c r="AY214" s="204" t="s">
        <v>114</v>
      </c>
    </row>
    <row r="215" spans="2:51" s="208" customFormat="1" ht="12">
      <c r="B215" s="202"/>
      <c r="D215" s="193" t="s">
        <v>121</v>
      </c>
      <c r="E215" s="204" t="s">
        <v>1</v>
      </c>
      <c r="F215" s="205" t="s">
        <v>939</v>
      </c>
      <c r="G215" s="206"/>
      <c r="H215" s="207">
        <v>57.239</v>
      </c>
      <c r="I215" s="70"/>
      <c r="L215" s="202"/>
      <c r="M215" s="209"/>
      <c r="N215" s="210"/>
      <c r="O215" s="210"/>
      <c r="P215" s="210"/>
      <c r="Q215" s="210"/>
      <c r="R215" s="210"/>
      <c r="S215" s="210"/>
      <c r="T215" s="211"/>
      <c r="AT215" s="204" t="s">
        <v>121</v>
      </c>
      <c r="AU215" s="204" t="s">
        <v>76</v>
      </c>
      <c r="AV215" s="208" t="s">
        <v>76</v>
      </c>
      <c r="AW215" s="208" t="s">
        <v>32</v>
      </c>
      <c r="AX215" s="208" t="s">
        <v>68</v>
      </c>
      <c r="AY215" s="204" t="s">
        <v>114</v>
      </c>
    </row>
    <row r="216" spans="2:51" s="208" customFormat="1" ht="12">
      <c r="B216" s="202"/>
      <c r="D216" s="193" t="s">
        <v>121</v>
      </c>
      <c r="E216" s="204" t="s">
        <v>1</v>
      </c>
      <c r="F216" s="205" t="s">
        <v>940</v>
      </c>
      <c r="G216" s="206"/>
      <c r="H216" s="207">
        <v>34.866</v>
      </c>
      <c r="I216" s="70"/>
      <c r="L216" s="202"/>
      <c r="M216" s="209"/>
      <c r="N216" s="210"/>
      <c r="O216" s="210"/>
      <c r="P216" s="210"/>
      <c r="Q216" s="210"/>
      <c r="R216" s="210"/>
      <c r="S216" s="210"/>
      <c r="T216" s="211"/>
      <c r="AT216" s="204" t="s">
        <v>121</v>
      </c>
      <c r="AU216" s="204" t="s">
        <v>76</v>
      </c>
      <c r="AV216" s="208" t="s">
        <v>76</v>
      </c>
      <c r="AW216" s="208" t="s">
        <v>32</v>
      </c>
      <c r="AX216" s="208" t="s">
        <v>68</v>
      </c>
      <c r="AY216" s="204" t="s">
        <v>114</v>
      </c>
    </row>
    <row r="217" spans="2:51" s="208" customFormat="1" ht="12">
      <c r="B217" s="202"/>
      <c r="D217" s="193" t="s">
        <v>121</v>
      </c>
      <c r="E217" s="204" t="s">
        <v>1</v>
      </c>
      <c r="F217" s="205" t="s">
        <v>941</v>
      </c>
      <c r="G217" s="206"/>
      <c r="H217" s="207">
        <v>13.685</v>
      </c>
      <c r="I217" s="70"/>
      <c r="L217" s="202"/>
      <c r="M217" s="209"/>
      <c r="N217" s="210"/>
      <c r="O217" s="210"/>
      <c r="P217" s="210"/>
      <c r="Q217" s="210"/>
      <c r="R217" s="210"/>
      <c r="S217" s="210"/>
      <c r="T217" s="211"/>
      <c r="AT217" s="204" t="s">
        <v>121</v>
      </c>
      <c r="AU217" s="204" t="s">
        <v>76</v>
      </c>
      <c r="AV217" s="208" t="s">
        <v>76</v>
      </c>
      <c r="AW217" s="208" t="s">
        <v>32</v>
      </c>
      <c r="AX217" s="208" t="s">
        <v>68</v>
      </c>
      <c r="AY217" s="204" t="s">
        <v>114</v>
      </c>
    </row>
    <row r="218" spans="2:51" s="198" customFormat="1" ht="12">
      <c r="B218" s="191"/>
      <c r="D218" s="193" t="s">
        <v>121</v>
      </c>
      <c r="E218" s="194" t="s">
        <v>1</v>
      </c>
      <c r="F218" s="195" t="s">
        <v>817</v>
      </c>
      <c r="G218" s="196"/>
      <c r="H218" s="197" t="s">
        <v>1</v>
      </c>
      <c r="I218" s="71"/>
      <c r="L218" s="191"/>
      <c r="M218" s="199"/>
      <c r="N218" s="200"/>
      <c r="O218" s="200"/>
      <c r="P218" s="200"/>
      <c r="Q218" s="200"/>
      <c r="R218" s="200"/>
      <c r="S218" s="200"/>
      <c r="T218" s="201"/>
      <c r="AT218" s="194" t="s">
        <v>121</v>
      </c>
      <c r="AU218" s="194" t="s">
        <v>76</v>
      </c>
      <c r="AV218" s="198" t="s">
        <v>73</v>
      </c>
      <c r="AW218" s="198" t="s">
        <v>32</v>
      </c>
      <c r="AX218" s="198" t="s">
        <v>68</v>
      </c>
      <c r="AY218" s="194" t="s">
        <v>114</v>
      </c>
    </row>
    <row r="219" spans="2:51" s="208" customFormat="1" ht="12">
      <c r="B219" s="202"/>
      <c r="D219" s="193" t="s">
        <v>121</v>
      </c>
      <c r="E219" s="204" t="s">
        <v>1</v>
      </c>
      <c r="F219" s="205" t="s">
        <v>942</v>
      </c>
      <c r="G219" s="206"/>
      <c r="H219" s="207">
        <v>67.86</v>
      </c>
      <c r="I219" s="70"/>
      <c r="L219" s="202"/>
      <c r="M219" s="209"/>
      <c r="N219" s="210"/>
      <c r="O219" s="210"/>
      <c r="P219" s="210"/>
      <c r="Q219" s="210"/>
      <c r="R219" s="210"/>
      <c r="S219" s="210"/>
      <c r="T219" s="211"/>
      <c r="AT219" s="204" t="s">
        <v>121</v>
      </c>
      <c r="AU219" s="204" t="s">
        <v>76</v>
      </c>
      <c r="AV219" s="208" t="s">
        <v>76</v>
      </c>
      <c r="AW219" s="208" t="s">
        <v>32</v>
      </c>
      <c r="AX219" s="208" t="s">
        <v>68</v>
      </c>
      <c r="AY219" s="204" t="s">
        <v>114</v>
      </c>
    </row>
    <row r="220" spans="2:51" s="198" customFormat="1" ht="12">
      <c r="B220" s="191"/>
      <c r="C220" s="192"/>
      <c r="D220" s="193" t="s">
        <v>121</v>
      </c>
      <c r="E220" s="194" t="s">
        <v>1</v>
      </c>
      <c r="F220" s="195" t="s">
        <v>1460</v>
      </c>
      <c r="G220" s="196"/>
      <c r="H220" s="197" t="s">
        <v>1</v>
      </c>
      <c r="I220" s="71"/>
      <c r="L220" s="191"/>
      <c r="M220" s="199"/>
      <c r="N220" s="200"/>
      <c r="O220" s="200"/>
      <c r="P220" s="200"/>
      <c r="Q220" s="200"/>
      <c r="R220" s="200"/>
      <c r="S220" s="200"/>
      <c r="T220" s="201"/>
      <c r="AT220" s="194" t="s">
        <v>121</v>
      </c>
      <c r="AU220" s="194" t="s">
        <v>76</v>
      </c>
      <c r="AV220" s="198" t="s">
        <v>73</v>
      </c>
      <c r="AW220" s="198" t="s">
        <v>32</v>
      </c>
      <c r="AX220" s="198" t="s">
        <v>68</v>
      </c>
      <c r="AY220" s="194" t="s">
        <v>114</v>
      </c>
    </row>
    <row r="221" spans="2:51" s="208" customFormat="1" ht="12">
      <c r="B221" s="202"/>
      <c r="C221" s="203"/>
      <c r="D221" s="193" t="s">
        <v>121</v>
      </c>
      <c r="E221" s="204" t="s">
        <v>1</v>
      </c>
      <c r="F221" s="205" t="s">
        <v>225</v>
      </c>
      <c r="G221" s="206"/>
      <c r="H221" s="207">
        <v>36.955</v>
      </c>
      <c r="I221" s="70"/>
      <c r="L221" s="202"/>
      <c r="M221" s="209"/>
      <c r="N221" s="210"/>
      <c r="O221" s="210"/>
      <c r="P221" s="210"/>
      <c r="Q221" s="210"/>
      <c r="R221" s="210"/>
      <c r="S221" s="210"/>
      <c r="T221" s="211"/>
      <c r="AT221" s="204" t="s">
        <v>121</v>
      </c>
      <c r="AU221" s="204" t="s">
        <v>76</v>
      </c>
      <c r="AV221" s="208" t="s">
        <v>76</v>
      </c>
      <c r="AW221" s="208" t="s">
        <v>32</v>
      </c>
      <c r="AX221" s="208" t="s">
        <v>68</v>
      </c>
      <c r="AY221" s="204" t="s">
        <v>114</v>
      </c>
    </row>
    <row r="222" spans="2:51" s="208" customFormat="1" ht="12">
      <c r="B222" s="202"/>
      <c r="C222" s="203"/>
      <c r="D222" s="193" t="s">
        <v>121</v>
      </c>
      <c r="E222" s="204" t="s">
        <v>1</v>
      </c>
      <c r="F222" s="205" t="s">
        <v>226</v>
      </c>
      <c r="G222" s="206"/>
      <c r="H222" s="207">
        <v>56.85</v>
      </c>
      <c r="I222" s="70"/>
      <c r="L222" s="202"/>
      <c r="M222" s="209"/>
      <c r="N222" s="210"/>
      <c r="O222" s="210"/>
      <c r="P222" s="210"/>
      <c r="Q222" s="210"/>
      <c r="R222" s="210"/>
      <c r="S222" s="210"/>
      <c r="T222" s="211"/>
      <c r="AT222" s="204" t="s">
        <v>121</v>
      </c>
      <c r="AU222" s="204" t="s">
        <v>76</v>
      </c>
      <c r="AV222" s="208" t="s">
        <v>76</v>
      </c>
      <c r="AW222" s="208" t="s">
        <v>32</v>
      </c>
      <c r="AX222" s="208" t="s">
        <v>68</v>
      </c>
      <c r="AY222" s="204" t="s">
        <v>114</v>
      </c>
    </row>
    <row r="223" spans="2:51" s="208" customFormat="1" ht="12">
      <c r="B223" s="202"/>
      <c r="C223" s="203"/>
      <c r="D223" s="193" t="s">
        <v>121</v>
      </c>
      <c r="E223" s="204" t="s">
        <v>1</v>
      </c>
      <c r="F223" s="205" t="s">
        <v>227</v>
      </c>
      <c r="G223" s="206"/>
      <c r="H223" s="207">
        <v>31.395</v>
      </c>
      <c r="I223" s="70"/>
      <c r="L223" s="202"/>
      <c r="M223" s="209"/>
      <c r="N223" s="210"/>
      <c r="O223" s="210"/>
      <c r="P223" s="210"/>
      <c r="Q223" s="210"/>
      <c r="R223" s="210"/>
      <c r="S223" s="210"/>
      <c r="T223" s="211"/>
      <c r="AT223" s="204" t="s">
        <v>121</v>
      </c>
      <c r="AU223" s="204" t="s">
        <v>76</v>
      </c>
      <c r="AV223" s="208" t="s">
        <v>76</v>
      </c>
      <c r="AW223" s="208" t="s">
        <v>32</v>
      </c>
      <c r="AX223" s="208" t="s">
        <v>68</v>
      </c>
      <c r="AY223" s="204" t="s">
        <v>114</v>
      </c>
    </row>
    <row r="224" spans="2:51" s="208" customFormat="1" ht="12">
      <c r="B224" s="202"/>
      <c r="C224" s="203"/>
      <c r="D224" s="193" t="s">
        <v>121</v>
      </c>
      <c r="E224" s="204" t="s">
        <v>1</v>
      </c>
      <c r="F224" s="205" t="s">
        <v>228</v>
      </c>
      <c r="G224" s="206"/>
      <c r="H224" s="207">
        <v>9.715</v>
      </c>
      <c r="I224" s="70"/>
      <c r="L224" s="202"/>
      <c r="M224" s="209"/>
      <c r="N224" s="210"/>
      <c r="O224" s="210"/>
      <c r="P224" s="210"/>
      <c r="Q224" s="210"/>
      <c r="R224" s="210"/>
      <c r="S224" s="210"/>
      <c r="T224" s="211"/>
      <c r="AT224" s="204" t="s">
        <v>121</v>
      </c>
      <c r="AU224" s="204" t="s">
        <v>76</v>
      </c>
      <c r="AV224" s="208" t="s">
        <v>76</v>
      </c>
      <c r="AW224" s="208" t="s">
        <v>32</v>
      </c>
      <c r="AX224" s="208" t="s">
        <v>68</v>
      </c>
      <c r="AY224" s="204" t="s">
        <v>114</v>
      </c>
    </row>
    <row r="225" spans="2:51" s="208" customFormat="1" ht="12">
      <c r="B225" s="202"/>
      <c r="C225" s="203"/>
      <c r="D225" s="193" t="s">
        <v>121</v>
      </c>
      <c r="E225" s="204" t="s">
        <v>1</v>
      </c>
      <c r="F225" s="205" t="s">
        <v>229</v>
      </c>
      <c r="G225" s="206"/>
      <c r="H225" s="207">
        <v>19.86</v>
      </c>
      <c r="I225" s="70"/>
      <c r="L225" s="202"/>
      <c r="M225" s="209"/>
      <c r="N225" s="210"/>
      <c r="O225" s="210"/>
      <c r="P225" s="210"/>
      <c r="Q225" s="210"/>
      <c r="R225" s="210"/>
      <c r="S225" s="210"/>
      <c r="T225" s="211"/>
      <c r="AT225" s="204" t="s">
        <v>121</v>
      </c>
      <c r="AU225" s="204" t="s">
        <v>76</v>
      </c>
      <c r="AV225" s="208" t="s">
        <v>76</v>
      </c>
      <c r="AW225" s="208" t="s">
        <v>32</v>
      </c>
      <c r="AX225" s="208" t="s">
        <v>68</v>
      </c>
      <c r="AY225" s="204" t="s">
        <v>114</v>
      </c>
    </row>
    <row r="226" spans="2:51" s="208" customFormat="1" ht="12">
      <c r="B226" s="202"/>
      <c r="C226" s="203"/>
      <c r="D226" s="193" t="s">
        <v>121</v>
      </c>
      <c r="E226" s="204" t="s">
        <v>1</v>
      </c>
      <c r="F226" s="205" t="s">
        <v>230</v>
      </c>
      <c r="G226" s="206"/>
      <c r="H226" s="207">
        <v>11.62</v>
      </c>
      <c r="I226" s="70"/>
      <c r="L226" s="202"/>
      <c r="M226" s="209"/>
      <c r="N226" s="210"/>
      <c r="O226" s="210"/>
      <c r="P226" s="210"/>
      <c r="Q226" s="210"/>
      <c r="R226" s="210"/>
      <c r="S226" s="210"/>
      <c r="T226" s="211"/>
      <c r="AT226" s="204" t="s">
        <v>121</v>
      </c>
      <c r="AU226" s="204" t="s">
        <v>76</v>
      </c>
      <c r="AV226" s="208" t="s">
        <v>76</v>
      </c>
      <c r="AW226" s="208" t="s">
        <v>32</v>
      </c>
      <c r="AX226" s="208" t="s">
        <v>68</v>
      </c>
      <c r="AY226" s="204" t="s">
        <v>114</v>
      </c>
    </row>
    <row r="227" spans="2:51" s="208" customFormat="1" ht="12">
      <c r="B227" s="202"/>
      <c r="C227" s="203"/>
      <c r="D227" s="193" t="s">
        <v>121</v>
      </c>
      <c r="E227" s="204" t="s">
        <v>1</v>
      </c>
      <c r="F227" s="205" t="s">
        <v>231</v>
      </c>
      <c r="G227" s="206"/>
      <c r="H227" s="207">
        <v>30.115</v>
      </c>
      <c r="I227" s="70"/>
      <c r="L227" s="202"/>
      <c r="M227" s="209"/>
      <c r="N227" s="210"/>
      <c r="O227" s="210"/>
      <c r="P227" s="210"/>
      <c r="Q227" s="210"/>
      <c r="R227" s="210"/>
      <c r="S227" s="210"/>
      <c r="T227" s="211"/>
      <c r="AT227" s="204" t="s">
        <v>121</v>
      </c>
      <c r="AU227" s="204" t="s">
        <v>76</v>
      </c>
      <c r="AV227" s="208" t="s">
        <v>76</v>
      </c>
      <c r="AW227" s="208" t="s">
        <v>32</v>
      </c>
      <c r="AX227" s="208" t="s">
        <v>68</v>
      </c>
      <c r="AY227" s="204" t="s">
        <v>114</v>
      </c>
    </row>
    <row r="228" spans="2:51" s="208" customFormat="1" ht="12">
      <c r="B228" s="202"/>
      <c r="C228" s="203"/>
      <c r="D228" s="193" t="s">
        <v>121</v>
      </c>
      <c r="E228" s="204" t="s">
        <v>1</v>
      </c>
      <c r="F228" s="205" t="s">
        <v>232</v>
      </c>
      <c r="G228" s="206"/>
      <c r="H228" s="207">
        <v>19.565</v>
      </c>
      <c r="I228" s="70"/>
      <c r="L228" s="202"/>
      <c r="M228" s="209"/>
      <c r="N228" s="210"/>
      <c r="O228" s="210"/>
      <c r="P228" s="210"/>
      <c r="Q228" s="210"/>
      <c r="R228" s="210"/>
      <c r="S228" s="210"/>
      <c r="T228" s="211"/>
      <c r="AT228" s="204" t="s">
        <v>121</v>
      </c>
      <c r="AU228" s="204" t="s">
        <v>76</v>
      </c>
      <c r="AV228" s="208" t="s">
        <v>76</v>
      </c>
      <c r="AW228" s="208" t="s">
        <v>32</v>
      </c>
      <c r="AX228" s="208" t="s">
        <v>68</v>
      </c>
      <c r="AY228" s="204" t="s">
        <v>114</v>
      </c>
    </row>
    <row r="229" spans="2:51" s="208" customFormat="1" ht="12">
      <c r="B229" s="202"/>
      <c r="C229" s="203"/>
      <c r="D229" s="193" t="s">
        <v>121</v>
      </c>
      <c r="E229" s="204" t="s">
        <v>1</v>
      </c>
      <c r="F229" s="205" t="s">
        <v>233</v>
      </c>
      <c r="G229" s="206"/>
      <c r="H229" s="207">
        <v>33.3</v>
      </c>
      <c r="I229" s="70"/>
      <c r="L229" s="202"/>
      <c r="M229" s="209"/>
      <c r="N229" s="210"/>
      <c r="O229" s="210"/>
      <c r="P229" s="210"/>
      <c r="Q229" s="210"/>
      <c r="R229" s="210"/>
      <c r="S229" s="210"/>
      <c r="T229" s="211"/>
      <c r="AT229" s="204" t="s">
        <v>121</v>
      </c>
      <c r="AU229" s="204" t="s">
        <v>76</v>
      </c>
      <c r="AV229" s="208" t="s">
        <v>76</v>
      </c>
      <c r="AW229" s="208" t="s">
        <v>32</v>
      </c>
      <c r="AX229" s="208" t="s">
        <v>68</v>
      </c>
      <c r="AY229" s="204" t="s">
        <v>114</v>
      </c>
    </row>
    <row r="230" spans="2:51" s="208" customFormat="1" ht="12">
      <c r="B230" s="202"/>
      <c r="C230" s="203"/>
      <c r="D230" s="193" t="s">
        <v>121</v>
      </c>
      <c r="E230" s="204" t="s">
        <v>1</v>
      </c>
      <c r="F230" s="205" t="s">
        <v>234</v>
      </c>
      <c r="G230" s="206"/>
      <c r="H230" s="207">
        <v>36.2</v>
      </c>
      <c r="I230" s="70"/>
      <c r="L230" s="202"/>
      <c r="M230" s="209"/>
      <c r="N230" s="210"/>
      <c r="O230" s="210"/>
      <c r="P230" s="210"/>
      <c r="Q230" s="210"/>
      <c r="R230" s="210"/>
      <c r="S230" s="210"/>
      <c r="T230" s="211"/>
      <c r="AT230" s="204" t="s">
        <v>121</v>
      </c>
      <c r="AU230" s="204" t="s">
        <v>76</v>
      </c>
      <c r="AV230" s="208" t="s">
        <v>76</v>
      </c>
      <c r="AW230" s="208" t="s">
        <v>32</v>
      </c>
      <c r="AX230" s="208" t="s">
        <v>68</v>
      </c>
      <c r="AY230" s="204" t="s">
        <v>114</v>
      </c>
    </row>
    <row r="231" spans="2:51" s="208" customFormat="1" ht="12">
      <c r="B231" s="202"/>
      <c r="C231" s="203"/>
      <c r="D231" s="193" t="s">
        <v>121</v>
      </c>
      <c r="E231" s="204" t="s">
        <v>1</v>
      </c>
      <c r="F231" s="205" t="s">
        <v>235</v>
      </c>
      <c r="G231" s="206"/>
      <c r="H231" s="207">
        <v>16.065</v>
      </c>
      <c r="I231" s="70"/>
      <c r="L231" s="202"/>
      <c r="M231" s="209"/>
      <c r="N231" s="210"/>
      <c r="O231" s="210"/>
      <c r="P231" s="210"/>
      <c r="Q231" s="210"/>
      <c r="R231" s="210"/>
      <c r="S231" s="210"/>
      <c r="T231" s="211"/>
      <c r="AT231" s="204" t="s">
        <v>121</v>
      </c>
      <c r="AU231" s="204" t="s">
        <v>76</v>
      </c>
      <c r="AV231" s="208" t="s">
        <v>76</v>
      </c>
      <c r="AW231" s="208" t="s">
        <v>32</v>
      </c>
      <c r="AX231" s="208" t="s">
        <v>68</v>
      </c>
      <c r="AY231" s="204" t="s">
        <v>114</v>
      </c>
    </row>
    <row r="232" spans="2:51" s="208" customFormat="1" ht="12">
      <c r="B232" s="202"/>
      <c r="C232" s="203"/>
      <c r="D232" s="193" t="s">
        <v>121</v>
      </c>
      <c r="E232" s="204" t="s">
        <v>1</v>
      </c>
      <c r="F232" s="205" t="s">
        <v>236</v>
      </c>
      <c r="G232" s="206"/>
      <c r="H232" s="207">
        <v>19.085</v>
      </c>
      <c r="I232" s="70"/>
      <c r="L232" s="202"/>
      <c r="M232" s="209"/>
      <c r="N232" s="210"/>
      <c r="O232" s="210"/>
      <c r="P232" s="210"/>
      <c r="Q232" s="210"/>
      <c r="R232" s="210"/>
      <c r="S232" s="210"/>
      <c r="T232" s="211"/>
      <c r="AT232" s="204" t="s">
        <v>121</v>
      </c>
      <c r="AU232" s="204" t="s">
        <v>76</v>
      </c>
      <c r="AV232" s="208" t="s">
        <v>76</v>
      </c>
      <c r="AW232" s="208" t="s">
        <v>32</v>
      </c>
      <c r="AX232" s="208" t="s">
        <v>68</v>
      </c>
      <c r="AY232" s="204" t="s">
        <v>114</v>
      </c>
    </row>
    <row r="233" spans="2:51" s="208" customFormat="1" ht="12">
      <c r="B233" s="202"/>
      <c r="C233" s="203"/>
      <c r="D233" s="193" t="s">
        <v>121</v>
      </c>
      <c r="E233" s="204" t="s">
        <v>1</v>
      </c>
      <c r="F233" s="205" t="s">
        <v>237</v>
      </c>
      <c r="G233" s="206"/>
      <c r="H233" s="207">
        <v>28.135</v>
      </c>
      <c r="I233" s="70"/>
      <c r="L233" s="202"/>
      <c r="M233" s="209"/>
      <c r="N233" s="210"/>
      <c r="O233" s="210"/>
      <c r="P233" s="210"/>
      <c r="Q233" s="210"/>
      <c r="R233" s="210"/>
      <c r="S233" s="210"/>
      <c r="T233" s="211"/>
      <c r="AT233" s="204" t="s">
        <v>121</v>
      </c>
      <c r="AU233" s="204" t="s">
        <v>76</v>
      </c>
      <c r="AV233" s="208" t="s">
        <v>76</v>
      </c>
      <c r="AW233" s="208" t="s">
        <v>32</v>
      </c>
      <c r="AX233" s="208" t="s">
        <v>68</v>
      </c>
      <c r="AY233" s="204" t="s">
        <v>114</v>
      </c>
    </row>
    <row r="234" spans="2:51" s="208" customFormat="1" ht="12">
      <c r="B234" s="202"/>
      <c r="C234" s="203"/>
      <c r="D234" s="193" t="s">
        <v>121</v>
      </c>
      <c r="E234" s="204" t="s">
        <v>1</v>
      </c>
      <c r="F234" s="205" t="s">
        <v>238</v>
      </c>
      <c r="G234" s="206"/>
      <c r="H234" s="207">
        <v>22.68</v>
      </c>
      <c r="I234" s="70"/>
      <c r="L234" s="202"/>
      <c r="M234" s="209"/>
      <c r="N234" s="210"/>
      <c r="O234" s="210"/>
      <c r="P234" s="210"/>
      <c r="Q234" s="210"/>
      <c r="R234" s="210"/>
      <c r="S234" s="210"/>
      <c r="T234" s="211"/>
      <c r="AT234" s="204" t="s">
        <v>121</v>
      </c>
      <c r="AU234" s="204" t="s">
        <v>76</v>
      </c>
      <c r="AV234" s="208" t="s">
        <v>76</v>
      </c>
      <c r="AW234" s="208" t="s">
        <v>32</v>
      </c>
      <c r="AX234" s="208" t="s">
        <v>68</v>
      </c>
      <c r="AY234" s="204" t="s">
        <v>114</v>
      </c>
    </row>
    <row r="235" spans="2:51" s="208" customFormat="1" ht="12">
      <c r="B235" s="202"/>
      <c r="C235" s="203"/>
      <c r="D235" s="193" t="s">
        <v>121</v>
      </c>
      <c r="E235" s="204" t="s">
        <v>1</v>
      </c>
      <c r="F235" s="205" t="s">
        <v>239</v>
      </c>
      <c r="G235" s="206"/>
      <c r="H235" s="207">
        <v>29.128</v>
      </c>
      <c r="I235" s="70"/>
      <c r="L235" s="202"/>
      <c r="M235" s="209"/>
      <c r="N235" s="210"/>
      <c r="O235" s="210"/>
      <c r="P235" s="210"/>
      <c r="Q235" s="210"/>
      <c r="R235" s="210"/>
      <c r="S235" s="210"/>
      <c r="T235" s="211"/>
      <c r="AT235" s="204" t="s">
        <v>121</v>
      </c>
      <c r="AU235" s="204" t="s">
        <v>76</v>
      </c>
      <c r="AV235" s="208" t="s">
        <v>76</v>
      </c>
      <c r="AW235" s="208" t="s">
        <v>32</v>
      </c>
      <c r="AX235" s="208" t="s">
        <v>68</v>
      </c>
      <c r="AY235" s="204" t="s">
        <v>114</v>
      </c>
    </row>
    <row r="236" spans="2:51" s="208" customFormat="1" ht="12">
      <c r="B236" s="202"/>
      <c r="C236" s="203"/>
      <c r="D236" s="193" t="s">
        <v>121</v>
      </c>
      <c r="E236" s="204" t="s">
        <v>1</v>
      </c>
      <c r="F236" s="205" t="s">
        <v>240</v>
      </c>
      <c r="G236" s="206"/>
      <c r="H236" s="207">
        <v>18.981</v>
      </c>
      <c r="I236" s="70"/>
      <c r="L236" s="202"/>
      <c r="M236" s="209"/>
      <c r="N236" s="210"/>
      <c r="O236" s="210"/>
      <c r="P236" s="210"/>
      <c r="Q236" s="210"/>
      <c r="R236" s="210"/>
      <c r="S236" s="210"/>
      <c r="T236" s="211"/>
      <c r="AT236" s="204" t="s">
        <v>121</v>
      </c>
      <c r="AU236" s="204" t="s">
        <v>76</v>
      </c>
      <c r="AV236" s="208" t="s">
        <v>76</v>
      </c>
      <c r="AW236" s="208" t="s">
        <v>32</v>
      </c>
      <c r="AX236" s="208" t="s">
        <v>68</v>
      </c>
      <c r="AY236" s="204" t="s">
        <v>114</v>
      </c>
    </row>
    <row r="237" spans="2:51" s="208" customFormat="1" ht="12">
      <c r="B237" s="202"/>
      <c r="C237" s="203"/>
      <c r="D237" s="193" t="s">
        <v>121</v>
      </c>
      <c r="E237" s="204" t="s">
        <v>1</v>
      </c>
      <c r="F237" s="205" t="s">
        <v>241</v>
      </c>
      <c r="G237" s="206"/>
      <c r="H237" s="207">
        <v>37.62</v>
      </c>
      <c r="I237" s="70"/>
      <c r="L237" s="202"/>
      <c r="M237" s="209"/>
      <c r="N237" s="210"/>
      <c r="O237" s="210"/>
      <c r="P237" s="210"/>
      <c r="Q237" s="210"/>
      <c r="R237" s="210"/>
      <c r="S237" s="210"/>
      <c r="T237" s="211"/>
      <c r="AT237" s="204" t="s">
        <v>121</v>
      </c>
      <c r="AU237" s="204" t="s">
        <v>76</v>
      </c>
      <c r="AV237" s="208" t="s">
        <v>76</v>
      </c>
      <c r="AW237" s="208" t="s">
        <v>32</v>
      </c>
      <c r="AX237" s="208" t="s">
        <v>68</v>
      </c>
      <c r="AY237" s="204" t="s">
        <v>114</v>
      </c>
    </row>
    <row r="238" spans="2:51" s="208" customFormat="1" ht="12">
      <c r="B238" s="202"/>
      <c r="C238" s="203"/>
      <c r="D238" s="193" t="s">
        <v>121</v>
      </c>
      <c r="E238" s="204" t="s">
        <v>1</v>
      </c>
      <c r="F238" s="205" t="s">
        <v>242</v>
      </c>
      <c r="G238" s="206"/>
      <c r="H238" s="207">
        <v>36.771</v>
      </c>
      <c r="I238" s="70"/>
      <c r="L238" s="202"/>
      <c r="M238" s="209"/>
      <c r="N238" s="210"/>
      <c r="O238" s="210"/>
      <c r="P238" s="210"/>
      <c r="Q238" s="210"/>
      <c r="R238" s="210"/>
      <c r="S238" s="210"/>
      <c r="T238" s="211"/>
      <c r="AT238" s="204" t="s">
        <v>121</v>
      </c>
      <c r="AU238" s="204" t="s">
        <v>76</v>
      </c>
      <c r="AV238" s="208" t="s">
        <v>76</v>
      </c>
      <c r="AW238" s="208" t="s">
        <v>32</v>
      </c>
      <c r="AX238" s="208" t="s">
        <v>68</v>
      </c>
      <c r="AY238" s="204" t="s">
        <v>114</v>
      </c>
    </row>
    <row r="239" spans="2:51" s="208" customFormat="1" ht="12">
      <c r="B239" s="202"/>
      <c r="C239" s="203"/>
      <c r="D239" s="193" t="s">
        <v>121</v>
      </c>
      <c r="E239" s="204" t="s">
        <v>1</v>
      </c>
      <c r="F239" s="205" t="s">
        <v>243</v>
      </c>
      <c r="G239" s="206"/>
      <c r="H239" s="207">
        <v>24.455</v>
      </c>
      <c r="I239" s="70"/>
      <c r="L239" s="202"/>
      <c r="M239" s="209"/>
      <c r="N239" s="210"/>
      <c r="O239" s="210"/>
      <c r="P239" s="210"/>
      <c r="Q239" s="210"/>
      <c r="R239" s="210"/>
      <c r="S239" s="210"/>
      <c r="T239" s="211"/>
      <c r="AT239" s="204" t="s">
        <v>121</v>
      </c>
      <c r="AU239" s="204" t="s">
        <v>76</v>
      </c>
      <c r="AV239" s="208" t="s">
        <v>76</v>
      </c>
      <c r="AW239" s="208" t="s">
        <v>32</v>
      </c>
      <c r="AX239" s="208" t="s">
        <v>68</v>
      </c>
      <c r="AY239" s="204" t="s">
        <v>114</v>
      </c>
    </row>
    <row r="240" spans="2:51" s="198" customFormat="1" ht="12">
      <c r="B240" s="191"/>
      <c r="C240" s="192"/>
      <c r="D240" s="193" t="s">
        <v>121</v>
      </c>
      <c r="E240" s="194" t="s">
        <v>1</v>
      </c>
      <c r="F240" s="195" t="s">
        <v>144</v>
      </c>
      <c r="G240" s="196"/>
      <c r="H240" s="197" t="s">
        <v>1</v>
      </c>
      <c r="I240" s="71"/>
      <c r="L240" s="191"/>
      <c r="M240" s="199"/>
      <c r="N240" s="200"/>
      <c r="O240" s="200"/>
      <c r="P240" s="200"/>
      <c r="Q240" s="200"/>
      <c r="R240" s="200"/>
      <c r="S240" s="200"/>
      <c r="T240" s="201"/>
      <c r="AT240" s="194" t="s">
        <v>121</v>
      </c>
      <c r="AU240" s="194" t="s">
        <v>76</v>
      </c>
      <c r="AV240" s="198" t="s">
        <v>73</v>
      </c>
      <c r="AW240" s="198" t="s">
        <v>32</v>
      </c>
      <c r="AX240" s="198" t="s">
        <v>68</v>
      </c>
      <c r="AY240" s="194" t="s">
        <v>114</v>
      </c>
    </row>
    <row r="241" spans="2:51" s="208" customFormat="1" ht="12">
      <c r="B241" s="202"/>
      <c r="C241" s="203"/>
      <c r="D241" s="193" t="s">
        <v>121</v>
      </c>
      <c r="E241" s="204" t="s">
        <v>1</v>
      </c>
      <c r="F241" s="205" t="s">
        <v>244</v>
      </c>
      <c r="G241" s="206"/>
      <c r="H241" s="207">
        <v>92.8</v>
      </c>
      <c r="I241" s="70"/>
      <c r="L241" s="202"/>
      <c r="M241" s="209"/>
      <c r="N241" s="210"/>
      <c r="O241" s="210"/>
      <c r="P241" s="210"/>
      <c r="Q241" s="210"/>
      <c r="R241" s="210"/>
      <c r="S241" s="210"/>
      <c r="T241" s="211"/>
      <c r="AT241" s="204" t="s">
        <v>121</v>
      </c>
      <c r="AU241" s="204" t="s">
        <v>76</v>
      </c>
      <c r="AV241" s="208" t="s">
        <v>76</v>
      </c>
      <c r="AW241" s="208" t="s">
        <v>32</v>
      </c>
      <c r="AX241" s="208" t="s">
        <v>68</v>
      </c>
      <c r="AY241" s="204" t="s">
        <v>114</v>
      </c>
    </row>
    <row r="242" spans="2:51" s="228" customFormat="1" ht="12">
      <c r="B242" s="222"/>
      <c r="C242" s="223"/>
      <c r="D242" s="193" t="s">
        <v>121</v>
      </c>
      <c r="E242" s="224" t="s">
        <v>1</v>
      </c>
      <c r="F242" s="225" t="s">
        <v>150</v>
      </c>
      <c r="G242" s="226"/>
      <c r="H242" s="227">
        <f>SUM(H205:H241)</f>
        <v>877.3030000000001</v>
      </c>
      <c r="I242" s="72"/>
      <c r="L242" s="222"/>
      <c r="M242" s="229"/>
      <c r="N242" s="230"/>
      <c r="O242" s="230"/>
      <c r="P242" s="230"/>
      <c r="Q242" s="230"/>
      <c r="R242" s="230"/>
      <c r="S242" s="230"/>
      <c r="T242" s="231"/>
      <c r="AT242" s="224" t="s">
        <v>121</v>
      </c>
      <c r="AU242" s="224" t="s">
        <v>76</v>
      </c>
      <c r="AV242" s="228" t="s">
        <v>119</v>
      </c>
      <c r="AW242" s="228" t="s">
        <v>32</v>
      </c>
      <c r="AX242" s="228" t="s">
        <v>73</v>
      </c>
      <c r="AY242" s="224" t="s">
        <v>114</v>
      </c>
    </row>
    <row r="243" spans="2:65" s="92" customFormat="1" ht="16.5" customHeight="1">
      <c r="B243" s="90"/>
      <c r="C243" s="177" t="s">
        <v>245</v>
      </c>
      <c r="D243" s="178" t="s">
        <v>116</v>
      </c>
      <c r="E243" s="179" t="s">
        <v>246</v>
      </c>
      <c r="F243" s="232" t="s">
        <v>247</v>
      </c>
      <c r="G243" s="233" t="s">
        <v>153</v>
      </c>
      <c r="H243" s="234">
        <f>H250</f>
        <v>70.947</v>
      </c>
      <c r="I243" s="69"/>
      <c r="J243" s="184">
        <f>ROUND(I243*H243,2)</f>
        <v>0</v>
      </c>
      <c r="K243" s="180" t="s">
        <v>154</v>
      </c>
      <c r="L243" s="90"/>
      <c r="M243" s="185" t="s">
        <v>1</v>
      </c>
      <c r="N243" s="186" t="s">
        <v>41</v>
      </c>
      <c r="O243" s="187"/>
      <c r="P243" s="188">
        <f>O243*H243</f>
        <v>0</v>
      </c>
      <c r="Q243" s="188">
        <v>0.00085</v>
      </c>
      <c r="R243" s="188">
        <f>Q243*H243</f>
        <v>0.060304949999999996</v>
      </c>
      <c r="S243" s="188">
        <v>0</v>
      </c>
      <c r="T243" s="189">
        <f>S243*H243</f>
        <v>0</v>
      </c>
      <c r="AR243" s="81" t="s">
        <v>119</v>
      </c>
      <c r="AT243" s="81" t="s">
        <v>116</v>
      </c>
      <c r="AU243" s="81" t="s">
        <v>76</v>
      </c>
      <c r="AY243" s="81" t="s">
        <v>114</v>
      </c>
      <c r="BE243" s="190">
        <f>IF(N243="základní",J243,0)</f>
        <v>0</v>
      </c>
      <c r="BF243" s="190">
        <f>IF(N243="snížená",J243,0)</f>
        <v>0</v>
      </c>
      <c r="BG243" s="190">
        <f>IF(N243="zákl. přenesená",J243,0)</f>
        <v>0</v>
      </c>
      <c r="BH243" s="190">
        <f>IF(N243="sníž. přenesená",J243,0)</f>
        <v>0</v>
      </c>
      <c r="BI243" s="190">
        <f>IF(N243="nulová",J243,0)</f>
        <v>0</v>
      </c>
      <c r="BJ243" s="81" t="s">
        <v>73</v>
      </c>
      <c r="BK243" s="190">
        <f>ROUND(I243*H243,2)</f>
        <v>0</v>
      </c>
      <c r="BL243" s="81" t="s">
        <v>119</v>
      </c>
      <c r="BM243" s="81" t="s">
        <v>248</v>
      </c>
    </row>
    <row r="244" spans="2:51" s="198" customFormat="1" ht="12">
      <c r="B244" s="191"/>
      <c r="D244" s="193" t="s">
        <v>121</v>
      </c>
      <c r="E244" s="194" t="s">
        <v>1</v>
      </c>
      <c r="F244" s="195" t="s">
        <v>801</v>
      </c>
      <c r="G244" s="196"/>
      <c r="H244" s="197" t="s">
        <v>1</v>
      </c>
      <c r="I244" s="71"/>
      <c r="L244" s="191"/>
      <c r="M244" s="199"/>
      <c r="N244" s="200"/>
      <c r="O244" s="200"/>
      <c r="P244" s="200"/>
      <c r="Q244" s="200"/>
      <c r="R244" s="200"/>
      <c r="S244" s="200"/>
      <c r="T244" s="201"/>
      <c r="AT244" s="194" t="s">
        <v>121</v>
      </c>
      <c r="AU244" s="194" t="s">
        <v>76</v>
      </c>
      <c r="AV244" s="198" t="s">
        <v>73</v>
      </c>
      <c r="AW244" s="198" t="s">
        <v>32</v>
      </c>
      <c r="AX244" s="198" t="s">
        <v>68</v>
      </c>
      <c r="AY244" s="194" t="s">
        <v>114</v>
      </c>
    </row>
    <row r="245" spans="2:51" s="208" customFormat="1" ht="12">
      <c r="B245" s="202"/>
      <c r="D245" s="193" t="s">
        <v>121</v>
      </c>
      <c r="E245" s="204" t="s">
        <v>1</v>
      </c>
      <c r="F245" s="205" t="s">
        <v>983</v>
      </c>
      <c r="G245" s="206"/>
      <c r="H245" s="207">
        <v>19.125</v>
      </c>
      <c r="I245" s="70"/>
      <c r="L245" s="202"/>
      <c r="M245" s="209"/>
      <c r="N245" s="210"/>
      <c r="O245" s="210"/>
      <c r="P245" s="210"/>
      <c r="Q245" s="210"/>
      <c r="R245" s="210"/>
      <c r="S245" s="210"/>
      <c r="T245" s="211"/>
      <c r="AT245" s="204" t="s">
        <v>121</v>
      </c>
      <c r="AU245" s="204" t="s">
        <v>76</v>
      </c>
      <c r="AV245" s="208" t="s">
        <v>76</v>
      </c>
      <c r="AW245" s="208" t="s">
        <v>32</v>
      </c>
      <c r="AX245" s="208" t="s">
        <v>68</v>
      </c>
      <c r="AY245" s="204" t="s">
        <v>114</v>
      </c>
    </row>
    <row r="246" spans="2:51" s="208" customFormat="1" ht="12">
      <c r="B246" s="202"/>
      <c r="D246" s="193" t="s">
        <v>121</v>
      </c>
      <c r="E246" s="204" t="s">
        <v>1</v>
      </c>
      <c r="F246" s="205" t="s">
        <v>984</v>
      </c>
      <c r="G246" s="206"/>
      <c r="H246" s="207">
        <v>10.52</v>
      </c>
      <c r="I246" s="70"/>
      <c r="L246" s="202"/>
      <c r="M246" s="209"/>
      <c r="N246" s="210"/>
      <c r="O246" s="210"/>
      <c r="P246" s="210"/>
      <c r="Q246" s="210"/>
      <c r="R246" s="210"/>
      <c r="S246" s="210"/>
      <c r="T246" s="211"/>
      <c r="AT246" s="204" t="s">
        <v>121</v>
      </c>
      <c r="AU246" s="204" t="s">
        <v>76</v>
      </c>
      <c r="AV246" s="208" t="s">
        <v>76</v>
      </c>
      <c r="AW246" s="208" t="s">
        <v>32</v>
      </c>
      <c r="AX246" s="208" t="s">
        <v>68</v>
      </c>
      <c r="AY246" s="204" t="s">
        <v>114</v>
      </c>
    </row>
    <row r="247" spans="2:51" s="198" customFormat="1" ht="12">
      <c r="B247" s="191"/>
      <c r="C247" s="192"/>
      <c r="D247" s="193" t="s">
        <v>121</v>
      </c>
      <c r="E247" s="194" t="s">
        <v>1</v>
      </c>
      <c r="F247" s="195" t="s">
        <v>249</v>
      </c>
      <c r="G247" s="196"/>
      <c r="H247" s="197" t="s">
        <v>1</v>
      </c>
      <c r="I247" s="71"/>
      <c r="L247" s="191"/>
      <c r="M247" s="199"/>
      <c r="N247" s="200"/>
      <c r="O247" s="200"/>
      <c r="P247" s="200"/>
      <c r="Q247" s="200"/>
      <c r="R247" s="200"/>
      <c r="S247" s="200"/>
      <c r="T247" s="201"/>
      <c r="AT247" s="194" t="s">
        <v>121</v>
      </c>
      <c r="AU247" s="194" t="s">
        <v>76</v>
      </c>
      <c r="AV247" s="198" t="s">
        <v>73</v>
      </c>
      <c r="AW247" s="198" t="s">
        <v>32</v>
      </c>
      <c r="AX247" s="198" t="s">
        <v>68</v>
      </c>
      <c r="AY247" s="194" t="s">
        <v>114</v>
      </c>
    </row>
    <row r="248" spans="2:51" s="208" customFormat="1" ht="12">
      <c r="B248" s="202"/>
      <c r="C248" s="203"/>
      <c r="D248" s="193" t="s">
        <v>121</v>
      </c>
      <c r="E248" s="204" t="s">
        <v>1</v>
      </c>
      <c r="F248" s="205" t="s">
        <v>250</v>
      </c>
      <c r="G248" s="206"/>
      <c r="H248" s="207">
        <v>43.99</v>
      </c>
      <c r="I248" s="70"/>
      <c r="L248" s="202"/>
      <c r="M248" s="209"/>
      <c r="N248" s="210"/>
      <c r="O248" s="210"/>
      <c r="P248" s="210"/>
      <c r="Q248" s="210"/>
      <c r="R248" s="210"/>
      <c r="S248" s="210"/>
      <c r="T248" s="211"/>
      <c r="AT248" s="204" t="s">
        <v>121</v>
      </c>
      <c r="AU248" s="204" t="s">
        <v>76</v>
      </c>
      <c r="AV248" s="208" t="s">
        <v>76</v>
      </c>
      <c r="AW248" s="208" t="s">
        <v>32</v>
      </c>
      <c r="AX248" s="208" t="s">
        <v>68</v>
      </c>
      <c r="AY248" s="204" t="s">
        <v>114</v>
      </c>
    </row>
    <row r="249" spans="2:51" s="208" customFormat="1" ht="12">
      <c r="B249" s="202"/>
      <c r="C249" s="203"/>
      <c r="D249" s="193" t="s">
        <v>121</v>
      </c>
      <c r="E249" s="204" t="s">
        <v>1</v>
      </c>
      <c r="F249" s="205" t="s">
        <v>251</v>
      </c>
      <c r="G249" s="206"/>
      <c r="H249" s="207">
        <v>-2.688</v>
      </c>
      <c r="I249" s="70"/>
      <c r="L249" s="202"/>
      <c r="M249" s="209"/>
      <c r="N249" s="210"/>
      <c r="O249" s="210"/>
      <c r="P249" s="210"/>
      <c r="Q249" s="210"/>
      <c r="R249" s="210"/>
      <c r="S249" s="210"/>
      <c r="T249" s="211"/>
      <c r="AT249" s="204" t="s">
        <v>121</v>
      </c>
      <c r="AU249" s="204" t="s">
        <v>76</v>
      </c>
      <c r="AV249" s="208" t="s">
        <v>76</v>
      </c>
      <c r="AW249" s="208" t="s">
        <v>32</v>
      </c>
      <c r="AX249" s="208" t="s">
        <v>68</v>
      </c>
      <c r="AY249" s="204" t="s">
        <v>114</v>
      </c>
    </row>
    <row r="250" spans="2:51" s="228" customFormat="1" ht="12">
      <c r="B250" s="222"/>
      <c r="C250" s="223"/>
      <c r="D250" s="193" t="s">
        <v>121</v>
      </c>
      <c r="E250" s="224" t="s">
        <v>1</v>
      </c>
      <c r="F250" s="225" t="s">
        <v>150</v>
      </c>
      <c r="G250" s="226"/>
      <c r="H250" s="227">
        <f>SUM(H245:H249)</f>
        <v>70.947</v>
      </c>
      <c r="I250" s="72"/>
      <c r="L250" s="222"/>
      <c r="M250" s="229"/>
      <c r="N250" s="230"/>
      <c r="O250" s="230"/>
      <c r="P250" s="230"/>
      <c r="Q250" s="230"/>
      <c r="R250" s="230"/>
      <c r="S250" s="230"/>
      <c r="T250" s="231"/>
      <c r="AT250" s="224" t="s">
        <v>121</v>
      </c>
      <c r="AU250" s="224" t="s">
        <v>76</v>
      </c>
      <c r="AV250" s="228" t="s">
        <v>119</v>
      </c>
      <c r="AW250" s="228" t="s">
        <v>32</v>
      </c>
      <c r="AX250" s="228" t="s">
        <v>73</v>
      </c>
      <c r="AY250" s="224" t="s">
        <v>114</v>
      </c>
    </row>
    <row r="251" spans="2:65" s="92" customFormat="1" ht="16.5" customHeight="1">
      <c r="B251" s="90"/>
      <c r="C251" s="177" t="s">
        <v>252</v>
      </c>
      <c r="D251" s="178" t="s">
        <v>116</v>
      </c>
      <c r="E251" s="179" t="s">
        <v>253</v>
      </c>
      <c r="F251" s="232" t="s">
        <v>254</v>
      </c>
      <c r="G251" s="233" t="s">
        <v>153</v>
      </c>
      <c r="H251" s="234">
        <f>H203</f>
        <v>877.3030000000001</v>
      </c>
      <c r="I251" s="69"/>
      <c r="J251" s="184">
        <f>ROUND(I251*H251,2)</f>
        <v>0</v>
      </c>
      <c r="K251" s="180" t="s">
        <v>154</v>
      </c>
      <c r="L251" s="90"/>
      <c r="M251" s="185" t="s">
        <v>1</v>
      </c>
      <c r="N251" s="186" t="s">
        <v>41</v>
      </c>
      <c r="O251" s="187"/>
      <c r="P251" s="188">
        <f>O251*H251</f>
        <v>0</v>
      </c>
      <c r="Q251" s="188">
        <v>0</v>
      </c>
      <c r="R251" s="188">
        <f>Q251*H251</f>
        <v>0</v>
      </c>
      <c r="S251" s="188">
        <v>0</v>
      </c>
      <c r="T251" s="189">
        <f>S251*H251</f>
        <v>0</v>
      </c>
      <c r="AR251" s="81" t="s">
        <v>119</v>
      </c>
      <c r="AT251" s="81" t="s">
        <v>116</v>
      </c>
      <c r="AU251" s="81" t="s">
        <v>76</v>
      </c>
      <c r="AY251" s="81" t="s">
        <v>114</v>
      </c>
      <c r="BE251" s="190">
        <f>IF(N251="základní",J251,0)</f>
        <v>0</v>
      </c>
      <c r="BF251" s="190">
        <f>IF(N251="snížená",J251,0)</f>
        <v>0</v>
      </c>
      <c r="BG251" s="190">
        <f>IF(N251="zákl. přenesená",J251,0)</f>
        <v>0</v>
      </c>
      <c r="BH251" s="190">
        <f>IF(N251="sníž. přenesená",J251,0)</f>
        <v>0</v>
      </c>
      <c r="BI251" s="190">
        <f>IF(N251="nulová",J251,0)</f>
        <v>0</v>
      </c>
      <c r="BJ251" s="81" t="s">
        <v>73</v>
      </c>
      <c r="BK251" s="190">
        <f>ROUND(I251*H251,2)</f>
        <v>0</v>
      </c>
      <c r="BL251" s="81" t="s">
        <v>119</v>
      </c>
      <c r="BM251" s="81" t="s">
        <v>255</v>
      </c>
    </row>
    <row r="252" spans="2:65" s="92" customFormat="1" ht="16.5" customHeight="1">
      <c r="B252" s="90"/>
      <c r="C252" s="177" t="s">
        <v>256</v>
      </c>
      <c r="D252" s="178" t="s">
        <v>116</v>
      </c>
      <c r="E252" s="179" t="s">
        <v>257</v>
      </c>
      <c r="F252" s="232" t="s">
        <v>258</v>
      </c>
      <c r="G252" s="233" t="s">
        <v>153</v>
      </c>
      <c r="H252" s="234">
        <f>H243</f>
        <v>70.947</v>
      </c>
      <c r="I252" s="69"/>
      <c r="J252" s="184">
        <f>ROUND(I252*H252,2)</f>
        <v>0</v>
      </c>
      <c r="K252" s="180" t="s">
        <v>154</v>
      </c>
      <c r="L252" s="90"/>
      <c r="M252" s="185" t="s">
        <v>1</v>
      </c>
      <c r="N252" s="186" t="s">
        <v>41</v>
      </c>
      <c r="O252" s="187"/>
      <c r="P252" s="188">
        <f>O252*H252</f>
        <v>0</v>
      </c>
      <c r="Q252" s="188">
        <v>0</v>
      </c>
      <c r="R252" s="188">
        <f>Q252*H252</f>
        <v>0</v>
      </c>
      <c r="S252" s="188">
        <v>0</v>
      </c>
      <c r="T252" s="189">
        <f>S252*H252</f>
        <v>0</v>
      </c>
      <c r="AR252" s="81" t="s">
        <v>119</v>
      </c>
      <c r="AT252" s="81" t="s">
        <v>116</v>
      </c>
      <c r="AU252" s="81" t="s">
        <v>76</v>
      </c>
      <c r="AY252" s="81" t="s">
        <v>114</v>
      </c>
      <c r="BE252" s="190">
        <f>IF(N252="základní",J252,0)</f>
        <v>0</v>
      </c>
      <c r="BF252" s="190">
        <f>IF(N252="snížená",J252,0)</f>
        <v>0</v>
      </c>
      <c r="BG252" s="190">
        <f>IF(N252="zákl. přenesená",J252,0)</f>
        <v>0</v>
      </c>
      <c r="BH252" s="190">
        <f>IF(N252="sníž. přenesená",J252,0)</f>
        <v>0</v>
      </c>
      <c r="BI252" s="190">
        <f>IF(N252="nulová",J252,0)</f>
        <v>0</v>
      </c>
      <c r="BJ252" s="81" t="s">
        <v>73</v>
      </c>
      <c r="BK252" s="190">
        <f>ROUND(I252*H252,2)</f>
        <v>0</v>
      </c>
      <c r="BL252" s="81" t="s">
        <v>119</v>
      </c>
      <c r="BM252" s="81" t="s">
        <v>259</v>
      </c>
    </row>
    <row r="253" spans="2:65" s="92" customFormat="1" ht="16.5" customHeight="1">
      <c r="B253" s="90"/>
      <c r="C253" s="177" t="s">
        <v>260</v>
      </c>
      <c r="D253" s="178" t="s">
        <v>116</v>
      </c>
      <c r="E253" s="179" t="s">
        <v>261</v>
      </c>
      <c r="F253" s="232" t="s">
        <v>262</v>
      </c>
      <c r="G253" s="233" t="s">
        <v>191</v>
      </c>
      <c r="H253" s="234">
        <f>H257</f>
        <v>180.5225</v>
      </c>
      <c r="I253" s="69"/>
      <c r="J253" s="184">
        <f>ROUND(I253*H253,2)</f>
        <v>0</v>
      </c>
      <c r="K253" s="180" t="s">
        <v>154</v>
      </c>
      <c r="L253" s="90"/>
      <c r="M253" s="185" t="s">
        <v>1</v>
      </c>
      <c r="N253" s="186" t="s">
        <v>41</v>
      </c>
      <c r="O253" s="187"/>
      <c r="P253" s="188">
        <f>O253*H253</f>
        <v>0</v>
      </c>
      <c r="Q253" s="188">
        <v>0</v>
      </c>
      <c r="R253" s="188">
        <f>Q253*H253</f>
        <v>0</v>
      </c>
      <c r="S253" s="188">
        <v>0</v>
      </c>
      <c r="T253" s="189">
        <f>S253*H253</f>
        <v>0</v>
      </c>
      <c r="AR253" s="81" t="s">
        <v>119</v>
      </c>
      <c r="AT253" s="81" t="s">
        <v>116</v>
      </c>
      <c r="AU253" s="81" t="s">
        <v>76</v>
      </c>
      <c r="AY253" s="81" t="s">
        <v>114</v>
      </c>
      <c r="BE253" s="190">
        <f>IF(N253="základní",J253,0)</f>
        <v>0</v>
      </c>
      <c r="BF253" s="190">
        <f>IF(N253="snížená",J253,0)</f>
        <v>0</v>
      </c>
      <c r="BG253" s="190">
        <f>IF(N253="zákl. přenesená",J253,0)</f>
        <v>0</v>
      </c>
      <c r="BH253" s="190">
        <f>IF(N253="sníž. přenesená",J253,0)</f>
        <v>0</v>
      </c>
      <c r="BI253" s="190">
        <f>IF(N253="nulová",J253,0)</f>
        <v>0</v>
      </c>
      <c r="BJ253" s="81" t="s">
        <v>73</v>
      </c>
      <c r="BK253" s="190">
        <f>ROUND(I253*H253,2)</f>
        <v>0</v>
      </c>
      <c r="BL253" s="81" t="s">
        <v>119</v>
      </c>
      <c r="BM253" s="81" t="s">
        <v>263</v>
      </c>
    </row>
    <row r="254" spans="2:51" s="198" customFormat="1" ht="12">
      <c r="B254" s="191"/>
      <c r="C254" s="192"/>
      <c r="D254" s="193" t="s">
        <v>121</v>
      </c>
      <c r="E254" s="194" t="s">
        <v>1</v>
      </c>
      <c r="F254" s="195" t="s">
        <v>264</v>
      </c>
      <c r="G254" s="196"/>
      <c r="H254" s="197" t="s">
        <v>1</v>
      </c>
      <c r="I254" s="71"/>
      <c r="L254" s="191"/>
      <c r="M254" s="199"/>
      <c r="N254" s="200"/>
      <c r="O254" s="200"/>
      <c r="P254" s="200"/>
      <c r="Q254" s="200"/>
      <c r="R254" s="200"/>
      <c r="S254" s="200"/>
      <c r="T254" s="201"/>
      <c r="AT254" s="194" t="s">
        <v>121</v>
      </c>
      <c r="AU254" s="194" t="s">
        <v>76</v>
      </c>
      <c r="AV254" s="198" t="s">
        <v>73</v>
      </c>
      <c r="AW254" s="198" t="s">
        <v>32</v>
      </c>
      <c r="AX254" s="198" t="s">
        <v>68</v>
      </c>
      <c r="AY254" s="194" t="s">
        <v>114</v>
      </c>
    </row>
    <row r="255" spans="2:51" s="198" customFormat="1" ht="12">
      <c r="B255" s="191"/>
      <c r="C255" s="192"/>
      <c r="D255" s="193" t="s">
        <v>121</v>
      </c>
      <c r="E255" s="194" t="s">
        <v>1</v>
      </c>
      <c r="F255" s="195" t="s">
        <v>265</v>
      </c>
      <c r="G255" s="196"/>
      <c r="H255" s="197" t="s">
        <v>1</v>
      </c>
      <c r="I255" s="71"/>
      <c r="L255" s="191"/>
      <c r="M255" s="199"/>
      <c r="N255" s="200"/>
      <c r="O255" s="200"/>
      <c r="P255" s="200"/>
      <c r="Q255" s="200"/>
      <c r="R255" s="200"/>
      <c r="S255" s="200"/>
      <c r="T255" s="201"/>
      <c r="AT255" s="194" t="s">
        <v>121</v>
      </c>
      <c r="AU255" s="194" t="s">
        <v>76</v>
      </c>
      <c r="AV255" s="198" t="s">
        <v>73</v>
      </c>
      <c r="AW255" s="198" t="s">
        <v>32</v>
      </c>
      <c r="AX255" s="198" t="s">
        <v>68</v>
      </c>
      <c r="AY255" s="194" t="s">
        <v>114</v>
      </c>
    </row>
    <row r="256" spans="2:51" s="208" customFormat="1" ht="12">
      <c r="B256" s="202"/>
      <c r="C256" s="203"/>
      <c r="D256" s="193" t="s">
        <v>121</v>
      </c>
      <c r="E256" s="204" t="s">
        <v>1</v>
      </c>
      <c r="F256" s="205" t="s">
        <v>1470</v>
      </c>
      <c r="G256" s="206"/>
      <c r="H256" s="207">
        <f>361.045*0.5</f>
        <v>180.5225</v>
      </c>
      <c r="I256" s="70"/>
      <c r="L256" s="202"/>
      <c r="M256" s="209"/>
      <c r="N256" s="210"/>
      <c r="O256" s="210"/>
      <c r="P256" s="210"/>
      <c r="Q256" s="210"/>
      <c r="R256" s="210"/>
      <c r="S256" s="210"/>
      <c r="T256" s="211"/>
      <c r="AT256" s="204" t="s">
        <v>121</v>
      </c>
      <c r="AU256" s="204" t="s">
        <v>76</v>
      </c>
      <c r="AV256" s="208" t="s">
        <v>76</v>
      </c>
      <c r="AW256" s="208" t="s">
        <v>32</v>
      </c>
      <c r="AX256" s="208" t="s">
        <v>68</v>
      </c>
      <c r="AY256" s="204" t="s">
        <v>114</v>
      </c>
    </row>
    <row r="257" spans="2:51" s="228" customFormat="1" ht="12">
      <c r="B257" s="222"/>
      <c r="C257" s="223"/>
      <c r="D257" s="193" t="s">
        <v>121</v>
      </c>
      <c r="E257" s="224" t="s">
        <v>1</v>
      </c>
      <c r="F257" s="225" t="s">
        <v>150</v>
      </c>
      <c r="G257" s="226"/>
      <c r="H257" s="227">
        <f>H256</f>
        <v>180.5225</v>
      </c>
      <c r="I257" s="72"/>
      <c r="L257" s="222"/>
      <c r="M257" s="229"/>
      <c r="N257" s="230"/>
      <c r="O257" s="230"/>
      <c r="P257" s="230"/>
      <c r="Q257" s="230"/>
      <c r="R257" s="230"/>
      <c r="S257" s="230"/>
      <c r="T257" s="231"/>
      <c r="AT257" s="224" t="s">
        <v>121</v>
      </c>
      <c r="AU257" s="224" t="s">
        <v>76</v>
      </c>
      <c r="AV257" s="228" t="s">
        <v>119</v>
      </c>
      <c r="AW257" s="228" t="s">
        <v>32</v>
      </c>
      <c r="AX257" s="228" t="s">
        <v>73</v>
      </c>
      <c r="AY257" s="224" t="s">
        <v>114</v>
      </c>
    </row>
    <row r="258" spans="2:65" s="92" customFormat="1" ht="16.5" customHeight="1">
      <c r="B258" s="90"/>
      <c r="C258" s="177" t="s">
        <v>266</v>
      </c>
      <c r="D258" s="178" t="s">
        <v>116</v>
      </c>
      <c r="E258" s="179" t="s">
        <v>267</v>
      </c>
      <c r="F258" s="232" t="s">
        <v>268</v>
      </c>
      <c r="G258" s="233" t="s">
        <v>191</v>
      </c>
      <c r="H258" s="234">
        <f>H266</f>
        <v>236.26000000000002</v>
      </c>
      <c r="I258" s="69"/>
      <c r="J258" s="184">
        <f>ROUND(I258*H258,2)</f>
        <v>0</v>
      </c>
      <c r="K258" s="180" t="s">
        <v>154</v>
      </c>
      <c r="L258" s="90"/>
      <c r="M258" s="185" t="s">
        <v>1</v>
      </c>
      <c r="N258" s="186" t="s">
        <v>41</v>
      </c>
      <c r="O258" s="187"/>
      <c r="P258" s="188">
        <f>O258*H258</f>
        <v>0</v>
      </c>
      <c r="Q258" s="188">
        <v>0</v>
      </c>
      <c r="R258" s="188">
        <f>Q258*H258</f>
        <v>0</v>
      </c>
      <c r="S258" s="188">
        <v>0</v>
      </c>
      <c r="T258" s="189">
        <f>S258*H258</f>
        <v>0</v>
      </c>
      <c r="AR258" s="81" t="s">
        <v>119</v>
      </c>
      <c r="AT258" s="81" t="s">
        <v>116</v>
      </c>
      <c r="AU258" s="81" t="s">
        <v>76</v>
      </c>
      <c r="AY258" s="81" t="s">
        <v>114</v>
      </c>
      <c r="BE258" s="190">
        <f>IF(N258="základní",J258,0)</f>
        <v>0</v>
      </c>
      <c r="BF258" s="190">
        <f>IF(N258="snížená",J258,0)</f>
        <v>0</v>
      </c>
      <c r="BG258" s="190">
        <f>IF(N258="zákl. přenesená",J258,0)</f>
        <v>0</v>
      </c>
      <c r="BH258" s="190">
        <f>IF(N258="sníž. přenesená",J258,0)</f>
        <v>0</v>
      </c>
      <c r="BI258" s="190">
        <f>IF(N258="nulová",J258,0)</f>
        <v>0</v>
      </c>
      <c r="BJ258" s="81" t="s">
        <v>73</v>
      </c>
      <c r="BK258" s="190">
        <f>ROUND(I258*H258,2)</f>
        <v>0</v>
      </c>
      <c r="BL258" s="81" t="s">
        <v>119</v>
      </c>
      <c r="BM258" s="81" t="s">
        <v>269</v>
      </c>
    </row>
    <row r="259" spans="2:51" s="198" customFormat="1" ht="12">
      <c r="B259" s="191"/>
      <c r="C259" s="192"/>
      <c r="D259" s="193" t="s">
        <v>121</v>
      </c>
      <c r="E259" s="194" t="s">
        <v>1</v>
      </c>
      <c r="F259" s="195" t="s">
        <v>308</v>
      </c>
      <c r="G259" s="196"/>
      <c r="H259" s="197" t="s">
        <v>1</v>
      </c>
      <c r="I259" s="71"/>
      <c r="L259" s="191"/>
      <c r="M259" s="199"/>
      <c r="N259" s="200"/>
      <c r="O259" s="200"/>
      <c r="P259" s="200"/>
      <c r="Q259" s="200"/>
      <c r="R259" s="200"/>
      <c r="S259" s="200"/>
      <c r="T259" s="201"/>
      <c r="AT259" s="194" t="s">
        <v>121</v>
      </c>
      <c r="AU259" s="194" t="s">
        <v>76</v>
      </c>
      <c r="AV259" s="198" t="s">
        <v>73</v>
      </c>
      <c r="AW259" s="198" t="s">
        <v>32</v>
      </c>
      <c r="AX259" s="198" t="s">
        <v>68</v>
      </c>
      <c r="AY259" s="194" t="s">
        <v>114</v>
      </c>
    </row>
    <row r="260" spans="2:51" s="198" customFormat="1" ht="12">
      <c r="B260" s="191"/>
      <c r="C260" s="192"/>
      <c r="D260" s="193" t="s">
        <v>121</v>
      </c>
      <c r="E260" s="194" t="s">
        <v>1</v>
      </c>
      <c r="F260" s="195" t="s">
        <v>270</v>
      </c>
      <c r="G260" s="196"/>
      <c r="H260" s="197" t="s">
        <v>1</v>
      </c>
      <c r="I260" s="71"/>
      <c r="L260" s="191"/>
      <c r="M260" s="199"/>
      <c r="N260" s="200"/>
      <c r="O260" s="200"/>
      <c r="P260" s="200"/>
      <c r="Q260" s="200"/>
      <c r="R260" s="200"/>
      <c r="S260" s="200"/>
      <c r="T260" s="201"/>
      <c r="AT260" s="194" t="s">
        <v>121</v>
      </c>
      <c r="AU260" s="194" t="s">
        <v>76</v>
      </c>
      <c r="AV260" s="198" t="s">
        <v>73</v>
      </c>
      <c r="AW260" s="198" t="s">
        <v>32</v>
      </c>
      <c r="AX260" s="198" t="s">
        <v>68</v>
      </c>
      <c r="AY260" s="194" t="s">
        <v>114</v>
      </c>
    </row>
    <row r="261" spans="2:51" s="198" customFormat="1" ht="12">
      <c r="B261" s="191"/>
      <c r="C261" s="192"/>
      <c r="D261" s="193" t="s">
        <v>121</v>
      </c>
      <c r="E261" s="194" t="s">
        <v>1</v>
      </c>
      <c r="F261" s="195" t="s">
        <v>271</v>
      </c>
      <c r="G261" s="196"/>
      <c r="H261" s="197" t="s">
        <v>1</v>
      </c>
      <c r="I261" s="71"/>
      <c r="L261" s="191"/>
      <c r="M261" s="199"/>
      <c r="N261" s="200"/>
      <c r="O261" s="200"/>
      <c r="P261" s="200"/>
      <c r="Q261" s="200"/>
      <c r="R261" s="200"/>
      <c r="S261" s="200"/>
      <c r="T261" s="201"/>
      <c r="AT261" s="194" t="s">
        <v>121</v>
      </c>
      <c r="AU261" s="194" t="s">
        <v>76</v>
      </c>
      <c r="AV261" s="198" t="s">
        <v>73</v>
      </c>
      <c r="AW261" s="198" t="s">
        <v>32</v>
      </c>
      <c r="AX261" s="198" t="s">
        <v>68</v>
      </c>
      <c r="AY261" s="194" t="s">
        <v>114</v>
      </c>
    </row>
    <row r="262" spans="2:51" s="198" customFormat="1" ht="12">
      <c r="B262" s="191"/>
      <c r="C262" s="192"/>
      <c r="D262" s="193" t="s">
        <v>121</v>
      </c>
      <c r="E262" s="194" t="s">
        <v>1</v>
      </c>
      <c r="F262" s="195" t="s">
        <v>272</v>
      </c>
      <c r="G262" s="196"/>
      <c r="H262" s="197" t="s">
        <v>1</v>
      </c>
      <c r="I262" s="71"/>
      <c r="L262" s="191"/>
      <c r="M262" s="199"/>
      <c r="N262" s="200"/>
      <c r="O262" s="200"/>
      <c r="P262" s="200"/>
      <c r="Q262" s="200"/>
      <c r="R262" s="200"/>
      <c r="S262" s="200"/>
      <c r="T262" s="201"/>
      <c r="AT262" s="194" t="s">
        <v>121</v>
      </c>
      <c r="AU262" s="194" t="s">
        <v>76</v>
      </c>
      <c r="AV262" s="198" t="s">
        <v>73</v>
      </c>
      <c r="AW262" s="198" t="s">
        <v>32</v>
      </c>
      <c r="AX262" s="198" t="s">
        <v>68</v>
      </c>
      <c r="AY262" s="194" t="s">
        <v>114</v>
      </c>
    </row>
    <row r="263" spans="2:51" s="208" customFormat="1" ht="12">
      <c r="B263" s="202"/>
      <c r="C263" s="203"/>
      <c r="D263" s="193" t="s">
        <v>121</v>
      </c>
      <c r="E263" s="204" t="s">
        <v>1</v>
      </c>
      <c r="F263" s="205" t="s">
        <v>1476</v>
      </c>
      <c r="G263" s="206"/>
      <c r="H263" s="207">
        <f>225.46/2+5.4</f>
        <v>118.13000000000001</v>
      </c>
      <c r="I263" s="70"/>
      <c r="L263" s="202"/>
      <c r="M263" s="209"/>
      <c r="N263" s="210"/>
      <c r="O263" s="210"/>
      <c r="P263" s="210"/>
      <c r="Q263" s="210"/>
      <c r="R263" s="210"/>
      <c r="S263" s="210"/>
      <c r="T263" s="211"/>
      <c r="AT263" s="204" t="s">
        <v>121</v>
      </c>
      <c r="AU263" s="204" t="s">
        <v>76</v>
      </c>
      <c r="AV263" s="208" t="s">
        <v>76</v>
      </c>
      <c r="AW263" s="208" t="s">
        <v>32</v>
      </c>
      <c r="AX263" s="208" t="s">
        <v>68</v>
      </c>
      <c r="AY263" s="204" t="s">
        <v>114</v>
      </c>
    </row>
    <row r="264" spans="2:51" s="198" customFormat="1" ht="12">
      <c r="B264" s="191"/>
      <c r="C264" s="192"/>
      <c r="D264" s="193" t="s">
        <v>121</v>
      </c>
      <c r="E264" s="194" t="s">
        <v>1</v>
      </c>
      <c r="F264" s="195" t="s">
        <v>273</v>
      </c>
      <c r="G264" s="196"/>
      <c r="H264" s="197" t="s">
        <v>1</v>
      </c>
      <c r="I264" s="71"/>
      <c r="L264" s="191"/>
      <c r="M264" s="199"/>
      <c r="N264" s="200"/>
      <c r="O264" s="200"/>
      <c r="P264" s="200"/>
      <c r="Q264" s="200"/>
      <c r="R264" s="200"/>
      <c r="S264" s="200"/>
      <c r="T264" s="201"/>
      <c r="AT264" s="194" t="s">
        <v>121</v>
      </c>
      <c r="AU264" s="194" t="s">
        <v>76</v>
      </c>
      <c r="AV264" s="198" t="s">
        <v>73</v>
      </c>
      <c r="AW264" s="198" t="s">
        <v>32</v>
      </c>
      <c r="AX264" s="198" t="s">
        <v>68</v>
      </c>
      <c r="AY264" s="194" t="s">
        <v>114</v>
      </c>
    </row>
    <row r="265" spans="2:51" s="208" customFormat="1" ht="12">
      <c r="B265" s="202"/>
      <c r="C265" s="203"/>
      <c r="D265" s="193" t="s">
        <v>121</v>
      </c>
      <c r="E265" s="204" t="s">
        <v>1</v>
      </c>
      <c r="F265" s="205" t="s">
        <v>1476</v>
      </c>
      <c r="G265" s="206"/>
      <c r="H265" s="207">
        <f>H263</f>
        <v>118.13000000000001</v>
      </c>
      <c r="I265" s="70"/>
      <c r="L265" s="202"/>
      <c r="M265" s="209"/>
      <c r="N265" s="210"/>
      <c r="O265" s="210"/>
      <c r="P265" s="210"/>
      <c r="Q265" s="210"/>
      <c r="R265" s="210"/>
      <c r="S265" s="210"/>
      <c r="T265" s="211"/>
      <c r="AT265" s="204" t="s">
        <v>121</v>
      </c>
      <c r="AU265" s="204" t="s">
        <v>76</v>
      </c>
      <c r="AV265" s="208" t="s">
        <v>76</v>
      </c>
      <c r="AW265" s="208" t="s">
        <v>32</v>
      </c>
      <c r="AX265" s="208" t="s">
        <v>68</v>
      </c>
      <c r="AY265" s="204" t="s">
        <v>114</v>
      </c>
    </row>
    <row r="266" spans="2:51" s="228" customFormat="1" ht="12">
      <c r="B266" s="222"/>
      <c r="C266" s="223"/>
      <c r="D266" s="193" t="s">
        <v>121</v>
      </c>
      <c r="E266" s="224" t="s">
        <v>1</v>
      </c>
      <c r="F266" s="225" t="s">
        <v>150</v>
      </c>
      <c r="G266" s="226"/>
      <c r="H266" s="227">
        <f>SUM(H263:H265)</f>
        <v>236.26000000000002</v>
      </c>
      <c r="I266" s="72"/>
      <c r="L266" s="222"/>
      <c r="M266" s="229"/>
      <c r="N266" s="230"/>
      <c r="O266" s="230"/>
      <c r="P266" s="230"/>
      <c r="Q266" s="230"/>
      <c r="R266" s="230"/>
      <c r="S266" s="230"/>
      <c r="T266" s="231"/>
      <c r="AT266" s="224" t="s">
        <v>121</v>
      </c>
      <c r="AU266" s="224" t="s">
        <v>76</v>
      </c>
      <c r="AV266" s="228" t="s">
        <v>119</v>
      </c>
      <c r="AW266" s="228" t="s">
        <v>32</v>
      </c>
      <c r="AX266" s="228" t="s">
        <v>73</v>
      </c>
      <c r="AY266" s="224" t="s">
        <v>114</v>
      </c>
    </row>
    <row r="267" spans="2:65" s="92" customFormat="1" ht="16.5" customHeight="1">
      <c r="B267" s="90"/>
      <c r="C267" s="177" t="s">
        <v>7</v>
      </c>
      <c r="D267" s="178" t="s">
        <v>116</v>
      </c>
      <c r="E267" s="179" t="s">
        <v>274</v>
      </c>
      <c r="F267" s="232" t="s">
        <v>275</v>
      </c>
      <c r="G267" s="233" t="s">
        <v>191</v>
      </c>
      <c r="H267" s="234">
        <f>H271</f>
        <v>242.91500000000002</v>
      </c>
      <c r="I267" s="69"/>
      <c r="J267" s="184">
        <f>ROUND(I267*H267,2)</f>
        <v>0</v>
      </c>
      <c r="K267" s="180" t="s">
        <v>1</v>
      </c>
      <c r="L267" s="90"/>
      <c r="M267" s="185" t="s">
        <v>1</v>
      </c>
      <c r="N267" s="186" t="s">
        <v>41</v>
      </c>
      <c r="O267" s="187"/>
      <c r="P267" s="188">
        <f>O267*H267</f>
        <v>0</v>
      </c>
      <c r="Q267" s="188">
        <v>0</v>
      </c>
      <c r="R267" s="188">
        <f>Q267*H267</f>
        <v>0</v>
      </c>
      <c r="S267" s="188">
        <v>0</v>
      </c>
      <c r="T267" s="189">
        <f>S267*H267</f>
        <v>0</v>
      </c>
      <c r="AR267" s="81" t="s">
        <v>119</v>
      </c>
      <c r="AT267" s="81" t="s">
        <v>116</v>
      </c>
      <c r="AU267" s="81" t="s">
        <v>76</v>
      </c>
      <c r="AY267" s="81" t="s">
        <v>114</v>
      </c>
      <c r="BE267" s="190">
        <f>IF(N267="základní",J267,0)</f>
        <v>0</v>
      </c>
      <c r="BF267" s="190">
        <f>IF(N267="snížená",J267,0)</f>
        <v>0</v>
      </c>
      <c r="BG267" s="190">
        <f>IF(N267="zákl. přenesená",J267,0)</f>
        <v>0</v>
      </c>
      <c r="BH267" s="190">
        <f>IF(N267="sníž. přenesená",J267,0)</f>
        <v>0</v>
      </c>
      <c r="BI267" s="190">
        <f>IF(N267="nulová",J267,0)</f>
        <v>0</v>
      </c>
      <c r="BJ267" s="81" t="s">
        <v>73</v>
      </c>
      <c r="BK267" s="190">
        <f>ROUND(I267*H267,2)</f>
        <v>0</v>
      </c>
      <c r="BL267" s="81" t="s">
        <v>119</v>
      </c>
      <c r="BM267" s="81" t="s">
        <v>276</v>
      </c>
    </row>
    <row r="268" spans="2:51" s="198" customFormat="1" ht="12">
      <c r="B268" s="191"/>
      <c r="C268" s="192"/>
      <c r="D268" s="193" t="s">
        <v>121</v>
      </c>
      <c r="E268" s="194" t="s">
        <v>1</v>
      </c>
      <c r="F268" s="195" t="s">
        <v>277</v>
      </c>
      <c r="G268" s="196"/>
      <c r="H268" s="197" t="s">
        <v>1</v>
      </c>
      <c r="I268" s="71"/>
      <c r="L268" s="191"/>
      <c r="M268" s="199"/>
      <c r="N268" s="200"/>
      <c r="O268" s="200"/>
      <c r="P268" s="200"/>
      <c r="Q268" s="200"/>
      <c r="R268" s="200"/>
      <c r="S268" s="200"/>
      <c r="T268" s="201"/>
      <c r="AT268" s="194" t="s">
        <v>121</v>
      </c>
      <c r="AU268" s="194" t="s">
        <v>76</v>
      </c>
      <c r="AV268" s="198" t="s">
        <v>73</v>
      </c>
      <c r="AW268" s="198" t="s">
        <v>32</v>
      </c>
      <c r="AX268" s="198" t="s">
        <v>68</v>
      </c>
      <c r="AY268" s="194" t="s">
        <v>114</v>
      </c>
    </row>
    <row r="269" spans="2:51" s="198" customFormat="1" ht="12">
      <c r="B269" s="191"/>
      <c r="C269" s="192"/>
      <c r="D269" s="193" t="s">
        <v>121</v>
      </c>
      <c r="E269" s="194" t="s">
        <v>1</v>
      </c>
      <c r="F269" s="195" t="s">
        <v>264</v>
      </c>
      <c r="G269" s="196"/>
      <c r="H269" s="197" t="s">
        <v>1</v>
      </c>
      <c r="I269" s="71"/>
      <c r="L269" s="191"/>
      <c r="M269" s="199"/>
      <c r="N269" s="200"/>
      <c r="O269" s="200"/>
      <c r="P269" s="200"/>
      <c r="Q269" s="200"/>
      <c r="R269" s="200"/>
      <c r="S269" s="200"/>
      <c r="T269" s="201"/>
      <c r="AT269" s="194" t="s">
        <v>121</v>
      </c>
      <c r="AU269" s="194" t="s">
        <v>76</v>
      </c>
      <c r="AV269" s="198" t="s">
        <v>73</v>
      </c>
      <c r="AW269" s="198" t="s">
        <v>32</v>
      </c>
      <c r="AX269" s="198" t="s">
        <v>68</v>
      </c>
      <c r="AY269" s="194" t="s">
        <v>114</v>
      </c>
    </row>
    <row r="270" spans="2:51" s="208" customFormat="1" ht="12">
      <c r="B270" s="202"/>
      <c r="C270" s="203"/>
      <c r="D270" s="193" t="s">
        <v>121</v>
      </c>
      <c r="E270" s="204" t="s">
        <v>1</v>
      </c>
      <c r="F270" s="205" t="s">
        <v>1477</v>
      </c>
      <c r="G270" s="206"/>
      <c r="H270" s="207">
        <f>361.045-118.13</f>
        <v>242.91500000000002</v>
      </c>
      <c r="I270" s="70"/>
      <c r="L270" s="202"/>
      <c r="M270" s="209"/>
      <c r="N270" s="210"/>
      <c r="O270" s="210"/>
      <c r="P270" s="210"/>
      <c r="Q270" s="210"/>
      <c r="R270" s="210"/>
      <c r="S270" s="210"/>
      <c r="T270" s="211"/>
      <c r="AT270" s="204" t="s">
        <v>121</v>
      </c>
      <c r="AU270" s="204" t="s">
        <v>76</v>
      </c>
      <c r="AV270" s="208" t="s">
        <v>76</v>
      </c>
      <c r="AW270" s="208" t="s">
        <v>32</v>
      </c>
      <c r="AX270" s="208" t="s">
        <v>68</v>
      </c>
      <c r="AY270" s="204" t="s">
        <v>114</v>
      </c>
    </row>
    <row r="271" spans="2:51" s="228" customFormat="1" ht="12">
      <c r="B271" s="222"/>
      <c r="C271" s="223"/>
      <c r="D271" s="193" t="s">
        <v>121</v>
      </c>
      <c r="E271" s="224" t="s">
        <v>1</v>
      </c>
      <c r="F271" s="225" t="s">
        <v>150</v>
      </c>
      <c r="G271" s="226"/>
      <c r="H271" s="227">
        <f>H270</f>
        <v>242.91500000000002</v>
      </c>
      <c r="I271" s="72"/>
      <c r="L271" s="222"/>
      <c r="M271" s="229"/>
      <c r="N271" s="230"/>
      <c r="O271" s="230"/>
      <c r="P271" s="230"/>
      <c r="Q271" s="230"/>
      <c r="R271" s="230"/>
      <c r="S271" s="230"/>
      <c r="T271" s="231"/>
      <c r="AT271" s="224" t="s">
        <v>121</v>
      </c>
      <c r="AU271" s="224" t="s">
        <v>76</v>
      </c>
      <c r="AV271" s="228" t="s">
        <v>119</v>
      </c>
      <c r="AW271" s="228" t="s">
        <v>32</v>
      </c>
      <c r="AX271" s="228" t="s">
        <v>73</v>
      </c>
      <c r="AY271" s="224" t="s">
        <v>114</v>
      </c>
    </row>
    <row r="272" spans="2:65" s="92" customFormat="1" ht="16.5" customHeight="1">
      <c r="B272" s="90"/>
      <c r="C272" s="177" t="s">
        <v>278</v>
      </c>
      <c r="D272" s="178" t="s">
        <v>116</v>
      </c>
      <c r="E272" s="179" t="s">
        <v>279</v>
      </c>
      <c r="F272" s="232" t="s">
        <v>280</v>
      </c>
      <c r="G272" s="233" t="s">
        <v>191</v>
      </c>
      <c r="H272" s="234">
        <f>H277</f>
        <v>118.13000000000001</v>
      </c>
      <c r="I272" s="69"/>
      <c r="J272" s="184">
        <f>ROUND(I272*H272,2)</f>
        <v>0</v>
      </c>
      <c r="K272" s="180" t="s">
        <v>154</v>
      </c>
      <c r="L272" s="90"/>
      <c r="M272" s="185" t="s">
        <v>1</v>
      </c>
      <c r="N272" s="186" t="s">
        <v>41</v>
      </c>
      <c r="O272" s="187"/>
      <c r="P272" s="188">
        <f>O272*H272</f>
        <v>0</v>
      </c>
      <c r="Q272" s="188">
        <v>0</v>
      </c>
      <c r="R272" s="188">
        <f>Q272*H272</f>
        <v>0</v>
      </c>
      <c r="S272" s="188">
        <v>0</v>
      </c>
      <c r="T272" s="189">
        <f>S272*H272</f>
        <v>0</v>
      </c>
      <c r="AR272" s="81" t="s">
        <v>119</v>
      </c>
      <c r="AT272" s="81" t="s">
        <v>116</v>
      </c>
      <c r="AU272" s="81" t="s">
        <v>76</v>
      </c>
      <c r="AY272" s="81" t="s">
        <v>114</v>
      </c>
      <c r="BE272" s="190">
        <f>IF(N272="základní",J272,0)</f>
        <v>0</v>
      </c>
      <c r="BF272" s="190">
        <f>IF(N272="snížená",J272,0)</f>
        <v>0</v>
      </c>
      <c r="BG272" s="190">
        <f>IF(N272="zákl. přenesená",J272,0)</f>
        <v>0</v>
      </c>
      <c r="BH272" s="190">
        <f>IF(N272="sníž. přenesená",J272,0)</f>
        <v>0</v>
      </c>
      <c r="BI272" s="190">
        <f>IF(N272="nulová",J272,0)</f>
        <v>0</v>
      </c>
      <c r="BJ272" s="81" t="s">
        <v>73</v>
      </c>
      <c r="BK272" s="190">
        <f>ROUND(I272*H272,2)</f>
        <v>0</v>
      </c>
      <c r="BL272" s="81" t="s">
        <v>119</v>
      </c>
      <c r="BM272" s="81" t="s">
        <v>281</v>
      </c>
    </row>
    <row r="273" spans="2:51" s="198" customFormat="1" ht="12">
      <c r="B273" s="191"/>
      <c r="C273" s="192"/>
      <c r="D273" s="193" t="s">
        <v>121</v>
      </c>
      <c r="E273" s="194" t="s">
        <v>1</v>
      </c>
      <c r="F273" s="195" t="s">
        <v>282</v>
      </c>
      <c r="G273" s="196"/>
      <c r="H273" s="197" t="s">
        <v>1</v>
      </c>
      <c r="I273" s="71"/>
      <c r="L273" s="191"/>
      <c r="M273" s="199"/>
      <c r="N273" s="200"/>
      <c r="O273" s="200"/>
      <c r="P273" s="200"/>
      <c r="Q273" s="200"/>
      <c r="R273" s="200"/>
      <c r="S273" s="200"/>
      <c r="T273" s="201"/>
      <c r="AT273" s="194" t="s">
        <v>121</v>
      </c>
      <c r="AU273" s="194" t="s">
        <v>76</v>
      </c>
      <c r="AV273" s="198" t="s">
        <v>73</v>
      </c>
      <c r="AW273" s="198" t="s">
        <v>32</v>
      </c>
      <c r="AX273" s="198" t="s">
        <v>68</v>
      </c>
      <c r="AY273" s="194" t="s">
        <v>114</v>
      </c>
    </row>
    <row r="274" spans="2:51" s="198" customFormat="1" ht="12">
      <c r="B274" s="191"/>
      <c r="C274" s="192"/>
      <c r="D274" s="193" t="s">
        <v>121</v>
      </c>
      <c r="E274" s="194" t="s">
        <v>1</v>
      </c>
      <c r="F274" s="195" t="s">
        <v>283</v>
      </c>
      <c r="G274" s="196"/>
      <c r="H274" s="197" t="s">
        <v>1</v>
      </c>
      <c r="I274" s="71"/>
      <c r="L274" s="191"/>
      <c r="M274" s="199"/>
      <c r="N274" s="200"/>
      <c r="O274" s="200"/>
      <c r="P274" s="200"/>
      <c r="Q274" s="200"/>
      <c r="R274" s="200"/>
      <c r="S274" s="200"/>
      <c r="T274" s="201"/>
      <c r="AT274" s="194" t="s">
        <v>121</v>
      </c>
      <c r="AU274" s="194" t="s">
        <v>76</v>
      </c>
      <c r="AV274" s="198" t="s">
        <v>73</v>
      </c>
      <c r="AW274" s="198" t="s">
        <v>32</v>
      </c>
      <c r="AX274" s="198" t="s">
        <v>68</v>
      </c>
      <c r="AY274" s="194" t="s">
        <v>114</v>
      </c>
    </row>
    <row r="275" spans="2:51" s="198" customFormat="1" ht="12">
      <c r="B275" s="191"/>
      <c r="C275" s="192"/>
      <c r="D275" s="193" t="s">
        <v>121</v>
      </c>
      <c r="E275" s="194" t="s">
        <v>1</v>
      </c>
      <c r="F275" s="195" t="s">
        <v>284</v>
      </c>
      <c r="G275" s="196"/>
      <c r="H275" s="197" t="s">
        <v>1</v>
      </c>
      <c r="I275" s="71"/>
      <c r="L275" s="191"/>
      <c r="M275" s="199"/>
      <c r="N275" s="200"/>
      <c r="O275" s="200"/>
      <c r="P275" s="200"/>
      <c r="Q275" s="200"/>
      <c r="R275" s="200"/>
      <c r="S275" s="200"/>
      <c r="T275" s="201"/>
      <c r="AT275" s="194" t="s">
        <v>121</v>
      </c>
      <c r="AU275" s="194" t="s">
        <v>76</v>
      </c>
      <c r="AV275" s="198" t="s">
        <v>73</v>
      </c>
      <c r="AW275" s="198" t="s">
        <v>32</v>
      </c>
      <c r="AX275" s="198" t="s">
        <v>68</v>
      </c>
      <c r="AY275" s="194" t="s">
        <v>114</v>
      </c>
    </row>
    <row r="276" spans="2:51" s="208" customFormat="1" ht="12">
      <c r="B276" s="202"/>
      <c r="C276" s="203"/>
      <c r="D276" s="193" t="s">
        <v>121</v>
      </c>
      <c r="E276" s="204" t="s">
        <v>1</v>
      </c>
      <c r="F276" s="205" t="s">
        <v>1476</v>
      </c>
      <c r="G276" s="206"/>
      <c r="H276" s="207">
        <f>225.46/2+5.4</f>
        <v>118.13000000000001</v>
      </c>
      <c r="I276" s="70"/>
      <c r="L276" s="202"/>
      <c r="M276" s="209"/>
      <c r="N276" s="210"/>
      <c r="O276" s="210"/>
      <c r="P276" s="210"/>
      <c r="Q276" s="210"/>
      <c r="R276" s="210"/>
      <c r="S276" s="210"/>
      <c r="T276" s="211"/>
      <c r="AT276" s="204" t="s">
        <v>121</v>
      </c>
      <c r="AU276" s="204" t="s">
        <v>76</v>
      </c>
      <c r="AV276" s="208" t="s">
        <v>76</v>
      </c>
      <c r="AW276" s="208" t="s">
        <v>32</v>
      </c>
      <c r="AX276" s="208" t="s">
        <v>68</v>
      </c>
      <c r="AY276" s="204" t="s">
        <v>114</v>
      </c>
    </row>
    <row r="277" spans="2:51" s="228" customFormat="1" ht="12">
      <c r="B277" s="222"/>
      <c r="C277" s="223"/>
      <c r="D277" s="193" t="s">
        <v>121</v>
      </c>
      <c r="E277" s="224" t="s">
        <v>1</v>
      </c>
      <c r="F277" s="225" t="s">
        <v>150</v>
      </c>
      <c r="G277" s="226"/>
      <c r="H277" s="227">
        <f>H276</f>
        <v>118.13000000000001</v>
      </c>
      <c r="I277" s="72"/>
      <c r="L277" s="222"/>
      <c r="M277" s="229"/>
      <c r="N277" s="230"/>
      <c r="O277" s="230"/>
      <c r="P277" s="230"/>
      <c r="Q277" s="230"/>
      <c r="R277" s="230"/>
      <c r="S277" s="230"/>
      <c r="T277" s="231"/>
      <c r="AT277" s="224" t="s">
        <v>121</v>
      </c>
      <c r="AU277" s="224" t="s">
        <v>76</v>
      </c>
      <c r="AV277" s="228" t="s">
        <v>119</v>
      </c>
      <c r="AW277" s="228" t="s">
        <v>32</v>
      </c>
      <c r="AX277" s="228" t="s">
        <v>73</v>
      </c>
      <c r="AY277" s="224" t="s">
        <v>114</v>
      </c>
    </row>
    <row r="278" spans="2:65" s="92" customFormat="1" ht="16.5" customHeight="1">
      <c r="B278" s="90"/>
      <c r="C278" s="177" t="s">
        <v>285</v>
      </c>
      <c r="D278" s="178" t="s">
        <v>116</v>
      </c>
      <c r="E278" s="179" t="s">
        <v>286</v>
      </c>
      <c r="F278" s="232" t="s">
        <v>287</v>
      </c>
      <c r="G278" s="233" t="s">
        <v>191</v>
      </c>
      <c r="H278" s="234">
        <v>5.4</v>
      </c>
      <c r="I278" s="69"/>
      <c r="J278" s="184">
        <f>ROUND(I278*H278,2)</f>
        <v>0</v>
      </c>
      <c r="K278" s="180" t="s">
        <v>154</v>
      </c>
      <c r="L278" s="90"/>
      <c r="M278" s="185" t="s">
        <v>1</v>
      </c>
      <c r="N278" s="186" t="s">
        <v>41</v>
      </c>
      <c r="O278" s="187"/>
      <c r="P278" s="188">
        <f>O278*H278</f>
        <v>0</v>
      </c>
      <c r="Q278" s="188">
        <v>0</v>
      </c>
      <c r="R278" s="188">
        <f>Q278*H278</f>
        <v>0</v>
      </c>
      <c r="S278" s="188">
        <v>0</v>
      </c>
      <c r="T278" s="189">
        <f>S278*H278</f>
        <v>0</v>
      </c>
      <c r="AR278" s="81" t="s">
        <v>119</v>
      </c>
      <c r="AT278" s="81" t="s">
        <v>116</v>
      </c>
      <c r="AU278" s="81" t="s">
        <v>76</v>
      </c>
      <c r="AY278" s="81" t="s">
        <v>114</v>
      </c>
      <c r="BE278" s="190">
        <f>IF(N278="základní",J278,0)</f>
        <v>0</v>
      </c>
      <c r="BF278" s="190">
        <f>IF(N278="snížená",J278,0)</f>
        <v>0</v>
      </c>
      <c r="BG278" s="190">
        <f>IF(N278="zákl. přenesená",J278,0)</f>
        <v>0</v>
      </c>
      <c r="BH278" s="190">
        <f>IF(N278="sníž. přenesená",J278,0)</f>
        <v>0</v>
      </c>
      <c r="BI278" s="190">
        <f>IF(N278="nulová",J278,0)</f>
        <v>0</v>
      </c>
      <c r="BJ278" s="81" t="s">
        <v>73</v>
      </c>
      <c r="BK278" s="190">
        <f>ROUND(I278*H278,2)</f>
        <v>0</v>
      </c>
      <c r="BL278" s="81" t="s">
        <v>119</v>
      </c>
      <c r="BM278" s="81" t="s">
        <v>288</v>
      </c>
    </row>
    <row r="279" spans="2:51" s="198" customFormat="1" ht="12">
      <c r="B279" s="191"/>
      <c r="C279" s="192"/>
      <c r="D279" s="193" t="s">
        <v>121</v>
      </c>
      <c r="E279" s="194" t="s">
        <v>1</v>
      </c>
      <c r="F279" s="195" t="s">
        <v>289</v>
      </c>
      <c r="G279" s="196"/>
      <c r="H279" s="197" t="s">
        <v>1</v>
      </c>
      <c r="I279" s="71"/>
      <c r="L279" s="191"/>
      <c r="M279" s="199"/>
      <c r="N279" s="200"/>
      <c r="O279" s="200"/>
      <c r="P279" s="200"/>
      <c r="Q279" s="200"/>
      <c r="R279" s="200"/>
      <c r="S279" s="200"/>
      <c r="T279" s="201"/>
      <c r="AT279" s="194" t="s">
        <v>121</v>
      </c>
      <c r="AU279" s="194" t="s">
        <v>76</v>
      </c>
      <c r="AV279" s="198" t="s">
        <v>73</v>
      </c>
      <c r="AW279" s="198" t="s">
        <v>32</v>
      </c>
      <c r="AX279" s="198" t="s">
        <v>68</v>
      </c>
      <c r="AY279" s="194" t="s">
        <v>114</v>
      </c>
    </row>
    <row r="280" spans="2:51" s="208" customFormat="1" ht="12">
      <c r="B280" s="202"/>
      <c r="C280" s="203"/>
      <c r="D280" s="193" t="s">
        <v>121</v>
      </c>
      <c r="E280" s="204" t="s">
        <v>1</v>
      </c>
      <c r="F280" s="205" t="s">
        <v>290</v>
      </c>
      <c r="G280" s="206"/>
      <c r="H280" s="207">
        <v>6.377</v>
      </c>
      <c r="I280" s="70"/>
      <c r="L280" s="202"/>
      <c r="M280" s="209"/>
      <c r="N280" s="210"/>
      <c r="O280" s="210"/>
      <c r="P280" s="210"/>
      <c r="Q280" s="210"/>
      <c r="R280" s="210"/>
      <c r="S280" s="210"/>
      <c r="T280" s="211"/>
      <c r="AT280" s="204" t="s">
        <v>121</v>
      </c>
      <c r="AU280" s="204" t="s">
        <v>76</v>
      </c>
      <c r="AV280" s="208" t="s">
        <v>76</v>
      </c>
      <c r="AW280" s="208" t="s">
        <v>32</v>
      </c>
      <c r="AX280" s="208" t="s">
        <v>68</v>
      </c>
      <c r="AY280" s="204" t="s">
        <v>114</v>
      </c>
    </row>
    <row r="281" spans="2:51" s="208" customFormat="1" ht="12">
      <c r="B281" s="202"/>
      <c r="C281" s="203"/>
      <c r="D281" s="193" t="s">
        <v>121</v>
      </c>
      <c r="E281" s="204" t="s">
        <v>1</v>
      </c>
      <c r="F281" s="205" t="s">
        <v>291</v>
      </c>
      <c r="G281" s="206"/>
      <c r="H281" s="207">
        <v>-0.977</v>
      </c>
      <c r="I281" s="70"/>
      <c r="L281" s="202"/>
      <c r="M281" s="209"/>
      <c r="N281" s="210"/>
      <c r="O281" s="210"/>
      <c r="P281" s="210"/>
      <c r="Q281" s="210"/>
      <c r="R281" s="210"/>
      <c r="S281" s="210"/>
      <c r="T281" s="211"/>
      <c r="AT281" s="204" t="s">
        <v>121</v>
      </c>
      <c r="AU281" s="204" t="s">
        <v>76</v>
      </c>
      <c r="AV281" s="208" t="s">
        <v>76</v>
      </c>
      <c r="AW281" s="208" t="s">
        <v>32</v>
      </c>
      <c r="AX281" s="208" t="s">
        <v>68</v>
      </c>
      <c r="AY281" s="204" t="s">
        <v>114</v>
      </c>
    </row>
    <row r="282" spans="2:51" s="228" customFormat="1" ht="12">
      <c r="B282" s="222"/>
      <c r="C282" s="223"/>
      <c r="D282" s="193" t="s">
        <v>121</v>
      </c>
      <c r="E282" s="224" t="s">
        <v>1</v>
      </c>
      <c r="F282" s="225" t="s">
        <v>150</v>
      </c>
      <c r="G282" s="226"/>
      <c r="H282" s="227">
        <v>5.3999999999999995</v>
      </c>
      <c r="I282" s="72"/>
      <c r="L282" s="222"/>
      <c r="M282" s="229"/>
      <c r="N282" s="230"/>
      <c r="O282" s="230"/>
      <c r="P282" s="230"/>
      <c r="Q282" s="230"/>
      <c r="R282" s="230"/>
      <c r="S282" s="230"/>
      <c r="T282" s="231"/>
      <c r="AT282" s="224" t="s">
        <v>121</v>
      </c>
      <c r="AU282" s="224" t="s">
        <v>76</v>
      </c>
      <c r="AV282" s="228" t="s">
        <v>119</v>
      </c>
      <c r="AW282" s="228" t="s">
        <v>32</v>
      </c>
      <c r="AX282" s="228" t="s">
        <v>73</v>
      </c>
      <c r="AY282" s="224" t="s">
        <v>114</v>
      </c>
    </row>
    <row r="283" spans="2:65" s="92" customFormat="1" ht="16.5" customHeight="1">
      <c r="B283" s="90"/>
      <c r="C283" s="177" t="s">
        <v>292</v>
      </c>
      <c r="D283" s="178" t="s">
        <v>116</v>
      </c>
      <c r="E283" s="179" t="s">
        <v>293</v>
      </c>
      <c r="F283" s="232" t="s">
        <v>294</v>
      </c>
      <c r="G283" s="233" t="s">
        <v>153</v>
      </c>
      <c r="H283" s="234">
        <v>20.65</v>
      </c>
      <c r="I283" s="69"/>
      <c r="J283" s="184">
        <f>ROUND(I283*H283,2)</f>
        <v>0</v>
      </c>
      <c r="K283" s="180" t="s">
        <v>154</v>
      </c>
      <c r="L283" s="90"/>
      <c r="M283" s="185" t="s">
        <v>1</v>
      </c>
      <c r="N283" s="186" t="s">
        <v>41</v>
      </c>
      <c r="O283" s="187"/>
      <c r="P283" s="188">
        <f>O283*H283</f>
        <v>0</v>
      </c>
      <c r="Q283" s="188">
        <v>0</v>
      </c>
      <c r="R283" s="188">
        <f>Q283*H283</f>
        <v>0</v>
      </c>
      <c r="S283" s="188">
        <v>0</v>
      </c>
      <c r="T283" s="189">
        <f>S283*H283</f>
        <v>0</v>
      </c>
      <c r="AR283" s="81" t="s">
        <v>119</v>
      </c>
      <c r="AT283" s="81" t="s">
        <v>116</v>
      </c>
      <c r="AU283" s="81" t="s">
        <v>76</v>
      </c>
      <c r="AY283" s="81" t="s">
        <v>114</v>
      </c>
      <c r="BE283" s="190">
        <f>IF(N283="základní",J283,0)</f>
        <v>0</v>
      </c>
      <c r="BF283" s="190">
        <f>IF(N283="snížená",J283,0)</f>
        <v>0</v>
      </c>
      <c r="BG283" s="190">
        <f>IF(N283="zákl. přenesená",J283,0)</f>
        <v>0</v>
      </c>
      <c r="BH283" s="190">
        <f>IF(N283="sníž. přenesená",J283,0)</f>
        <v>0</v>
      </c>
      <c r="BI283" s="190">
        <f>IF(N283="nulová",J283,0)</f>
        <v>0</v>
      </c>
      <c r="BJ283" s="81" t="s">
        <v>73</v>
      </c>
      <c r="BK283" s="190">
        <f>ROUND(I283*H283,2)</f>
        <v>0</v>
      </c>
      <c r="BL283" s="81" t="s">
        <v>119</v>
      </c>
      <c r="BM283" s="81" t="s">
        <v>295</v>
      </c>
    </row>
    <row r="284" spans="2:51" s="198" customFormat="1" ht="12">
      <c r="B284" s="191"/>
      <c r="C284" s="192"/>
      <c r="D284" s="193" t="s">
        <v>121</v>
      </c>
      <c r="E284" s="194" t="s">
        <v>1</v>
      </c>
      <c r="F284" s="195" t="s">
        <v>289</v>
      </c>
      <c r="G284" s="196"/>
      <c r="H284" s="197" t="s">
        <v>1</v>
      </c>
      <c r="I284" s="71"/>
      <c r="L284" s="191"/>
      <c r="M284" s="199"/>
      <c r="N284" s="200"/>
      <c r="O284" s="200"/>
      <c r="P284" s="200"/>
      <c r="Q284" s="200"/>
      <c r="R284" s="200"/>
      <c r="S284" s="200"/>
      <c r="T284" s="201"/>
      <c r="AT284" s="194" t="s">
        <v>121</v>
      </c>
      <c r="AU284" s="194" t="s">
        <v>76</v>
      </c>
      <c r="AV284" s="198" t="s">
        <v>73</v>
      </c>
      <c r="AW284" s="198" t="s">
        <v>32</v>
      </c>
      <c r="AX284" s="198" t="s">
        <v>68</v>
      </c>
      <c r="AY284" s="194" t="s">
        <v>114</v>
      </c>
    </row>
    <row r="285" spans="2:51" s="208" customFormat="1" ht="12">
      <c r="B285" s="202"/>
      <c r="C285" s="203"/>
      <c r="D285" s="193" t="s">
        <v>121</v>
      </c>
      <c r="E285" s="204" t="s">
        <v>1</v>
      </c>
      <c r="F285" s="205" t="s">
        <v>296</v>
      </c>
      <c r="G285" s="206"/>
      <c r="H285" s="207">
        <v>20.65</v>
      </c>
      <c r="I285" s="70"/>
      <c r="L285" s="202"/>
      <c r="M285" s="209"/>
      <c r="N285" s="210"/>
      <c r="O285" s="210"/>
      <c r="P285" s="210"/>
      <c r="Q285" s="210"/>
      <c r="R285" s="210"/>
      <c r="S285" s="210"/>
      <c r="T285" s="211"/>
      <c r="AT285" s="204" t="s">
        <v>121</v>
      </c>
      <c r="AU285" s="204" t="s">
        <v>76</v>
      </c>
      <c r="AV285" s="208" t="s">
        <v>76</v>
      </c>
      <c r="AW285" s="208" t="s">
        <v>32</v>
      </c>
      <c r="AX285" s="208" t="s">
        <v>68</v>
      </c>
      <c r="AY285" s="204" t="s">
        <v>114</v>
      </c>
    </row>
    <row r="286" spans="2:51" s="228" customFormat="1" ht="12">
      <c r="B286" s="222"/>
      <c r="C286" s="223"/>
      <c r="D286" s="193" t="s">
        <v>121</v>
      </c>
      <c r="E286" s="224" t="s">
        <v>1</v>
      </c>
      <c r="F286" s="225" t="s">
        <v>150</v>
      </c>
      <c r="G286" s="226"/>
      <c r="H286" s="227">
        <v>20.65</v>
      </c>
      <c r="I286" s="72"/>
      <c r="L286" s="222"/>
      <c r="M286" s="229"/>
      <c r="N286" s="230"/>
      <c r="O286" s="230"/>
      <c r="P286" s="230"/>
      <c r="Q286" s="230"/>
      <c r="R286" s="230"/>
      <c r="S286" s="230"/>
      <c r="T286" s="231"/>
      <c r="AT286" s="224" t="s">
        <v>121</v>
      </c>
      <c r="AU286" s="224" t="s">
        <v>76</v>
      </c>
      <c r="AV286" s="228" t="s">
        <v>119</v>
      </c>
      <c r="AW286" s="228" t="s">
        <v>32</v>
      </c>
      <c r="AX286" s="228" t="s">
        <v>73</v>
      </c>
      <c r="AY286" s="224" t="s">
        <v>114</v>
      </c>
    </row>
    <row r="287" spans="2:65" s="92" customFormat="1" ht="16.5" customHeight="1">
      <c r="B287" s="90"/>
      <c r="C287" s="177" t="s">
        <v>297</v>
      </c>
      <c r="D287" s="178" t="s">
        <v>116</v>
      </c>
      <c r="E287" s="179" t="s">
        <v>298</v>
      </c>
      <c r="F287" s="232" t="s">
        <v>299</v>
      </c>
      <c r="G287" s="233" t="s">
        <v>300</v>
      </c>
      <c r="H287" s="234">
        <f>H289</f>
        <v>437.247</v>
      </c>
      <c r="I287" s="69"/>
      <c r="J287" s="184">
        <f>ROUND(I287*H287,2)</f>
        <v>0</v>
      </c>
      <c r="K287" s="180" t="s">
        <v>154</v>
      </c>
      <c r="L287" s="90"/>
      <c r="M287" s="185" t="s">
        <v>1</v>
      </c>
      <c r="N287" s="186" t="s">
        <v>41</v>
      </c>
      <c r="O287" s="187"/>
      <c r="P287" s="188">
        <f>O287*H287</f>
        <v>0</v>
      </c>
      <c r="Q287" s="188">
        <v>0</v>
      </c>
      <c r="R287" s="188">
        <f>Q287*H287</f>
        <v>0</v>
      </c>
      <c r="S287" s="188">
        <v>0</v>
      </c>
      <c r="T287" s="189">
        <f>S287*H287</f>
        <v>0</v>
      </c>
      <c r="AR287" s="81" t="s">
        <v>119</v>
      </c>
      <c r="AT287" s="81" t="s">
        <v>116</v>
      </c>
      <c r="AU287" s="81" t="s">
        <v>76</v>
      </c>
      <c r="AY287" s="81" t="s">
        <v>114</v>
      </c>
      <c r="BE287" s="190">
        <f>IF(N287="základní",J287,0)</f>
        <v>0</v>
      </c>
      <c r="BF287" s="190">
        <f>IF(N287="snížená",J287,0)</f>
        <v>0</v>
      </c>
      <c r="BG287" s="190">
        <f>IF(N287="zákl. přenesená",J287,0)</f>
        <v>0</v>
      </c>
      <c r="BH287" s="190">
        <f>IF(N287="sníž. přenesená",J287,0)</f>
        <v>0</v>
      </c>
      <c r="BI287" s="190">
        <f>IF(N287="nulová",J287,0)</f>
        <v>0</v>
      </c>
      <c r="BJ287" s="81" t="s">
        <v>73</v>
      </c>
      <c r="BK287" s="190">
        <f>ROUND(I287*H287,2)</f>
        <v>0</v>
      </c>
      <c r="BL287" s="81" t="s">
        <v>119</v>
      </c>
      <c r="BM287" s="81" t="s">
        <v>301</v>
      </c>
    </row>
    <row r="288" spans="2:51" s="208" customFormat="1" ht="12">
      <c r="B288" s="202"/>
      <c r="C288" s="203"/>
      <c r="D288" s="193" t="s">
        <v>121</v>
      </c>
      <c r="E288" s="204" t="s">
        <v>1</v>
      </c>
      <c r="F288" s="205" t="s">
        <v>1478</v>
      </c>
      <c r="G288" s="206"/>
      <c r="H288" s="207">
        <f>242.915*1.8</f>
        <v>437.247</v>
      </c>
      <c r="I288" s="70"/>
      <c r="L288" s="202"/>
      <c r="M288" s="209"/>
      <c r="N288" s="210"/>
      <c r="O288" s="210"/>
      <c r="P288" s="210"/>
      <c r="Q288" s="210"/>
      <c r="R288" s="210"/>
      <c r="S288" s="210"/>
      <c r="T288" s="211"/>
      <c r="AT288" s="204" t="s">
        <v>121</v>
      </c>
      <c r="AU288" s="204" t="s">
        <v>76</v>
      </c>
      <c r="AV288" s="208" t="s">
        <v>76</v>
      </c>
      <c r="AW288" s="208" t="s">
        <v>32</v>
      </c>
      <c r="AX288" s="208" t="s">
        <v>68</v>
      </c>
      <c r="AY288" s="204" t="s">
        <v>114</v>
      </c>
    </row>
    <row r="289" spans="2:51" s="228" customFormat="1" ht="12">
      <c r="B289" s="222"/>
      <c r="C289" s="223"/>
      <c r="D289" s="193" t="s">
        <v>121</v>
      </c>
      <c r="E289" s="224" t="s">
        <v>1</v>
      </c>
      <c r="F289" s="225" t="s">
        <v>150</v>
      </c>
      <c r="G289" s="226"/>
      <c r="H289" s="227">
        <f>H288</f>
        <v>437.247</v>
      </c>
      <c r="I289" s="72"/>
      <c r="L289" s="222"/>
      <c r="M289" s="229"/>
      <c r="N289" s="230"/>
      <c r="O289" s="230"/>
      <c r="P289" s="230"/>
      <c r="Q289" s="230"/>
      <c r="R289" s="230"/>
      <c r="S289" s="230"/>
      <c r="T289" s="231"/>
      <c r="AT289" s="224" t="s">
        <v>121</v>
      </c>
      <c r="AU289" s="224" t="s">
        <v>76</v>
      </c>
      <c r="AV289" s="228" t="s">
        <v>119</v>
      </c>
      <c r="AW289" s="228" t="s">
        <v>32</v>
      </c>
      <c r="AX289" s="228" t="s">
        <v>73</v>
      </c>
      <c r="AY289" s="224" t="s">
        <v>114</v>
      </c>
    </row>
    <row r="290" spans="2:65" s="92" customFormat="1" ht="16.5" customHeight="1">
      <c r="B290" s="90"/>
      <c r="C290" s="177" t="s">
        <v>302</v>
      </c>
      <c r="D290" s="178" t="s">
        <v>116</v>
      </c>
      <c r="E290" s="179" t="s">
        <v>303</v>
      </c>
      <c r="F290" s="232" t="s">
        <v>304</v>
      </c>
      <c r="G290" s="233" t="s">
        <v>191</v>
      </c>
      <c r="H290" s="234">
        <f>H305</f>
        <v>225.45999999999995</v>
      </c>
      <c r="I290" s="69"/>
      <c r="J290" s="184">
        <f>ROUND(I290*H290,2)</f>
        <v>0</v>
      </c>
      <c r="K290" s="180" t="s">
        <v>154</v>
      </c>
      <c r="L290" s="90"/>
      <c r="M290" s="185" t="s">
        <v>1</v>
      </c>
      <c r="N290" s="186" t="s">
        <v>41</v>
      </c>
      <c r="O290" s="187"/>
      <c r="P290" s="188">
        <f>O290*H290</f>
        <v>0</v>
      </c>
      <c r="Q290" s="188">
        <v>0</v>
      </c>
      <c r="R290" s="188">
        <f>Q290*H290</f>
        <v>0</v>
      </c>
      <c r="S290" s="188">
        <v>0</v>
      </c>
      <c r="T290" s="189">
        <f>S290*H290</f>
        <v>0</v>
      </c>
      <c r="AR290" s="81" t="s">
        <v>119</v>
      </c>
      <c r="AT290" s="81" t="s">
        <v>116</v>
      </c>
      <c r="AU290" s="81" t="s">
        <v>76</v>
      </c>
      <c r="AY290" s="81" t="s">
        <v>114</v>
      </c>
      <c r="BE290" s="190">
        <f>IF(N290="základní",J290,0)</f>
        <v>0</v>
      </c>
      <c r="BF290" s="190">
        <f>IF(N290="snížená",J290,0)</f>
        <v>0</v>
      </c>
      <c r="BG290" s="190">
        <f>IF(N290="zákl. přenesená",J290,0)</f>
        <v>0</v>
      </c>
      <c r="BH290" s="190">
        <f>IF(N290="sníž. přenesená",J290,0)</f>
        <v>0</v>
      </c>
      <c r="BI290" s="190">
        <f>IF(N290="nulová",J290,0)</f>
        <v>0</v>
      </c>
      <c r="BJ290" s="81" t="s">
        <v>73</v>
      </c>
      <c r="BK290" s="190">
        <f>ROUND(I290*H290,2)</f>
        <v>0</v>
      </c>
      <c r="BL290" s="81" t="s">
        <v>119</v>
      </c>
      <c r="BM290" s="81" t="s">
        <v>305</v>
      </c>
    </row>
    <row r="291" spans="2:51" s="198" customFormat="1" ht="12">
      <c r="B291" s="191"/>
      <c r="C291" s="192"/>
      <c r="D291" s="193" t="s">
        <v>121</v>
      </c>
      <c r="E291" s="194" t="s">
        <v>1</v>
      </c>
      <c r="F291" s="195" t="s">
        <v>306</v>
      </c>
      <c r="G291" s="196"/>
      <c r="H291" s="197" t="s">
        <v>1</v>
      </c>
      <c r="I291" s="71"/>
      <c r="L291" s="191"/>
      <c r="M291" s="199"/>
      <c r="N291" s="200"/>
      <c r="O291" s="200"/>
      <c r="P291" s="200"/>
      <c r="Q291" s="200"/>
      <c r="R291" s="200"/>
      <c r="S291" s="200"/>
      <c r="T291" s="201"/>
      <c r="AT291" s="194" t="s">
        <v>121</v>
      </c>
      <c r="AU291" s="194" t="s">
        <v>76</v>
      </c>
      <c r="AV291" s="198" t="s">
        <v>73</v>
      </c>
      <c r="AW291" s="198" t="s">
        <v>32</v>
      </c>
      <c r="AX291" s="198" t="s">
        <v>68</v>
      </c>
      <c r="AY291" s="194" t="s">
        <v>114</v>
      </c>
    </row>
    <row r="292" spans="2:51" s="198" customFormat="1" ht="12">
      <c r="B292" s="191"/>
      <c r="C292" s="192"/>
      <c r="D292" s="193" t="s">
        <v>121</v>
      </c>
      <c r="E292" s="194" t="s">
        <v>1</v>
      </c>
      <c r="F292" s="195" t="s">
        <v>307</v>
      </c>
      <c r="G292" s="196"/>
      <c r="H292" s="197" t="s">
        <v>1</v>
      </c>
      <c r="I292" s="71"/>
      <c r="L292" s="191"/>
      <c r="M292" s="199"/>
      <c r="N292" s="200"/>
      <c r="O292" s="200"/>
      <c r="P292" s="200"/>
      <c r="Q292" s="200"/>
      <c r="R292" s="200"/>
      <c r="S292" s="200"/>
      <c r="T292" s="201"/>
      <c r="AT292" s="194" t="s">
        <v>121</v>
      </c>
      <c r="AU292" s="194" t="s">
        <v>76</v>
      </c>
      <c r="AV292" s="198" t="s">
        <v>73</v>
      </c>
      <c r="AW292" s="198" t="s">
        <v>32</v>
      </c>
      <c r="AX292" s="198" t="s">
        <v>68</v>
      </c>
      <c r="AY292" s="194" t="s">
        <v>114</v>
      </c>
    </row>
    <row r="293" spans="2:51" s="198" customFormat="1" ht="12">
      <c r="B293" s="191"/>
      <c r="C293" s="192"/>
      <c r="D293" s="193" t="s">
        <v>121</v>
      </c>
      <c r="E293" s="194" t="s">
        <v>1</v>
      </c>
      <c r="F293" s="195" t="s">
        <v>308</v>
      </c>
      <c r="G293" s="196"/>
      <c r="H293" s="197" t="s">
        <v>1</v>
      </c>
      <c r="I293" s="71"/>
      <c r="L293" s="191"/>
      <c r="M293" s="199"/>
      <c r="N293" s="200"/>
      <c r="O293" s="200"/>
      <c r="P293" s="200"/>
      <c r="Q293" s="200"/>
      <c r="R293" s="200"/>
      <c r="S293" s="200"/>
      <c r="T293" s="201"/>
      <c r="AT293" s="194" t="s">
        <v>121</v>
      </c>
      <c r="AU293" s="194" t="s">
        <v>76</v>
      </c>
      <c r="AV293" s="198" t="s">
        <v>73</v>
      </c>
      <c r="AW293" s="198" t="s">
        <v>32</v>
      </c>
      <c r="AX293" s="198" t="s">
        <v>68</v>
      </c>
      <c r="AY293" s="194" t="s">
        <v>114</v>
      </c>
    </row>
    <row r="294" spans="2:51" s="198" customFormat="1" ht="12">
      <c r="B294" s="191"/>
      <c r="C294" s="192"/>
      <c r="D294" s="193" t="s">
        <v>121</v>
      </c>
      <c r="E294" s="194" t="s">
        <v>1</v>
      </c>
      <c r="F294" s="195" t="s">
        <v>309</v>
      </c>
      <c r="G294" s="196"/>
      <c r="H294" s="197" t="s">
        <v>1</v>
      </c>
      <c r="I294" s="71"/>
      <c r="L294" s="191"/>
      <c r="M294" s="199"/>
      <c r="N294" s="200"/>
      <c r="O294" s="200"/>
      <c r="P294" s="200"/>
      <c r="Q294" s="200"/>
      <c r="R294" s="200"/>
      <c r="S294" s="200"/>
      <c r="T294" s="201"/>
      <c r="AT294" s="194" t="s">
        <v>121</v>
      </c>
      <c r="AU294" s="194" t="s">
        <v>76</v>
      </c>
      <c r="AV294" s="198" t="s">
        <v>73</v>
      </c>
      <c r="AW294" s="198" t="s">
        <v>32</v>
      </c>
      <c r="AX294" s="198" t="s">
        <v>68</v>
      </c>
      <c r="AY294" s="194" t="s">
        <v>114</v>
      </c>
    </row>
    <row r="295" spans="2:51" s="208" customFormat="1" ht="12">
      <c r="B295" s="202"/>
      <c r="C295" s="203"/>
      <c r="D295" s="193" t="s">
        <v>121</v>
      </c>
      <c r="E295" s="204" t="s">
        <v>1</v>
      </c>
      <c r="F295" s="205">
        <v>361.045</v>
      </c>
      <c r="G295" s="206"/>
      <c r="H295" s="207">
        <v>361.045</v>
      </c>
      <c r="I295" s="70"/>
      <c r="L295" s="202"/>
      <c r="M295" s="209"/>
      <c r="N295" s="210"/>
      <c r="O295" s="210"/>
      <c r="P295" s="210"/>
      <c r="Q295" s="210"/>
      <c r="R295" s="210"/>
      <c r="S295" s="210"/>
      <c r="T295" s="211"/>
      <c r="AT295" s="204" t="s">
        <v>121</v>
      </c>
      <c r="AU295" s="204" t="s">
        <v>76</v>
      </c>
      <c r="AV295" s="208" t="s">
        <v>76</v>
      </c>
      <c r="AW295" s="208" t="s">
        <v>32</v>
      </c>
      <c r="AX295" s="208" t="s">
        <v>68</v>
      </c>
      <c r="AY295" s="204" t="s">
        <v>114</v>
      </c>
    </row>
    <row r="296" spans="2:51" s="198" customFormat="1" ht="12">
      <c r="B296" s="191"/>
      <c r="C296" s="192"/>
      <c r="D296" s="193" t="s">
        <v>121</v>
      </c>
      <c r="E296" s="194" t="s">
        <v>1</v>
      </c>
      <c r="F296" s="195" t="s">
        <v>310</v>
      </c>
      <c r="G296" s="196"/>
      <c r="H296" s="197" t="s">
        <v>1</v>
      </c>
      <c r="I296" s="71"/>
      <c r="L296" s="191"/>
      <c r="M296" s="199"/>
      <c r="N296" s="200"/>
      <c r="O296" s="200"/>
      <c r="P296" s="200"/>
      <c r="Q296" s="200"/>
      <c r="R296" s="200"/>
      <c r="S296" s="200"/>
      <c r="T296" s="201"/>
      <c r="AT296" s="194" t="s">
        <v>121</v>
      </c>
      <c r="AU296" s="194" t="s">
        <v>76</v>
      </c>
      <c r="AV296" s="198" t="s">
        <v>73</v>
      </c>
      <c r="AW296" s="198" t="s">
        <v>32</v>
      </c>
      <c r="AX296" s="198" t="s">
        <v>68</v>
      </c>
      <c r="AY296" s="194" t="s">
        <v>114</v>
      </c>
    </row>
    <row r="297" spans="2:51" s="208" customFormat="1" ht="12">
      <c r="B297" s="202"/>
      <c r="C297" s="203"/>
      <c r="D297" s="193" t="s">
        <v>121</v>
      </c>
      <c r="E297" s="204" t="s">
        <v>1</v>
      </c>
      <c r="F297" s="205">
        <v>-97.4</v>
      </c>
      <c r="G297" s="206"/>
      <c r="H297" s="207">
        <v>-97.4</v>
      </c>
      <c r="I297" s="70"/>
      <c r="L297" s="202"/>
      <c r="M297" s="209"/>
      <c r="N297" s="210"/>
      <c r="O297" s="210"/>
      <c r="P297" s="210"/>
      <c r="Q297" s="210"/>
      <c r="R297" s="210"/>
      <c r="S297" s="210"/>
      <c r="T297" s="211"/>
      <c r="AT297" s="204" t="s">
        <v>121</v>
      </c>
      <c r="AU297" s="204" t="s">
        <v>76</v>
      </c>
      <c r="AV297" s="208" t="s">
        <v>76</v>
      </c>
      <c r="AW297" s="208" t="s">
        <v>32</v>
      </c>
      <c r="AX297" s="208" t="s">
        <v>68</v>
      </c>
      <c r="AY297" s="204" t="s">
        <v>114</v>
      </c>
    </row>
    <row r="298" spans="2:51" s="198" customFormat="1" ht="12">
      <c r="B298" s="191"/>
      <c r="C298" s="192"/>
      <c r="D298" s="193" t="s">
        <v>121</v>
      </c>
      <c r="E298" s="194" t="s">
        <v>1</v>
      </c>
      <c r="F298" s="195" t="s">
        <v>311</v>
      </c>
      <c r="G298" s="196"/>
      <c r="H298" s="197" t="s">
        <v>1</v>
      </c>
      <c r="I298" s="71"/>
      <c r="L298" s="191"/>
      <c r="M298" s="199"/>
      <c r="N298" s="200"/>
      <c r="O298" s="200"/>
      <c r="P298" s="200"/>
      <c r="Q298" s="200"/>
      <c r="R298" s="200"/>
      <c r="S298" s="200"/>
      <c r="T298" s="201"/>
      <c r="AT298" s="194" t="s">
        <v>121</v>
      </c>
      <c r="AU298" s="194" t="s">
        <v>76</v>
      </c>
      <c r="AV298" s="198" t="s">
        <v>73</v>
      </c>
      <c r="AW298" s="198" t="s">
        <v>32</v>
      </c>
      <c r="AX298" s="198" t="s">
        <v>68</v>
      </c>
      <c r="AY298" s="194" t="s">
        <v>114</v>
      </c>
    </row>
    <row r="299" spans="2:51" s="208" customFormat="1" ht="12">
      <c r="B299" s="202"/>
      <c r="C299" s="203"/>
      <c r="D299" s="193" t="s">
        <v>121</v>
      </c>
      <c r="E299" s="204" t="s">
        <v>1</v>
      </c>
      <c r="F299" s="205" t="s">
        <v>312</v>
      </c>
      <c r="G299" s="206"/>
      <c r="H299" s="207">
        <v>-10.788</v>
      </c>
      <c r="I299" s="70"/>
      <c r="L299" s="202"/>
      <c r="M299" s="209"/>
      <c r="N299" s="210"/>
      <c r="O299" s="210"/>
      <c r="P299" s="210"/>
      <c r="Q299" s="210"/>
      <c r="R299" s="210"/>
      <c r="S299" s="210"/>
      <c r="T299" s="211"/>
      <c r="AT299" s="204" t="s">
        <v>121</v>
      </c>
      <c r="AU299" s="204" t="s">
        <v>76</v>
      </c>
      <c r="AV299" s="208" t="s">
        <v>76</v>
      </c>
      <c r="AW299" s="208" t="s">
        <v>32</v>
      </c>
      <c r="AX299" s="208" t="s">
        <v>68</v>
      </c>
      <c r="AY299" s="204" t="s">
        <v>114</v>
      </c>
    </row>
    <row r="300" spans="2:51" s="198" customFormat="1" ht="12">
      <c r="B300" s="191"/>
      <c r="C300" s="192"/>
      <c r="D300" s="193" t="s">
        <v>121</v>
      </c>
      <c r="E300" s="194" t="s">
        <v>1</v>
      </c>
      <c r="F300" s="195" t="s">
        <v>313</v>
      </c>
      <c r="G300" s="196"/>
      <c r="H300" s="197" t="s">
        <v>1</v>
      </c>
      <c r="I300" s="71"/>
      <c r="L300" s="191"/>
      <c r="M300" s="199"/>
      <c r="N300" s="200"/>
      <c r="O300" s="200"/>
      <c r="P300" s="200"/>
      <c r="Q300" s="200"/>
      <c r="R300" s="200"/>
      <c r="S300" s="200"/>
      <c r="T300" s="201"/>
      <c r="AT300" s="194" t="s">
        <v>121</v>
      </c>
      <c r="AU300" s="194" t="s">
        <v>76</v>
      </c>
      <c r="AV300" s="198" t="s">
        <v>73</v>
      </c>
      <c r="AW300" s="198" t="s">
        <v>32</v>
      </c>
      <c r="AX300" s="198" t="s">
        <v>68</v>
      </c>
      <c r="AY300" s="194" t="s">
        <v>114</v>
      </c>
    </row>
    <row r="301" spans="2:51" s="208" customFormat="1" ht="12">
      <c r="B301" s="202"/>
      <c r="C301" s="203"/>
      <c r="D301" s="193" t="s">
        <v>121</v>
      </c>
      <c r="E301" s="204" t="s">
        <v>1</v>
      </c>
      <c r="F301" s="205" t="s">
        <v>314</v>
      </c>
      <c r="G301" s="206"/>
      <c r="H301" s="207">
        <v>-1.717</v>
      </c>
      <c r="I301" s="70"/>
      <c r="L301" s="202"/>
      <c r="M301" s="209"/>
      <c r="N301" s="210"/>
      <c r="O301" s="210"/>
      <c r="P301" s="210"/>
      <c r="Q301" s="210"/>
      <c r="R301" s="210"/>
      <c r="S301" s="210"/>
      <c r="T301" s="211"/>
      <c r="AT301" s="204" t="s">
        <v>121</v>
      </c>
      <c r="AU301" s="204" t="s">
        <v>76</v>
      </c>
      <c r="AV301" s="208" t="s">
        <v>76</v>
      </c>
      <c r="AW301" s="208" t="s">
        <v>32</v>
      </c>
      <c r="AX301" s="208" t="s">
        <v>68</v>
      </c>
      <c r="AY301" s="204" t="s">
        <v>114</v>
      </c>
    </row>
    <row r="302" spans="2:51" s="198" customFormat="1" ht="12">
      <c r="B302" s="191"/>
      <c r="C302" s="192"/>
      <c r="D302" s="193" t="s">
        <v>121</v>
      </c>
      <c r="E302" s="194" t="s">
        <v>1</v>
      </c>
      <c r="F302" s="195" t="s">
        <v>315</v>
      </c>
      <c r="G302" s="196"/>
      <c r="H302" s="197" t="s">
        <v>1</v>
      </c>
      <c r="I302" s="71"/>
      <c r="L302" s="191"/>
      <c r="M302" s="199"/>
      <c r="N302" s="200"/>
      <c r="O302" s="200"/>
      <c r="P302" s="200"/>
      <c r="Q302" s="200"/>
      <c r="R302" s="200"/>
      <c r="S302" s="200"/>
      <c r="T302" s="201"/>
      <c r="AT302" s="194" t="s">
        <v>121</v>
      </c>
      <c r="AU302" s="194" t="s">
        <v>76</v>
      </c>
      <c r="AV302" s="198" t="s">
        <v>73</v>
      </c>
      <c r="AW302" s="198" t="s">
        <v>32</v>
      </c>
      <c r="AX302" s="198" t="s">
        <v>68</v>
      </c>
      <c r="AY302" s="194" t="s">
        <v>114</v>
      </c>
    </row>
    <row r="303" spans="2:51" s="198" customFormat="1" ht="12">
      <c r="B303" s="191"/>
      <c r="C303" s="192"/>
      <c r="D303" s="193" t="s">
        <v>121</v>
      </c>
      <c r="E303" s="194" t="s">
        <v>1</v>
      </c>
      <c r="F303" s="195" t="s">
        <v>316</v>
      </c>
      <c r="G303" s="196"/>
      <c r="H303" s="197" t="s">
        <v>1</v>
      </c>
      <c r="I303" s="71"/>
      <c r="L303" s="191"/>
      <c r="M303" s="199"/>
      <c r="N303" s="200"/>
      <c r="O303" s="200"/>
      <c r="P303" s="200"/>
      <c r="Q303" s="200"/>
      <c r="R303" s="200"/>
      <c r="S303" s="200"/>
      <c r="T303" s="201"/>
      <c r="AT303" s="194" t="s">
        <v>121</v>
      </c>
      <c r="AU303" s="194" t="s">
        <v>76</v>
      </c>
      <c r="AV303" s="198" t="s">
        <v>73</v>
      </c>
      <c r="AW303" s="198" t="s">
        <v>32</v>
      </c>
      <c r="AX303" s="198" t="s">
        <v>68</v>
      </c>
      <c r="AY303" s="194" t="s">
        <v>114</v>
      </c>
    </row>
    <row r="304" spans="2:51" s="208" customFormat="1" ht="12">
      <c r="B304" s="202"/>
      <c r="C304" s="203"/>
      <c r="D304" s="193" t="s">
        <v>121</v>
      </c>
      <c r="E304" s="204" t="s">
        <v>1</v>
      </c>
      <c r="F304" s="205" t="s">
        <v>317</v>
      </c>
      <c r="G304" s="206"/>
      <c r="H304" s="207">
        <v>-25.68</v>
      </c>
      <c r="I304" s="70"/>
      <c r="L304" s="202"/>
      <c r="M304" s="209"/>
      <c r="N304" s="210"/>
      <c r="O304" s="210"/>
      <c r="P304" s="210"/>
      <c r="Q304" s="210"/>
      <c r="R304" s="210"/>
      <c r="S304" s="210"/>
      <c r="T304" s="211"/>
      <c r="AT304" s="204" t="s">
        <v>121</v>
      </c>
      <c r="AU304" s="204" t="s">
        <v>76</v>
      </c>
      <c r="AV304" s="208" t="s">
        <v>76</v>
      </c>
      <c r="AW304" s="208" t="s">
        <v>32</v>
      </c>
      <c r="AX304" s="208" t="s">
        <v>68</v>
      </c>
      <c r="AY304" s="204" t="s">
        <v>114</v>
      </c>
    </row>
    <row r="305" spans="2:51" s="228" customFormat="1" ht="12">
      <c r="B305" s="222"/>
      <c r="C305" s="223"/>
      <c r="D305" s="193" t="s">
        <v>121</v>
      </c>
      <c r="E305" s="224" t="s">
        <v>1</v>
      </c>
      <c r="F305" s="225" t="s">
        <v>150</v>
      </c>
      <c r="G305" s="226"/>
      <c r="H305" s="227">
        <f>SUM(H295:H304)</f>
        <v>225.45999999999995</v>
      </c>
      <c r="I305" s="72"/>
      <c r="L305" s="222"/>
      <c r="M305" s="229"/>
      <c r="N305" s="230"/>
      <c r="O305" s="230"/>
      <c r="P305" s="230"/>
      <c r="Q305" s="230"/>
      <c r="R305" s="230"/>
      <c r="S305" s="230"/>
      <c r="T305" s="231"/>
      <c r="AT305" s="224" t="s">
        <v>121</v>
      </c>
      <c r="AU305" s="224" t="s">
        <v>76</v>
      </c>
      <c r="AV305" s="228" t="s">
        <v>119</v>
      </c>
      <c r="AW305" s="228" t="s">
        <v>32</v>
      </c>
      <c r="AX305" s="228" t="s">
        <v>73</v>
      </c>
      <c r="AY305" s="224" t="s">
        <v>114</v>
      </c>
    </row>
    <row r="306" spans="2:65" s="92" customFormat="1" ht="16.5" customHeight="1">
      <c r="B306" s="90"/>
      <c r="C306" s="257" t="s">
        <v>318</v>
      </c>
      <c r="D306" s="247" t="s">
        <v>319</v>
      </c>
      <c r="E306" s="248" t="s">
        <v>320</v>
      </c>
      <c r="F306" s="249" t="s">
        <v>321</v>
      </c>
      <c r="G306" s="250" t="s">
        <v>300</v>
      </c>
      <c r="H306" s="251">
        <f>H311</f>
        <v>202.91400000000002</v>
      </c>
      <c r="I306" s="76"/>
      <c r="J306" s="252">
        <f>ROUND(I306*H306,2)</f>
        <v>0</v>
      </c>
      <c r="K306" s="253" t="s">
        <v>1</v>
      </c>
      <c r="L306" s="254"/>
      <c r="M306" s="255" t="s">
        <v>1</v>
      </c>
      <c r="N306" s="256" t="s">
        <v>41</v>
      </c>
      <c r="O306" s="187"/>
      <c r="P306" s="188">
        <f>O306*H306</f>
        <v>0</v>
      </c>
      <c r="Q306" s="188">
        <v>1</v>
      </c>
      <c r="R306" s="188">
        <f>Q306*H306</f>
        <v>202.91400000000002</v>
      </c>
      <c r="S306" s="188">
        <v>0</v>
      </c>
      <c r="T306" s="189">
        <f>S306*H306</f>
        <v>0</v>
      </c>
      <c r="AR306" s="81" t="s">
        <v>183</v>
      </c>
      <c r="AT306" s="81" t="s">
        <v>319</v>
      </c>
      <c r="AU306" s="81" t="s">
        <v>76</v>
      </c>
      <c r="AY306" s="81" t="s">
        <v>114</v>
      </c>
      <c r="BE306" s="190">
        <f>IF(N306="základní",J306,0)</f>
        <v>0</v>
      </c>
      <c r="BF306" s="190">
        <f>IF(N306="snížená",J306,0)</f>
        <v>0</v>
      </c>
      <c r="BG306" s="190">
        <f>IF(N306="zákl. přenesená",J306,0)</f>
        <v>0</v>
      </c>
      <c r="BH306" s="190">
        <f>IF(N306="sníž. přenesená",J306,0)</f>
        <v>0</v>
      </c>
      <c r="BI306" s="190">
        <f>IF(N306="nulová",J306,0)</f>
        <v>0</v>
      </c>
      <c r="BJ306" s="81" t="s">
        <v>73</v>
      </c>
      <c r="BK306" s="190">
        <f>ROUND(I306*H306,2)</f>
        <v>0</v>
      </c>
      <c r="BL306" s="81" t="s">
        <v>119</v>
      </c>
      <c r="BM306" s="81" t="s">
        <v>322</v>
      </c>
    </row>
    <row r="307" spans="2:51" s="198" customFormat="1" ht="12">
      <c r="B307" s="191"/>
      <c r="C307" s="192"/>
      <c r="D307" s="193" t="s">
        <v>121</v>
      </c>
      <c r="E307" s="194" t="s">
        <v>1</v>
      </c>
      <c r="F307" s="195" t="s">
        <v>323</v>
      </c>
      <c r="G307" s="196"/>
      <c r="H307" s="197" t="s">
        <v>1</v>
      </c>
      <c r="I307" s="71"/>
      <c r="L307" s="191"/>
      <c r="M307" s="199"/>
      <c r="N307" s="200"/>
      <c r="O307" s="200"/>
      <c r="P307" s="200"/>
      <c r="Q307" s="200"/>
      <c r="R307" s="200"/>
      <c r="S307" s="200"/>
      <c r="T307" s="201"/>
      <c r="AT307" s="194" t="s">
        <v>121</v>
      </c>
      <c r="AU307" s="194" t="s">
        <v>76</v>
      </c>
      <c r="AV307" s="198" t="s">
        <v>73</v>
      </c>
      <c r="AW307" s="198" t="s">
        <v>32</v>
      </c>
      <c r="AX307" s="198" t="s">
        <v>68</v>
      </c>
      <c r="AY307" s="194" t="s">
        <v>114</v>
      </c>
    </row>
    <row r="308" spans="2:51" s="198" customFormat="1" ht="12">
      <c r="B308" s="191"/>
      <c r="C308" s="192"/>
      <c r="D308" s="193" t="s">
        <v>121</v>
      </c>
      <c r="E308" s="194" t="s">
        <v>1</v>
      </c>
      <c r="F308" s="195" t="s">
        <v>324</v>
      </c>
      <c r="G308" s="196"/>
      <c r="H308" s="197" t="s">
        <v>1</v>
      </c>
      <c r="I308" s="71"/>
      <c r="L308" s="191"/>
      <c r="M308" s="199"/>
      <c r="N308" s="200"/>
      <c r="O308" s="200"/>
      <c r="P308" s="200"/>
      <c r="Q308" s="200"/>
      <c r="R308" s="200"/>
      <c r="S308" s="200"/>
      <c r="T308" s="201"/>
      <c r="AT308" s="194" t="s">
        <v>121</v>
      </c>
      <c r="AU308" s="194" t="s">
        <v>76</v>
      </c>
      <c r="AV308" s="198" t="s">
        <v>73</v>
      </c>
      <c r="AW308" s="198" t="s">
        <v>32</v>
      </c>
      <c r="AX308" s="198" t="s">
        <v>68</v>
      </c>
      <c r="AY308" s="194" t="s">
        <v>114</v>
      </c>
    </row>
    <row r="309" spans="2:51" s="198" customFormat="1" ht="12">
      <c r="B309" s="191"/>
      <c r="C309" s="192"/>
      <c r="D309" s="193" t="s">
        <v>121</v>
      </c>
      <c r="E309" s="194" t="s">
        <v>1</v>
      </c>
      <c r="F309" s="195" t="s">
        <v>325</v>
      </c>
      <c r="G309" s="196"/>
      <c r="H309" s="197" t="s">
        <v>1</v>
      </c>
      <c r="I309" s="71"/>
      <c r="L309" s="191"/>
      <c r="M309" s="199"/>
      <c r="N309" s="200"/>
      <c r="O309" s="200"/>
      <c r="P309" s="200"/>
      <c r="Q309" s="200"/>
      <c r="R309" s="200"/>
      <c r="S309" s="200"/>
      <c r="T309" s="201"/>
      <c r="AT309" s="194" t="s">
        <v>121</v>
      </c>
      <c r="AU309" s="194" t="s">
        <v>76</v>
      </c>
      <c r="AV309" s="198" t="s">
        <v>73</v>
      </c>
      <c r="AW309" s="198" t="s">
        <v>32</v>
      </c>
      <c r="AX309" s="198" t="s">
        <v>68</v>
      </c>
      <c r="AY309" s="194" t="s">
        <v>114</v>
      </c>
    </row>
    <row r="310" spans="2:51" s="208" customFormat="1" ht="12">
      <c r="B310" s="202"/>
      <c r="C310" s="203"/>
      <c r="D310" s="193" t="s">
        <v>121</v>
      </c>
      <c r="E310" s="204" t="s">
        <v>1</v>
      </c>
      <c r="F310" s="205" t="s">
        <v>1472</v>
      </c>
      <c r="G310" s="206"/>
      <c r="H310" s="207">
        <f>225.46/2*1.8</f>
        <v>202.91400000000002</v>
      </c>
      <c r="I310" s="70"/>
      <c r="L310" s="202"/>
      <c r="M310" s="209"/>
      <c r="N310" s="210"/>
      <c r="O310" s="210"/>
      <c r="P310" s="210"/>
      <c r="Q310" s="210"/>
      <c r="R310" s="210"/>
      <c r="S310" s="210"/>
      <c r="T310" s="211"/>
      <c r="AT310" s="204" t="s">
        <v>121</v>
      </c>
      <c r="AU310" s="204" t="s">
        <v>76</v>
      </c>
      <c r="AV310" s="208" t="s">
        <v>76</v>
      </c>
      <c r="AW310" s="208" t="s">
        <v>32</v>
      </c>
      <c r="AX310" s="208" t="s">
        <v>68</v>
      </c>
      <c r="AY310" s="204" t="s">
        <v>114</v>
      </c>
    </row>
    <row r="311" spans="2:51" s="228" customFormat="1" ht="12">
      <c r="B311" s="222"/>
      <c r="C311" s="223"/>
      <c r="D311" s="193" t="s">
        <v>121</v>
      </c>
      <c r="E311" s="224" t="s">
        <v>1</v>
      </c>
      <c r="F311" s="225" t="s">
        <v>150</v>
      </c>
      <c r="G311" s="226"/>
      <c r="H311" s="227">
        <f>H310</f>
        <v>202.91400000000002</v>
      </c>
      <c r="I311" s="72"/>
      <c r="L311" s="222"/>
      <c r="M311" s="229"/>
      <c r="N311" s="230"/>
      <c r="O311" s="230"/>
      <c r="P311" s="230"/>
      <c r="Q311" s="230"/>
      <c r="R311" s="230"/>
      <c r="S311" s="230"/>
      <c r="T311" s="231"/>
      <c r="AT311" s="224" t="s">
        <v>121</v>
      </c>
      <c r="AU311" s="224" t="s">
        <v>76</v>
      </c>
      <c r="AV311" s="228" t="s">
        <v>119</v>
      </c>
      <c r="AW311" s="228" t="s">
        <v>32</v>
      </c>
      <c r="AX311" s="228" t="s">
        <v>73</v>
      </c>
      <c r="AY311" s="224" t="s">
        <v>114</v>
      </c>
    </row>
    <row r="312" spans="2:65" s="92" customFormat="1" ht="16.5" customHeight="1">
      <c r="B312" s="90"/>
      <c r="C312" s="177" t="s">
        <v>326</v>
      </c>
      <c r="D312" s="178" t="s">
        <v>116</v>
      </c>
      <c r="E312" s="179" t="s">
        <v>327</v>
      </c>
      <c r="F312" s="232" t="s">
        <v>328</v>
      </c>
      <c r="G312" s="233" t="s">
        <v>153</v>
      </c>
      <c r="H312" s="234">
        <f>H313</f>
        <v>453</v>
      </c>
      <c r="I312" s="69"/>
      <c r="J312" s="184">
        <f>ROUND(I312*H312,2)</f>
        <v>0</v>
      </c>
      <c r="K312" s="180" t="s">
        <v>154</v>
      </c>
      <c r="L312" s="90"/>
      <c r="M312" s="185" t="s">
        <v>1</v>
      </c>
      <c r="N312" s="186" t="s">
        <v>41</v>
      </c>
      <c r="O312" s="187"/>
      <c r="P312" s="188">
        <f>O312*H312</f>
        <v>0</v>
      </c>
      <c r="Q312" s="188">
        <v>0</v>
      </c>
      <c r="R312" s="188">
        <f>Q312*H312</f>
        <v>0</v>
      </c>
      <c r="S312" s="188">
        <v>0</v>
      </c>
      <c r="T312" s="189">
        <f>S312*H312</f>
        <v>0</v>
      </c>
      <c r="AR312" s="81" t="s">
        <v>119</v>
      </c>
      <c r="AT312" s="81" t="s">
        <v>116</v>
      </c>
      <c r="AU312" s="81" t="s">
        <v>76</v>
      </c>
      <c r="AY312" s="81" t="s">
        <v>114</v>
      </c>
      <c r="BE312" s="190">
        <f>IF(N312="základní",J312,0)</f>
        <v>0</v>
      </c>
      <c r="BF312" s="190">
        <f>IF(N312="snížená",J312,0)</f>
        <v>0</v>
      </c>
      <c r="BG312" s="190">
        <f>IF(N312="zákl. přenesená",J312,0)</f>
        <v>0</v>
      </c>
      <c r="BH312" s="190">
        <f>IF(N312="sníž. přenesená",J312,0)</f>
        <v>0</v>
      </c>
      <c r="BI312" s="190">
        <f>IF(N312="nulová",J312,0)</f>
        <v>0</v>
      </c>
      <c r="BJ312" s="81" t="s">
        <v>73</v>
      </c>
      <c r="BK312" s="190">
        <f>ROUND(I312*H312,2)</f>
        <v>0</v>
      </c>
      <c r="BL312" s="81" t="s">
        <v>119</v>
      </c>
      <c r="BM312" s="81" t="s">
        <v>329</v>
      </c>
    </row>
    <row r="313" spans="2:65" s="92" customFormat="1" ht="16.5" customHeight="1">
      <c r="B313" s="90"/>
      <c r="C313" s="177" t="s">
        <v>330</v>
      </c>
      <c r="D313" s="178" t="s">
        <v>116</v>
      </c>
      <c r="E313" s="179" t="s">
        <v>331</v>
      </c>
      <c r="F313" s="232" t="s">
        <v>332</v>
      </c>
      <c r="G313" s="233" t="s">
        <v>153</v>
      </c>
      <c r="H313" s="234">
        <f>H316</f>
        <v>453</v>
      </c>
      <c r="I313" s="69"/>
      <c r="J313" s="184">
        <f>ROUND(I313*H313,2)</f>
        <v>0</v>
      </c>
      <c r="K313" s="180" t="s">
        <v>154</v>
      </c>
      <c r="L313" s="90"/>
      <c r="M313" s="185" t="s">
        <v>1</v>
      </c>
      <c r="N313" s="186" t="s">
        <v>41</v>
      </c>
      <c r="O313" s="187"/>
      <c r="P313" s="188">
        <f>O313*H313</f>
        <v>0</v>
      </c>
      <c r="Q313" s="188">
        <v>0</v>
      </c>
      <c r="R313" s="188">
        <f>Q313*H313</f>
        <v>0</v>
      </c>
      <c r="S313" s="188">
        <v>0</v>
      </c>
      <c r="T313" s="189">
        <f>S313*H313</f>
        <v>0</v>
      </c>
      <c r="AR313" s="81" t="s">
        <v>119</v>
      </c>
      <c r="AT313" s="81" t="s">
        <v>116</v>
      </c>
      <c r="AU313" s="81" t="s">
        <v>76</v>
      </c>
      <c r="AY313" s="81" t="s">
        <v>114</v>
      </c>
      <c r="BE313" s="190">
        <f>IF(N313="základní",J313,0)</f>
        <v>0</v>
      </c>
      <c r="BF313" s="190">
        <f>IF(N313="snížená",J313,0)</f>
        <v>0</v>
      </c>
      <c r="BG313" s="190">
        <f>IF(N313="zákl. přenesená",J313,0)</f>
        <v>0</v>
      </c>
      <c r="BH313" s="190">
        <f>IF(N313="sníž. přenesená",J313,0)</f>
        <v>0</v>
      </c>
      <c r="BI313" s="190">
        <f>IF(N313="nulová",J313,0)</f>
        <v>0</v>
      </c>
      <c r="BJ313" s="81" t="s">
        <v>73</v>
      </c>
      <c r="BK313" s="190">
        <f>ROUND(I313*H313,2)</f>
        <v>0</v>
      </c>
      <c r="BL313" s="81" t="s">
        <v>119</v>
      </c>
      <c r="BM313" s="81" t="s">
        <v>333</v>
      </c>
    </row>
    <row r="314" spans="2:51" s="208" customFormat="1" ht="12">
      <c r="B314" s="202"/>
      <c r="C314" s="203"/>
      <c r="D314" s="193" t="s">
        <v>121</v>
      </c>
      <c r="E314" s="204" t="s">
        <v>1</v>
      </c>
      <c r="F314" s="205" t="s">
        <v>1489</v>
      </c>
      <c r="G314" s="206"/>
      <c r="H314" s="207">
        <f>(72+32+14)*3</f>
        <v>354</v>
      </c>
      <c r="I314" s="70"/>
      <c r="L314" s="202"/>
      <c r="M314" s="209"/>
      <c r="N314" s="210"/>
      <c r="O314" s="210"/>
      <c r="P314" s="210"/>
      <c r="Q314" s="210"/>
      <c r="R314" s="210"/>
      <c r="S314" s="210"/>
      <c r="T314" s="211"/>
      <c r="AT314" s="204" t="s">
        <v>121</v>
      </c>
      <c r="AU314" s="204" t="s">
        <v>76</v>
      </c>
      <c r="AV314" s="208" t="s">
        <v>76</v>
      </c>
      <c r="AW314" s="208" t="s">
        <v>32</v>
      </c>
      <c r="AX314" s="208" t="s">
        <v>68</v>
      </c>
      <c r="AY314" s="204" t="s">
        <v>114</v>
      </c>
    </row>
    <row r="315" spans="2:51" s="208" customFormat="1" ht="12">
      <c r="B315" s="202"/>
      <c r="C315" s="203"/>
      <c r="D315" s="193" t="s">
        <v>121</v>
      </c>
      <c r="E315" s="204" t="s">
        <v>1</v>
      </c>
      <c r="F315" s="205" t="s">
        <v>1473</v>
      </c>
      <c r="G315" s="206"/>
      <c r="H315" s="207">
        <f>7*10+2*6*2+2.5*2</f>
        <v>99</v>
      </c>
      <c r="I315" s="70"/>
      <c r="L315" s="202"/>
      <c r="M315" s="209"/>
      <c r="N315" s="210"/>
      <c r="O315" s="210"/>
      <c r="P315" s="210"/>
      <c r="Q315" s="210"/>
      <c r="R315" s="210"/>
      <c r="S315" s="210"/>
      <c r="T315" s="211"/>
      <c r="AT315" s="204" t="s">
        <v>121</v>
      </c>
      <c r="AU315" s="204" t="s">
        <v>76</v>
      </c>
      <c r="AV315" s="208" t="s">
        <v>76</v>
      </c>
      <c r="AW315" s="208" t="s">
        <v>32</v>
      </c>
      <c r="AX315" s="208" t="s">
        <v>68</v>
      </c>
      <c r="AY315" s="204" t="s">
        <v>114</v>
      </c>
    </row>
    <row r="316" spans="2:51" s="228" customFormat="1" ht="12">
      <c r="B316" s="222"/>
      <c r="C316" s="223"/>
      <c r="D316" s="193" t="s">
        <v>121</v>
      </c>
      <c r="E316" s="224" t="s">
        <v>1</v>
      </c>
      <c r="F316" s="225" t="s">
        <v>150</v>
      </c>
      <c r="G316" s="226"/>
      <c r="H316" s="227">
        <f>H314+H315</f>
        <v>453</v>
      </c>
      <c r="I316" s="72"/>
      <c r="L316" s="222"/>
      <c r="M316" s="229"/>
      <c r="N316" s="230"/>
      <c r="O316" s="230"/>
      <c r="P316" s="230"/>
      <c r="Q316" s="230"/>
      <c r="R316" s="230"/>
      <c r="S316" s="230"/>
      <c r="T316" s="231"/>
      <c r="AT316" s="224" t="s">
        <v>121</v>
      </c>
      <c r="AU316" s="224" t="s">
        <v>76</v>
      </c>
      <c r="AV316" s="228" t="s">
        <v>119</v>
      </c>
      <c r="AW316" s="228" t="s">
        <v>32</v>
      </c>
      <c r="AX316" s="228" t="s">
        <v>73</v>
      </c>
      <c r="AY316" s="224" t="s">
        <v>114</v>
      </c>
    </row>
    <row r="317" spans="2:65" s="92" customFormat="1" ht="16.5" customHeight="1">
      <c r="B317" s="90"/>
      <c r="C317" s="177" t="s">
        <v>334</v>
      </c>
      <c r="D317" s="178" t="s">
        <v>116</v>
      </c>
      <c r="E317" s="179" t="s">
        <v>335</v>
      </c>
      <c r="F317" s="232" t="s">
        <v>336</v>
      </c>
      <c r="G317" s="233" t="s">
        <v>153</v>
      </c>
      <c r="H317" s="234">
        <f>H319</f>
        <v>453</v>
      </c>
      <c r="I317" s="69"/>
      <c r="J317" s="184">
        <f>ROUND(I317*H317,2)</f>
        <v>0</v>
      </c>
      <c r="K317" s="180" t="s">
        <v>1</v>
      </c>
      <c r="L317" s="90"/>
      <c r="M317" s="185" t="s">
        <v>1</v>
      </c>
      <c r="N317" s="186" t="s">
        <v>41</v>
      </c>
      <c r="O317" s="187"/>
      <c r="P317" s="188">
        <f>O317*H317</f>
        <v>0</v>
      </c>
      <c r="Q317" s="188">
        <v>0</v>
      </c>
      <c r="R317" s="188">
        <f>Q317*H317</f>
        <v>0</v>
      </c>
      <c r="S317" s="188">
        <v>0</v>
      </c>
      <c r="T317" s="189">
        <f>S317*H317</f>
        <v>0</v>
      </c>
      <c r="AR317" s="81" t="s">
        <v>119</v>
      </c>
      <c r="AT317" s="81" t="s">
        <v>116</v>
      </c>
      <c r="AU317" s="81" t="s">
        <v>76</v>
      </c>
      <c r="AY317" s="81" t="s">
        <v>114</v>
      </c>
      <c r="BE317" s="190">
        <f>IF(N317="základní",J317,0)</f>
        <v>0</v>
      </c>
      <c r="BF317" s="190">
        <f>IF(N317="snížená",J317,0)</f>
        <v>0</v>
      </c>
      <c r="BG317" s="190">
        <f>IF(N317="zákl. přenesená",J317,0)</f>
        <v>0</v>
      </c>
      <c r="BH317" s="190">
        <f>IF(N317="sníž. přenesená",J317,0)</f>
        <v>0</v>
      </c>
      <c r="BI317" s="190">
        <f>IF(N317="nulová",J317,0)</f>
        <v>0</v>
      </c>
      <c r="BJ317" s="81" t="s">
        <v>73</v>
      </c>
      <c r="BK317" s="190">
        <f>ROUND(I317*H317,2)</f>
        <v>0</v>
      </c>
      <c r="BL317" s="81" t="s">
        <v>119</v>
      </c>
      <c r="BM317" s="81" t="s">
        <v>337</v>
      </c>
    </row>
    <row r="318" spans="2:51" s="208" customFormat="1" ht="12">
      <c r="B318" s="202"/>
      <c r="C318" s="203"/>
      <c r="D318" s="193" t="s">
        <v>121</v>
      </c>
      <c r="E318" s="204" t="s">
        <v>1</v>
      </c>
      <c r="F318" s="205">
        <v>453</v>
      </c>
      <c r="G318" s="206"/>
      <c r="H318" s="207">
        <v>453</v>
      </c>
      <c r="I318" s="70"/>
      <c r="L318" s="202"/>
      <c r="M318" s="209"/>
      <c r="N318" s="210"/>
      <c r="O318" s="210"/>
      <c r="P318" s="210"/>
      <c r="Q318" s="210"/>
      <c r="R318" s="210"/>
      <c r="S318" s="210"/>
      <c r="T318" s="211"/>
      <c r="AT318" s="204" t="s">
        <v>121</v>
      </c>
      <c r="AU318" s="204" t="s">
        <v>76</v>
      </c>
      <c r="AV318" s="208" t="s">
        <v>76</v>
      </c>
      <c r="AW318" s="208" t="s">
        <v>32</v>
      </c>
      <c r="AX318" s="208" t="s">
        <v>68</v>
      </c>
      <c r="AY318" s="204" t="s">
        <v>114</v>
      </c>
    </row>
    <row r="319" spans="2:51" s="228" customFormat="1" ht="12">
      <c r="B319" s="222"/>
      <c r="C319" s="223"/>
      <c r="D319" s="193" t="s">
        <v>121</v>
      </c>
      <c r="E319" s="224" t="s">
        <v>1</v>
      </c>
      <c r="F319" s="225" t="s">
        <v>150</v>
      </c>
      <c r="G319" s="226"/>
      <c r="H319" s="227">
        <f>H318</f>
        <v>453</v>
      </c>
      <c r="I319" s="72"/>
      <c r="L319" s="222"/>
      <c r="M319" s="229"/>
      <c r="N319" s="230"/>
      <c r="O319" s="230"/>
      <c r="P319" s="230"/>
      <c r="Q319" s="230"/>
      <c r="R319" s="230"/>
      <c r="S319" s="230"/>
      <c r="T319" s="231"/>
      <c r="AT319" s="224" t="s">
        <v>121</v>
      </c>
      <c r="AU319" s="224" t="s">
        <v>76</v>
      </c>
      <c r="AV319" s="228" t="s">
        <v>119</v>
      </c>
      <c r="AW319" s="228" t="s">
        <v>32</v>
      </c>
      <c r="AX319" s="228" t="s">
        <v>73</v>
      </c>
      <c r="AY319" s="224" t="s">
        <v>114</v>
      </c>
    </row>
    <row r="320" spans="2:65" s="92" customFormat="1" ht="16.5" customHeight="1">
      <c r="B320" s="90"/>
      <c r="C320" s="257" t="s">
        <v>338</v>
      </c>
      <c r="D320" s="247" t="s">
        <v>319</v>
      </c>
      <c r="E320" s="248" t="s">
        <v>339</v>
      </c>
      <c r="F320" s="249" t="s">
        <v>340</v>
      </c>
      <c r="G320" s="250" t="s">
        <v>341</v>
      </c>
      <c r="H320" s="251">
        <v>11.44</v>
      </c>
      <c r="I320" s="76"/>
      <c r="J320" s="252">
        <f>ROUND(I320*H320,2)</f>
        <v>0</v>
      </c>
      <c r="K320" s="253" t="s">
        <v>1</v>
      </c>
      <c r="L320" s="254"/>
      <c r="M320" s="255" t="s">
        <v>1</v>
      </c>
      <c r="N320" s="256" t="s">
        <v>41</v>
      </c>
      <c r="O320" s="187"/>
      <c r="P320" s="188">
        <f>O320*H320</f>
        <v>0</v>
      </c>
      <c r="Q320" s="188">
        <v>0.001</v>
      </c>
      <c r="R320" s="188">
        <f>Q320*H320</f>
        <v>0.01144</v>
      </c>
      <c r="S320" s="188">
        <v>0</v>
      </c>
      <c r="T320" s="189">
        <f>S320*H320</f>
        <v>0</v>
      </c>
      <c r="AR320" s="81" t="s">
        <v>183</v>
      </c>
      <c r="AT320" s="81" t="s">
        <v>319</v>
      </c>
      <c r="AU320" s="81" t="s">
        <v>76</v>
      </c>
      <c r="AY320" s="81" t="s">
        <v>114</v>
      </c>
      <c r="BE320" s="190">
        <f>IF(N320="základní",J320,0)</f>
        <v>0</v>
      </c>
      <c r="BF320" s="190">
        <f>IF(N320="snížená",J320,0)</f>
        <v>0</v>
      </c>
      <c r="BG320" s="190">
        <f>IF(N320="zákl. přenesená",J320,0)</f>
        <v>0</v>
      </c>
      <c r="BH320" s="190">
        <f>IF(N320="sníž. přenesená",J320,0)</f>
        <v>0</v>
      </c>
      <c r="BI320" s="190">
        <f>IF(N320="nulová",J320,0)</f>
        <v>0</v>
      </c>
      <c r="BJ320" s="81" t="s">
        <v>73</v>
      </c>
      <c r="BK320" s="190">
        <f>ROUND(I320*H320,2)</f>
        <v>0</v>
      </c>
      <c r="BL320" s="81" t="s">
        <v>119</v>
      </c>
      <c r="BM320" s="81" t="s">
        <v>342</v>
      </c>
    </row>
    <row r="321" spans="2:51" s="208" customFormat="1" ht="12">
      <c r="B321" s="202"/>
      <c r="C321" s="203"/>
      <c r="D321" s="193" t="s">
        <v>121</v>
      </c>
      <c r="E321" s="204" t="s">
        <v>1</v>
      </c>
      <c r="F321" s="205" t="s">
        <v>1474</v>
      </c>
      <c r="G321" s="206"/>
      <c r="H321" s="207">
        <f>453*0.04</f>
        <v>18.12</v>
      </c>
      <c r="I321" s="70"/>
      <c r="L321" s="202"/>
      <c r="M321" s="209"/>
      <c r="N321" s="210"/>
      <c r="O321" s="210"/>
      <c r="P321" s="210"/>
      <c r="Q321" s="210"/>
      <c r="R321" s="210"/>
      <c r="S321" s="210"/>
      <c r="T321" s="211"/>
      <c r="AT321" s="204" t="s">
        <v>121</v>
      </c>
      <c r="AU321" s="204" t="s">
        <v>76</v>
      </c>
      <c r="AV321" s="208" t="s">
        <v>76</v>
      </c>
      <c r="AW321" s="208" t="s">
        <v>32</v>
      </c>
      <c r="AX321" s="208" t="s">
        <v>68</v>
      </c>
      <c r="AY321" s="204" t="s">
        <v>114</v>
      </c>
    </row>
    <row r="322" spans="2:51" s="228" customFormat="1" ht="12">
      <c r="B322" s="222"/>
      <c r="C322" s="223"/>
      <c r="D322" s="193" t="s">
        <v>121</v>
      </c>
      <c r="E322" s="224" t="s">
        <v>1</v>
      </c>
      <c r="F322" s="225" t="s">
        <v>150</v>
      </c>
      <c r="G322" s="226"/>
      <c r="H322" s="227">
        <v>11.44</v>
      </c>
      <c r="I322" s="72"/>
      <c r="L322" s="222"/>
      <c r="M322" s="229"/>
      <c r="N322" s="230"/>
      <c r="O322" s="230"/>
      <c r="P322" s="230"/>
      <c r="Q322" s="230"/>
      <c r="R322" s="230"/>
      <c r="S322" s="230"/>
      <c r="T322" s="231"/>
      <c r="AT322" s="224" t="s">
        <v>121</v>
      </c>
      <c r="AU322" s="224" t="s">
        <v>76</v>
      </c>
      <c r="AV322" s="228" t="s">
        <v>119</v>
      </c>
      <c r="AW322" s="228" t="s">
        <v>32</v>
      </c>
      <c r="AX322" s="228" t="s">
        <v>73</v>
      </c>
      <c r="AY322" s="224" t="s">
        <v>114</v>
      </c>
    </row>
    <row r="323" spans="2:65" s="92" customFormat="1" ht="16.5" customHeight="1">
      <c r="B323" s="90"/>
      <c r="C323" s="177" t="s">
        <v>343</v>
      </c>
      <c r="D323" s="178" t="s">
        <v>116</v>
      </c>
      <c r="E323" s="179" t="s">
        <v>344</v>
      </c>
      <c r="F323" s="232" t="s">
        <v>345</v>
      </c>
      <c r="G323" s="233" t="s">
        <v>153</v>
      </c>
      <c r="H323" s="234">
        <f>H325</f>
        <v>1812</v>
      </c>
      <c r="I323" s="69"/>
      <c r="J323" s="184">
        <f>ROUND(I323*H323,2)</f>
        <v>0</v>
      </c>
      <c r="K323" s="180" t="s">
        <v>1</v>
      </c>
      <c r="L323" s="90"/>
      <c r="M323" s="185" t="s">
        <v>1</v>
      </c>
      <c r="N323" s="186" t="s">
        <v>41</v>
      </c>
      <c r="O323" s="187"/>
      <c r="P323" s="188">
        <f>O323*H323</f>
        <v>0</v>
      </c>
      <c r="Q323" s="188">
        <v>0</v>
      </c>
      <c r="R323" s="188">
        <f>Q323*H323</f>
        <v>0</v>
      </c>
      <c r="S323" s="188">
        <v>0</v>
      </c>
      <c r="T323" s="189">
        <f>S323*H323</f>
        <v>0</v>
      </c>
      <c r="AR323" s="81" t="s">
        <v>119</v>
      </c>
      <c r="AT323" s="81" t="s">
        <v>116</v>
      </c>
      <c r="AU323" s="81" t="s">
        <v>76</v>
      </c>
      <c r="AY323" s="81" t="s">
        <v>114</v>
      </c>
      <c r="BE323" s="190">
        <f>IF(N323="základní",J323,0)</f>
        <v>0</v>
      </c>
      <c r="BF323" s="190">
        <f>IF(N323="snížená",J323,0)</f>
        <v>0</v>
      </c>
      <c r="BG323" s="190">
        <f>IF(N323="zákl. přenesená",J323,0)</f>
        <v>0</v>
      </c>
      <c r="BH323" s="190">
        <f>IF(N323="sníž. přenesená",J323,0)</f>
        <v>0</v>
      </c>
      <c r="BI323" s="190">
        <f>IF(N323="nulová",J323,0)</f>
        <v>0</v>
      </c>
      <c r="BJ323" s="81" t="s">
        <v>73</v>
      </c>
      <c r="BK323" s="190">
        <f>ROUND(I323*H323,2)</f>
        <v>0</v>
      </c>
      <c r="BL323" s="81" t="s">
        <v>119</v>
      </c>
      <c r="BM323" s="81" t="s">
        <v>346</v>
      </c>
    </row>
    <row r="324" spans="2:51" s="198" customFormat="1" ht="12">
      <c r="B324" s="191"/>
      <c r="C324" s="192"/>
      <c r="D324" s="193" t="s">
        <v>121</v>
      </c>
      <c r="E324" s="194" t="s">
        <v>1</v>
      </c>
      <c r="F324" s="195" t="s">
        <v>347</v>
      </c>
      <c r="G324" s="196"/>
      <c r="H324" s="197" t="s">
        <v>1</v>
      </c>
      <c r="I324" s="71"/>
      <c r="L324" s="191"/>
      <c r="M324" s="199"/>
      <c r="N324" s="200"/>
      <c r="O324" s="200"/>
      <c r="P324" s="200"/>
      <c r="Q324" s="200"/>
      <c r="R324" s="200"/>
      <c r="S324" s="200"/>
      <c r="T324" s="201"/>
      <c r="AT324" s="194" t="s">
        <v>121</v>
      </c>
      <c r="AU324" s="194" t="s">
        <v>76</v>
      </c>
      <c r="AV324" s="198" t="s">
        <v>73</v>
      </c>
      <c r="AW324" s="198" t="s">
        <v>32</v>
      </c>
      <c r="AX324" s="198" t="s">
        <v>68</v>
      </c>
      <c r="AY324" s="194" t="s">
        <v>114</v>
      </c>
    </row>
    <row r="325" spans="2:51" s="208" customFormat="1" ht="12">
      <c r="B325" s="202"/>
      <c r="C325" s="203"/>
      <c r="D325" s="193" t="s">
        <v>121</v>
      </c>
      <c r="E325" s="204" t="s">
        <v>1</v>
      </c>
      <c r="F325" s="205" t="s">
        <v>1475</v>
      </c>
      <c r="G325" s="206"/>
      <c r="H325" s="207">
        <f>453*4</f>
        <v>1812</v>
      </c>
      <c r="I325" s="70"/>
      <c r="L325" s="202"/>
      <c r="M325" s="209"/>
      <c r="N325" s="210"/>
      <c r="O325" s="210"/>
      <c r="P325" s="210"/>
      <c r="Q325" s="210"/>
      <c r="R325" s="210"/>
      <c r="S325" s="210"/>
      <c r="T325" s="211"/>
      <c r="AT325" s="204" t="s">
        <v>121</v>
      </c>
      <c r="AU325" s="204" t="s">
        <v>76</v>
      </c>
      <c r="AV325" s="208" t="s">
        <v>76</v>
      </c>
      <c r="AW325" s="208" t="s">
        <v>32</v>
      </c>
      <c r="AX325" s="208" t="s">
        <v>68</v>
      </c>
      <c r="AY325" s="204" t="s">
        <v>114</v>
      </c>
    </row>
    <row r="326" spans="2:51" s="228" customFormat="1" ht="12">
      <c r="B326" s="222"/>
      <c r="C326" s="223"/>
      <c r="D326" s="193" t="s">
        <v>121</v>
      </c>
      <c r="E326" s="224" t="s">
        <v>1</v>
      </c>
      <c r="F326" s="225" t="s">
        <v>150</v>
      </c>
      <c r="G326" s="226"/>
      <c r="H326" s="227">
        <f>H325</f>
        <v>1812</v>
      </c>
      <c r="I326" s="72"/>
      <c r="L326" s="222"/>
      <c r="M326" s="229"/>
      <c r="N326" s="230"/>
      <c r="O326" s="230"/>
      <c r="P326" s="230"/>
      <c r="Q326" s="230"/>
      <c r="R326" s="230"/>
      <c r="S326" s="230"/>
      <c r="T326" s="231"/>
      <c r="AT326" s="224" t="s">
        <v>121</v>
      </c>
      <c r="AU326" s="224" t="s">
        <v>76</v>
      </c>
      <c r="AV326" s="228" t="s">
        <v>119</v>
      </c>
      <c r="AW326" s="228" t="s">
        <v>32</v>
      </c>
      <c r="AX326" s="228" t="s">
        <v>73</v>
      </c>
      <c r="AY326" s="224" t="s">
        <v>114</v>
      </c>
    </row>
    <row r="327" spans="2:63" s="166" customFormat="1" ht="22.9" customHeight="1">
      <c r="B327" s="162"/>
      <c r="C327" s="163"/>
      <c r="D327" s="164" t="s">
        <v>67</v>
      </c>
      <c r="E327" s="175" t="s">
        <v>76</v>
      </c>
      <c r="F327" s="258" t="s">
        <v>348</v>
      </c>
      <c r="G327" s="167"/>
      <c r="H327" s="167"/>
      <c r="I327" s="74"/>
      <c r="J327" s="176">
        <f>SUM(J328:J332)</f>
        <v>0</v>
      </c>
      <c r="L327" s="162"/>
      <c r="M327" s="169"/>
      <c r="N327" s="170"/>
      <c r="O327" s="170"/>
      <c r="P327" s="171">
        <f>SUM(P328:P332)</f>
        <v>0</v>
      </c>
      <c r="Q327" s="170"/>
      <c r="R327" s="171">
        <f>SUM(R328:R332)</f>
        <v>11.529</v>
      </c>
      <c r="S327" s="170"/>
      <c r="T327" s="172">
        <f>SUM(T328:T332)</f>
        <v>0</v>
      </c>
      <c r="AR327" s="164" t="s">
        <v>73</v>
      </c>
      <c r="AT327" s="173" t="s">
        <v>67</v>
      </c>
      <c r="AU327" s="173" t="s">
        <v>73</v>
      </c>
      <c r="AY327" s="164" t="s">
        <v>114</v>
      </c>
      <c r="BK327" s="174">
        <f>SUM(BK328:BK332)</f>
        <v>0</v>
      </c>
    </row>
    <row r="328" spans="2:65" s="92" customFormat="1" ht="16.5" customHeight="1">
      <c r="B328" s="90"/>
      <c r="C328" s="177" t="s">
        <v>349</v>
      </c>
      <c r="D328" s="178" t="s">
        <v>116</v>
      </c>
      <c r="E328" s="179" t="s">
        <v>350</v>
      </c>
      <c r="F328" s="232" t="s">
        <v>351</v>
      </c>
      <c r="G328" s="233" t="s">
        <v>176</v>
      </c>
      <c r="H328" s="234">
        <v>50</v>
      </c>
      <c r="I328" s="69"/>
      <c r="J328" s="184">
        <f>ROUND(I328*H328,2)</f>
        <v>0</v>
      </c>
      <c r="K328" s="180" t="s">
        <v>154</v>
      </c>
      <c r="L328" s="90"/>
      <c r="M328" s="185" t="s">
        <v>1</v>
      </c>
      <c r="N328" s="186" t="s">
        <v>41</v>
      </c>
      <c r="O328" s="187"/>
      <c r="P328" s="188">
        <f>O328*H328</f>
        <v>0</v>
      </c>
      <c r="Q328" s="188">
        <v>0.23058</v>
      </c>
      <c r="R328" s="188">
        <f>Q328*H328</f>
        <v>11.529</v>
      </c>
      <c r="S328" s="188">
        <v>0</v>
      </c>
      <c r="T328" s="189">
        <f>S328*H328</f>
        <v>0</v>
      </c>
      <c r="AR328" s="81" t="s">
        <v>119</v>
      </c>
      <c r="AT328" s="81" t="s">
        <v>116</v>
      </c>
      <c r="AU328" s="81" t="s">
        <v>76</v>
      </c>
      <c r="AY328" s="81" t="s">
        <v>114</v>
      </c>
      <c r="BE328" s="190">
        <f>IF(N328="základní",J328,0)</f>
        <v>0</v>
      </c>
      <c r="BF328" s="190">
        <f>IF(N328="snížená",J328,0)</f>
        <v>0</v>
      </c>
      <c r="BG328" s="190">
        <f>IF(N328="zákl. přenesená",J328,0)</f>
        <v>0</v>
      </c>
      <c r="BH328" s="190">
        <f>IF(N328="sníž. přenesená",J328,0)</f>
        <v>0</v>
      </c>
      <c r="BI328" s="190">
        <f>IF(N328="nulová",J328,0)</f>
        <v>0</v>
      </c>
      <c r="BJ328" s="81" t="s">
        <v>73</v>
      </c>
      <c r="BK328" s="190">
        <f>ROUND(I328*H328,2)</f>
        <v>0</v>
      </c>
      <c r="BL328" s="81" t="s">
        <v>119</v>
      </c>
      <c r="BM328" s="81" t="s">
        <v>352</v>
      </c>
    </row>
    <row r="329" spans="2:51" s="198" customFormat="1" ht="12">
      <c r="B329" s="191"/>
      <c r="C329" s="192"/>
      <c r="D329" s="193" t="s">
        <v>121</v>
      </c>
      <c r="E329" s="194" t="s">
        <v>1</v>
      </c>
      <c r="F329" s="195" t="s">
        <v>353</v>
      </c>
      <c r="G329" s="196"/>
      <c r="H329" s="197" t="s">
        <v>1</v>
      </c>
      <c r="I329" s="71"/>
      <c r="L329" s="191"/>
      <c r="M329" s="199"/>
      <c r="N329" s="200"/>
      <c r="O329" s="200"/>
      <c r="P329" s="200"/>
      <c r="Q329" s="200"/>
      <c r="R329" s="200"/>
      <c r="S329" s="200"/>
      <c r="T329" s="201"/>
      <c r="AT329" s="194" t="s">
        <v>121</v>
      </c>
      <c r="AU329" s="194" t="s">
        <v>76</v>
      </c>
      <c r="AV329" s="198" t="s">
        <v>73</v>
      </c>
      <c r="AW329" s="198" t="s">
        <v>32</v>
      </c>
      <c r="AX329" s="198" t="s">
        <v>68</v>
      </c>
      <c r="AY329" s="194" t="s">
        <v>114</v>
      </c>
    </row>
    <row r="330" spans="2:51" s="208" customFormat="1" ht="12">
      <c r="B330" s="202"/>
      <c r="C330" s="203"/>
      <c r="D330" s="193" t="s">
        <v>121</v>
      </c>
      <c r="E330" s="204" t="s">
        <v>1</v>
      </c>
      <c r="F330" s="205" t="s">
        <v>354</v>
      </c>
      <c r="G330" s="206"/>
      <c r="H330" s="207">
        <v>50</v>
      </c>
      <c r="I330" s="70"/>
      <c r="L330" s="202"/>
      <c r="M330" s="209"/>
      <c r="N330" s="210"/>
      <c r="O330" s="210"/>
      <c r="P330" s="210"/>
      <c r="Q330" s="210"/>
      <c r="R330" s="210"/>
      <c r="S330" s="210"/>
      <c r="T330" s="211"/>
      <c r="AT330" s="204" t="s">
        <v>121</v>
      </c>
      <c r="AU330" s="204" t="s">
        <v>76</v>
      </c>
      <c r="AV330" s="208" t="s">
        <v>76</v>
      </c>
      <c r="AW330" s="208" t="s">
        <v>32</v>
      </c>
      <c r="AX330" s="208" t="s">
        <v>68</v>
      </c>
      <c r="AY330" s="204" t="s">
        <v>114</v>
      </c>
    </row>
    <row r="331" spans="2:51" s="228" customFormat="1" ht="12">
      <c r="B331" s="222"/>
      <c r="C331" s="223"/>
      <c r="D331" s="193" t="s">
        <v>121</v>
      </c>
      <c r="E331" s="224" t="s">
        <v>1</v>
      </c>
      <c r="F331" s="225" t="s">
        <v>150</v>
      </c>
      <c r="G331" s="226"/>
      <c r="H331" s="227">
        <v>50</v>
      </c>
      <c r="I331" s="72"/>
      <c r="L331" s="222"/>
      <c r="M331" s="229"/>
      <c r="N331" s="230"/>
      <c r="O331" s="230"/>
      <c r="P331" s="230"/>
      <c r="Q331" s="230"/>
      <c r="R331" s="230"/>
      <c r="S331" s="230"/>
      <c r="T331" s="231"/>
      <c r="AT331" s="224" t="s">
        <v>121</v>
      </c>
      <c r="AU331" s="224" t="s">
        <v>76</v>
      </c>
      <c r="AV331" s="228" t="s">
        <v>119</v>
      </c>
      <c r="AW331" s="228" t="s">
        <v>32</v>
      </c>
      <c r="AX331" s="228" t="s">
        <v>73</v>
      </c>
      <c r="AY331" s="224" t="s">
        <v>114</v>
      </c>
    </row>
    <row r="332" spans="2:65" s="92" customFormat="1" ht="22.5" customHeight="1">
      <c r="B332" s="90"/>
      <c r="C332" s="177" t="s">
        <v>355</v>
      </c>
      <c r="D332" s="178" t="s">
        <v>116</v>
      </c>
      <c r="E332" s="179" t="s">
        <v>356</v>
      </c>
      <c r="F332" s="232" t="s">
        <v>357</v>
      </c>
      <c r="G332" s="233" t="s">
        <v>358</v>
      </c>
      <c r="H332" s="234">
        <v>2</v>
      </c>
      <c r="I332" s="69"/>
      <c r="J332" s="184">
        <f>ROUND(I332*H332,2)</f>
        <v>0</v>
      </c>
      <c r="K332" s="180" t="s">
        <v>1</v>
      </c>
      <c r="L332" s="90"/>
      <c r="M332" s="185" t="s">
        <v>1</v>
      </c>
      <c r="N332" s="186" t="s">
        <v>41</v>
      </c>
      <c r="O332" s="187"/>
      <c r="P332" s="188">
        <f>O332*H332</f>
        <v>0</v>
      </c>
      <c r="Q332" s="188">
        <v>0</v>
      </c>
      <c r="R332" s="188">
        <f>Q332*H332</f>
        <v>0</v>
      </c>
      <c r="S332" s="188">
        <v>0</v>
      </c>
      <c r="T332" s="189">
        <f>S332*H332</f>
        <v>0</v>
      </c>
      <c r="AR332" s="81" t="s">
        <v>119</v>
      </c>
      <c r="AT332" s="81" t="s">
        <v>116</v>
      </c>
      <c r="AU332" s="81" t="s">
        <v>76</v>
      </c>
      <c r="AY332" s="81" t="s">
        <v>114</v>
      </c>
      <c r="BE332" s="190">
        <f>IF(N332="základní",J332,0)</f>
        <v>0</v>
      </c>
      <c r="BF332" s="190">
        <f>IF(N332="snížená",J332,0)</f>
        <v>0</v>
      </c>
      <c r="BG332" s="190">
        <f>IF(N332="zákl. přenesená",J332,0)</f>
        <v>0</v>
      </c>
      <c r="BH332" s="190">
        <f>IF(N332="sníž. přenesená",J332,0)</f>
        <v>0</v>
      </c>
      <c r="BI332" s="190">
        <f>IF(N332="nulová",J332,0)</f>
        <v>0</v>
      </c>
      <c r="BJ332" s="81" t="s">
        <v>73</v>
      </c>
      <c r="BK332" s="190">
        <f>ROUND(I332*H332,2)</f>
        <v>0</v>
      </c>
      <c r="BL332" s="81" t="s">
        <v>119</v>
      </c>
      <c r="BM332" s="81" t="s">
        <v>359</v>
      </c>
    </row>
    <row r="333" spans="2:63" s="166" customFormat="1" ht="22.9" customHeight="1">
      <c r="B333" s="162"/>
      <c r="C333" s="163"/>
      <c r="D333" s="164" t="s">
        <v>67</v>
      </c>
      <c r="E333" s="175" t="s">
        <v>119</v>
      </c>
      <c r="F333" s="258" t="s">
        <v>360</v>
      </c>
      <c r="G333" s="167"/>
      <c r="H333" s="167"/>
      <c r="I333" s="74"/>
      <c r="J333" s="176">
        <f>SUM(J334:J346)</f>
        <v>0</v>
      </c>
      <c r="L333" s="162"/>
      <c r="M333" s="169"/>
      <c r="N333" s="170"/>
      <c r="O333" s="170"/>
      <c r="P333" s="171">
        <f>SUM(P334:P346)</f>
        <v>0</v>
      </c>
      <c r="Q333" s="170"/>
      <c r="R333" s="171">
        <f>SUM(R334:R346)</f>
        <v>4.3655078000000005</v>
      </c>
      <c r="S333" s="170"/>
      <c r="T333" s="172">
        <f>SUM(T334:T346)</f>
        <v>0</v>
      </c>
      <c r="AR333" s="164" t="s">
        <v>73</v>
      </c>
      <c r="AT333" s="173" t="s">
        <v>67</v>
      </c>
      <c r="AU333" s="173" t="s">
        <v>73</v>
      </c>
      <c r="AY333" s="164" t="s">
        <v>114</v>
      </c>
      <c r="BK333" s="174">
        <f>SUM(BK334:BK346)</f>
        <v>0</v>
      </c>
    </row>
    <row r="334" spans="2:65" s="92" customFormat="1" ht="16.5" customHeight="1">
      <c r="B334" s="90"/>
      <c r="C334" s="177" t="s">
        <v>361</v>
      </c>
      <c r="D334" s="178" t="s">
        <v>116</v>
      </c>
      <c r="E334" s="179" t="s">
        <v>362</v>
      </c>
      <c r="F334" s="232" t="s">
        <v>363</v>
      </c>
      <c r="G334" s="233" t="s">
        <v>191</v>
      </c>
      <c r="H334" s="234">
        <v>1.717</v>
      </c>
      <c r="I334" s="69"/>
      <c r="J334" s="184">
        <f>ROUND(I334*H334,2)</f>
        <v>0</v>
      </c>
      <c r="K334" s="180" t="s">
        <v>154</v>
      </c>
      <c r="L334" s="90"/>
      <c r="M334" s="185" t="s">
        <v>1</v>
      </c>
      <c r="N334" s="186" t="s">
        <v>41</v>
      </c>
      <c r="O334" s="187"/>
      <c r="P334" s="188">
        <f>O334*H334</f>
        <v>0</v>
      </c>
      <c r="Q334" s="188">
        <v>1.7034</v>
      </c>
      <c r="R334" s="188">
        <f>Q334*H334</f>
        <v>2.9247378000000004</v>
      </c>
      <c r="S334" s="188">
        <v>0</v>
      </c>
      <c r="T334" s="189">
        <f>S334*H334</f>
        <v>0</v>
      </c>
      <c r="AR334" s="81" t="s">
        <v>119</v>
      </c>
      <c r="AT334" s="81" t="s">
        <v>116</v>
      </c>
      <c r="AU334" s="81" t="s">
        <v>76</v>
      </c>
      <c r="AY334" s="81" t="s">
        <v>114</v>
      </c>
      <c r="BE334" s="190">
        <f>IF(N334="základní",J334,0)</f>
        <v>0</v>
      </c>
      <c r="BF334" s="190">
        <f>IF(N334="snížená",J334,0)</f>
        <v>0</v>
      </c>
      <c r="BG334" s="190">
        <f>IF(N334="zákl. přenesená",J334,0)</f>
        <v>0</v>
      </c>
      <c r="BH334" s="190">
        <f>IF(N334="sníž. přenesená",J334,0)</f>
        <v>0</v>
      </c>
      <c r="BI334" s="190">
        <f>IF(N334="nulová",J334,0)</f>
        <v>0</v>
      </c>
      <c r="BJ334" s="81" t="s">
        <v>73</v>
      </c>
      <c r="BK334" s="190">
        <f>ROUND(I334*H334,2)</f>
        <v>0</v>
      </c>
      <c r="BL334" s="81" t="s">
        <v>119</v>
      </c>
      <c r="BM334" s="81" t="s">
        <v>364</v>
      </c>
    </row>
    <row r="335" spans="2:51" s="198" customFormat="1" ht="12">
      <c r="B335" s="191"/>
      <c r="C335" s="192"/>
      <c r="D335" s="193" t="s">
        <v>121</v>
      </c>
      <c r="E335" s="194" t="s">
        <v>1</v>
      </c>
      <c r="F335" s="195" t="s">
        <v>365</v>
      </c>
      <c r="G335" s="196"/>
      <c r="H335" s="197" t="s">
        <v>1</v>
      </c>
      <c r="I335" s="71"/>
      <c r="L335" s="191"/>
      <c r="M335" s="199"/>
      <c r="N335" s="200"/>
      <c r="O335" s="200"/>
      <c r="P335" s="200"/>
      <c r="Q335" s="200"/>
      <c r="R335" s="200"/>
      <c r="S335" s="200"/>
      <c r="T335" s="201"/>
      <c r="AT335" s="194" t="s">
        <v>121</v>
      </c>
      <c r="AU335" s="194" t="s">
        <v>76</v>
      </c>
      <c r="AV335" s="198" t="s">
        <v>73</v>
      </c>
      <c r="AW335" s="198" t="s">
        <v>32</v>
      </c>
      <c r="AX335" s="198" t="s">
        <v>68</v>
      </c>
      <c r="AY335" s="194" t="s">
        <v>114</v>
      </c>
    </row>
    <row r="336" spans="2:51" s="208" customFormat="1" ht="12">
      <c r="B336" s="202"/>
      <c r="C336" s="203"/>
      <c r="D336" s="193" t="s">
        <v>121</v>
      </c>
      <c r="E336" s="204" t="s">
        <v>1</v>
      </c>
      <c r="F336" s="205" t="s">
        <v>366</v>
      </c>
      <c r="G336" s="206"/>
      <c r="H336" s="207">
        <v>1.717</v>
      </c>
      <c r="I336" s="70"/>
      <c r="L336" s="202"/>
      <c r="M336" s="209"/>
      <c r="N336" s="210"/>
      <c r="O336" s="210"/>
      <c r="P336" s="210"/>
      <c r="Q336" s="210"/>
      <c r="R336" s="210"/>
      <c r="S336" s="210"/>
      <c r="T336" s="211"/>
      <c r="AT336" s="204" t="s">
        <v>121</v>
      </c>
      <c r="AU336" s="204" t="s">
        <v>76</v>
      </c>
      <c r="AV336" s="208" t="s">
        <v>76</v>
      </c>
      <c r="AW336" s="208" t="s">
        <v>32</v>
      </c>
      <c r="AX336" s="208" t="s">
        <v>68</v>
      </c>
      <c r="AY336" s="204" t="s">
        <v>114</v>
      </c>
    </row>
    <row r="337" spans="2:51" s="228" customFormat="1" ht="12">
      <c r="B337" s="222"/>
      <c r="C337" s="223"/>
      <c r="D337" s="193" t="s">
        <v>121</v>
      </c>
      <c r="E337" s="224" t="s">
        <v>1</v>
      </c>
      <c r="F337" s="225" t="s">
        <v>150</v>
      </c>
      <c r="G337" s="226"/>
      <c r="H337" s="227">
        <v>1.717</v>
      </c>
      <c r="I337" s="72"/>
      <c r="L337" s="222"/>
      <c r="M337" s="229"/>
      <c r="N337" s="230"/>
      <c r="O337" s="230"/>
      <c r="P337" s="230"/>
      <c r="Q337" s="230"/>
      <c r="R337" s="230"/>
      <c r="S337" s="230"/>
      <c r="T337" s="231"/>
      <c r="AT337" s="224" t="s">
        <v>121</v>
      </c>
      <c r="AU337" s="224" t="s">
        <v>76</v>
      </c>
      <c r="AV337" s="228" t="s">
        <v>119</v>
      </c>
      <c r="AW337" s="228" t="s">
        <v>32</v>
      </c>
      <c r="AX337" s="228" t="s">
        <v>73</v>
      </c>
      <c r="AY337" s="224" t="s">
        <v>114</v>
      </c>
    </row>
    <row r="338" spans="2:65" s="92" customFormat="1" ht="16.5" customHeight="1">
      <c r="B338" s="90"/>
      <c r="C338" s="177" t="s">
        <v>367</v>
      </c>
      <c r="D338" s="178" t="s">
        <v>116</v>
      </c>
      <c r="E338" s="179" t="s">
        <v>368</v>
      </c>
      <c r="F338" s="232" t="s">
        <v>369</v>
      </c>
      <c r="G338" s="233" t="s">
        <v>191</v>
      </c>
      <c r="H338" s="234">
        <f>H341</f>
        <v>97.4</v>
      </c>
      <c r="I338" s="69"/>
      <c r="J338" s="184">
        <f>ROUND(I338*H338,2)</f>
        <v>0</v>
      </c>
      <c r="K338" s="180" t="s">
        <v>154</v>
      </c>
      <c r="L338" s="90"/>
      <c r="M338" s="185" t="s">
        <v>1</v>
      </c>
      <c r="N338" s="186" t="s">
        <v>41</v>
      </c>
      <c r="O338" s="187"/>
      <c r="P338" s="188">
        <f>O338*H338</f>
        <v>0</v>
      </c>
      <c r="Q338" s="188">
        <v>0</v>
      </c>
      <c r="R338" s="188">
        <f>Q338*H338</f>
        <v>0</v>
      </c>
      <c r="S338" s="188">
        <v>0</v>
      </c>
      <c r="T338" s="189">
        <f>S338*H338</f>
        <v>0</v>
      </c>
      <c r="AR338" s="81" t="s">
        <v>119</v>
      </c>
      <c r="AT338" s="81" t="s">
        <v>116</v>
      </c>
      <c r="AU338" s="81" t="s">
        <v>76</v>
      </c>
      <c r="AY338" s="81" t="s">
        <v>114</v>
      </c>
      <c r="BE338" s="190">
        <f>IF(N338="základní",J338,0)</f>
        <v>0</v>
      </c>
      <c r="BF338" s="190">
        <f>IF(N338="snížená",J338,0)</f>
        <v>0</v>
      </c>
      <c r="BG338" s="190">
        <f>IF(N338="zákl. přenesená",J338,0)</f>
        <v>0</v>
      </c>
      <c r="BH338" s="190">
        <f>IF(N338="sníž. přenesená",J338,0)</f>
        <v>0</v>
      </c>
      <c r="BI338" s="190">
        <f>IF(N338="nulová",J338,0)</f>
        <v>0</v>
      </c>
      <c r="BJ338" s="81" t="s">
        <v>73</v>
      </c>
      <c r="BK338" s="190">
        <f>ROUND(I338*H338,2)</f>
        <v>0</v>
      </c>
      <c r="BL338" s="81" t="s">
        <v>119</v>
      </c>
      <c r="BM338" s="81" t="s">
        <v>370</v>
      </c>
    </row>
    <row r="339" spans="2:51" s="198" customFormat="1" ht="12">
      <c r="B339" s="191"/>
      <c r="C339" s="192"/>
      <c r="D339" s="193" t="s">
        <v>121</v>
      </c>
      <c r="E339" s="194" t="s">
        <v>1</v>
      </c>
      <c r="F339" s="195" t="s">
        <v>371</v>
      </c>
      <c r="G339" s="196"/>
      <c r="H339" s="197" t="s">
        <v>1</v>
      </c>
      <c r="I339" s="71"/>
      <c r="L339" s="191"/>
      <c r="M339" s="199"/>
      <c r="N339" s="200"/>
      <c r="O339" s="200"/>
      <c r="P339" s="200"/>
      <c r="Q339" s="200"/>
      <c r="R339" s="200"/>
      <c r="S339" s="200"/>
      <c r="T339" s="201"/>
      <c r="AT339" s="194" t="s">
        <v>121</v>
      </c>
      <c r="AU339" s="194" t="s">
        <v>76</v>
      </c>
      <c r="AV339" s="198" t="s">
        <v>73</v>
      </c>
      <c r="AW339" s="198" t="s">
        <v>32</v>
      </c>
      <c r="AX339" s="198" t="s">
        <v>68</v>
      </c>
      <c r="AY339" s="194" t="s">
        <v>114</v>
      </c>
    </row>
    <row r="340" spans="2:51" s="208" customFormat="1" ht="12">
      <c r="B340" s="202"/>
      <c r="C340" s="203"/>
      <c r="D340" s="193" t="s">
        <v>121</v>
      </c>
      <c r="E340" s="204" t="s">
        <v>1</v>
      </c>
      <c r="F340" s="205" t="s">
        <v>1471</v>
      </c>
      <c r="G340" s="206"/>
      <c r="H340" s="207">
        <f>(6.5+82-28+4+150+29)*0.8*0.5</f>
        <v>97.4</v>
      </c>
      <c r="I340" s="70"/>
      <c r="L340" s="202"/>
      <c r="M340" s="209"/>
      <c r="N340" s="210"/>
      <c r="O340" s="210"/>
      <c r="P340" s="210"/>
      <c r="Q340" s="210"/>
      <c r="R340" s="210"/>
      <c r="S340" s="210"/>
      <c r="T340" s="211"/>
      <c r="AT340" s="204" t="s">
        <v>121</v>
      </c>
      <c r="AU340" s="204" t="s">
        <v>76</v>
      </c>
      <c r="AV340" s="208" t="s">
        <v>76</v>
      </c>
      <c r="AW340" s="208" t="s">
        <v>32</v>
      </c>
      <c r="AX340" s="208" t="s">
        <v>68</v>
      </c>
      <c r="AY340" s="204" t="s">
        <v>114</v>
      </c>
    </row>
    <row r="341" spans="2:51" s="228" customFormat="1" ht="12">
      <c r="B341" s="222"/>
      <c r="C341" s="223"/>
      <c r="D341" s="193" t="s">
        <v>121</v>
      </c>
      <c r="E341" s="224" t="s">
        <v>1</v>
      </c>
      <c r="F341" s="225" t="s">
        <v>150</v>
      </c>
      <c r="G341" s="226"/>
      <c r="H341" s="227">
        <f>H340</f>
        <v>97.4</v>
      </c>
      <c r="I341" s="72"/>
      <c r="L341" s="222"/>
      <c r="M341" s="229"/>
      <c r="N341" s="230"/>
      <c r="O341" s="230"/>
      <c r="P341" s="230"/>
      <c r="Q341" s="230"/>
      <c r="R341" s="230"/>
      <c r="S341" s="230"/>
      <c r="T341" s="231"/>
      <c r="AT341" s="224" t="s">
        <v>121</v>
      </c>
      <c r="AU341" s="224" t="s">
        <v>76</v>
      </c>
      <c r="AV341" s="228" t="s">
        <v>119</v>
      </c>
      <c r="AW341" s="228" t="s">
        <v>32</v>
      </c>
      <c r="AX341" s="228" t="s">
        <v>73</v>
      </c>
      <c r="AY341" s="224" t="s">
        <v>114</v>
      </c>
    </row>
    <row r="342" spans="2:65" s="92" customFormat="1" ht="16.5" customHeight="1">
      <c r="B342" s="90"/>
      <c r="C342" s="177" t="s">
        <v>372</v>
      </c>
      <c r="D342" s="178" t="s">
        <v>116</v>
      </c>
      <c r="E342" s="179" t="s">
        <v>373</v>
      </c>
      <c r="F342" s="232" t="s">
        <v>374</v>
      </c>
      <c r="G342" s="233" t="s">
        <v>191</v>
      </c>
      <c r="H342" s="234">
        <v>0.58</v>
      </c>
      <c r="I342" s="69"/>
      <c r="J342" s="184">
        <f>ROUND(I342*H342,2)</f>
        <v>0</v>
      </c>
      <c r="K342" s="180" t="s">
        <v>154</v>
      </c>
      <c r="L342" s="90"/>
      <c r="M342" s="185" t="s">
        <v>1</v>
      </c>
      <c r="N342" s="186" t="s">
        <v>41</v>
      </c>
      <c r="O342" s="187"/>
      <c r="P342" s="188">
        <f>O342*H342</f>
        <v>0</v>
      </c>
      <c r="Q342" s="188">
        <v>2.429</v>
      </c>
      <c r="R342" s="188">
        <f>Q342*H342</f>
        <v>1.4088199999999997</v>
      </c>
      <c r="S342" s="188">
        <v>0</v>
      </c>
      <c r="T342" s="189">
        <f>S342*H342</f>
        <v>0</v>
      </c>
      <c r="AR342" s="81" t="s">
        <v>119</v>
      </c>
      <c r="AT342" s="81" t="s">
        <v>116</v>
      </c>
      <c r="AU342" s="81" t="s">
        <v>76</v>
      </c>
      <c r="AY342" s="81" t="s">
        <v>114</v>
      </c>
      <c r="BE342" s="190">
        <f>IF(N342="základní",J342,0)</f>
        <v>0</v>
      </c>
      <c r="BF342" s="190">
        <f>IF(N342="snížená",J342,0)</f>
        <v>0</v>
      </c>
      <c r="BG342" s="190">
        <f>IF(N342="zákl. přenesená",J342,0)</f>
        <v>0</v>
      </c>
      <c r="BH342" s="190">
        <f>IF(N342="sníž. přenesená",J342,0)</f>
        <v>0</v>
      </c>
      <c r="BI342" s="190">
        <f>IF(N342="nulová",J342,0)</f>
        <v>0</v>
      </c>
      <c r="BJ342" s="81" t="s">
        <v>73</v>
      </c>
      <c r="BK342" s="190">
        <f>ROUND(I342*H342,2)</f>
        <v>0</v>
      </c>
      <c r="BL342" s="81" t="s">
        <v>119</v>
      </c>
      <c r="BM342" s="81" t="s">
        <v>375</v>
      </c>
    </row>
    <row r="343" spans="2:51" s="198" customFormat="1" ht="12">
      <c r="B343" s="191"/>
      <c r="C343" s="192"/>
      <c r="D343" s="193" t="s">
        <v>121</v>
      </c>
      <c r="E343" s="194" t="s">
        <v>1</v>
      </c>
      <c r="F343" s="195" t="s">
        <v>376</v>
      </c>
      <c r="G343" s="196"/>
      <c r="H343" s="197" t="s">
        <v>1</v>
      </c>
      <c r="I343" s="71"/>
      <c r="L343" s="191"/>
      <c r="M343" s="199"/>
      <c r="N343" s="200"/>
      <c r="O343" s="200"/>
      <c r="P343" s="200"/>
      <c r="Q343" s="200"/>
      <c r="R343" s="200"/>
      <c r="S343" s="200"/>
      <c r="T343" s="201"/>
      <c r="AT343" s="194" t="s">
        <v>121</v>
      </c>
      <c r="AU343" s="194" t="s">
        <v>76</v>
      </c>
      <c r="AV343" s="198" t="s">
        <v>73</v>
      </c>
      <c r="AW343" s="198" t="s">
        <v>32</v>
      </c>
      <c r="AX343" s="198" t="s">
        <v>68</v>
      </c>
      <c r="AY343" s="194" t="s">
        <v>114</v>
      </c>
    </row>
    <row r="344" spans="2:51" s="208" customFormat="1" ht="12">
      <c r="B344" s="202"/>
      <c r="C344" s="203"/>
      <c r="D344" s="193" t="s">
        <v>121</v>
      </c>
      <c r="E344" s="204" t="s">
        <v>1</v>
      </c>
      <c r="F344" s="205" t="s">
        <v>377</v>
      </c>
      <c r="G344" s="206"/>
      <c r="H344" s="207">
        <v>0.58</v>
      </c>
      <c r="I344" s="70"/>
      <c r="L344" s="202"/>
      <c r="M344" s="209"/>
      <c r="N344" s="210"/>
      <c r="O344" s="210"/>
      <c r="P344" s="210"/>
      <c r="Q344" s="210"/>
      <c r="R344" s="210"/>
      <c r="S344" s="210"/>
      <c r="T344" s="211"/>
      <c r="AT344" s="204" t="s">
        <v>121</v>
      </c>
      <c r="AU344" s="204" t="s">
        <v>76</v>
      </c>
      <c r="AV344" s="208" t="s">
        <v>76</v>
      </c>
      <c r="AW344" s="208" t="s">
        <v>32</v>
      </c>
      <c r="AX344" s="208" t="s">
        <v>68</v>
      </c>
      <c r="AY344" s="204" t="s">
        <v>114</v>
      </c>
    </row>
    <row r="345" spans="2:51" s="228" customFormat="1" ht="12">
      <c r="B345" s="222"/>
      <c r="C345" s="223"/>
      <c r="D345" s="193" t="s">
        <v>121</v>
      </c>
      <c r="E345" s="224" t="s">
        <v>1</v>
      </c>
      <c r="F345" s="225" t="s">
        <v>150</v>
      </c>
      <c r="G345" s="226"/>
      <c r="H345" s="227">
        <v>0.58</v>
      </c>
      <c r="I345" s="72"/>
      <c r="L345" s="222"/>
      <c r="M345" s="229"/>
      <c r="N345" s="230"/>
      <c r="O345" s="230"/>
      <c r="P345" s="230"/>
      <c r="Q345" s="230"/>
      <c r="R345" s="230"/>
      <c r="S345" s="230"/>
      <c r="T345" s="231"/>
      <c r="AT345" s="224" t="s">
        <v>121</v>
      </c>
      <c r="AU345" s="224" t="s">
        <v>76</v>
      </c>
      <c r="AV345" s="228" t="s">
        <v>119</v>
      </c>
      <c r="AW345" s="228" t="s">
        <v>32</v>
      </c>
      <c r="AX345" s="228" t="s">
        <v>73</v>
      </c>
      <c r="AY345" s="224" t="s">
        <v>114</v>
      </c>
    </row>
    <row r="346" spans="2:65" s="92" customFormat="1" ht="16.5" customHeight="1">
      <c r="B346" s="90"/>
      <c r="C346" s="177" t="s">
        <v>378</v>
      </c>
      <c r="D346" s="178" t="s">
        <v>116</v>
      </c>
      <c r="E346" s="179" t="s">
        <v>379</v>
      </c>
      <c r="F346" s="232" t="s">
        <v>380</v>
      </c>
      <c r="G346" s="233" t="s">
        <v>153</v>
      </c>
      <c r="H346" s="234">
        <v>5</v>
      </c>
      <c r="I346" s="69"/>
      <c r="J346" s="184">
        <f>ROUND(I346*H346,2)</f>
        <v>0</v>
      </c>
      <c r="K346" s="180" t="s">
        <v>154</v>
      </c>
      <c r="L346" s="90"/>
      <c r="M346" s="185" t="s">
        <v>1</v>
      </c>
      <c r="N346" s="186" t="s">
        <v>41</v>
      </c>
      <c r="O346" s="187"/>
      <c r="P346" s="188">
        <f>O346*H346</f>
        <v>0</v>
      </c>
      <c r="Q346" s="188">
        <v>0.00639</v>
      </c>
      <c r="R346" s="188">
        <f>Q346*H346</f>
        <v>0.03195</v>
      </c>
      <c r="S346" s="188">
        <v>0</v>
      </c>
      <c r="T346" s="189">
        <f>S346*H346</f>
        <v>0</v>
      </c>
      <c r="AR346" s="81" t="s">
        <v>119</v>
      </c>
      <c r="AT346" s="81" t="s">
        <v>116</v>
      </c>
      <c r="AU346" s="81" t="s">
        <v>76</v>
      </c>
      <c r="AY346" s="81" t="s">
        <v>114</v>
      </c>
      <c r="BE346" s="190">
        <f>IF(N346="základní",J346,0)</f>
        <v>0</v>
      </c>
      <c r="BF346" s="190">
        <f>IF(N346="snížená",J346,0)</f>
        <v>0</v>
      </c>
      <c r="BG346" s="190">
        <f>IF(N346="zákl. přenesená",J346,0)</f>
        <v>0</v>
      </c>
      <c r="BH346" s="190">
        <f>IF(N346="sníž. přenesená",J346,0)</f>
        <v>0</v>
      </c>
      <c r="BI346" s="190">
        <f>IF(N346="nulová",J346,0)</f>
        <v>0</v>
      </c>
      <c r="BJ346" s="81" t="s">
        <v>73</v>
      </c>
      <c r="BK346" s="190">
        <f>ROUND(I346*H346,2)</f>
        <v>0</v>
      </c>
      <c r="BL346" s="81" t="s">
        <v>119</v>
      </c>
      <c r="BM346" s="81" t="s">
        <v>381</v>
      </c>
    </row>
    <row r="347" spans="2:63" s="166" customFormat="1" ht="22.9" customHeight="1">
      <c r="B347" s="162"/>
      <c r="C347" s="163"/>
      <c r="D347" s="164" t="s">
        <v>67</v>
      </c>
      <c r="E347" s="175" t="s">
        <v>167</v>
      </c>
      <c r="F347" s="258" t="s">
        <v>382</v>
      </c>
      <c r="G347" s="167"/>
      <c r="H347" s="167"/>
      <c r="I347" s="74"/>
      <c r="J347" s="176">
        <f>SUM(J348:J373)</f>
        <v>0</v>
      </c>
      <c r="L347" s="162"/>
      <c r="M347" s="169"/>
      <c r="N347" s="170"/>
      <c r="O347" s="170"/>
      <c r="P347" s="171">
        <f>SUM(P348:P373)</f>
        <v>0</v>
      </c>
      <c r="Q347" s="170"/>
      <c r="R347" s="171">
        <f>SUM(R348:R373)</f>
        <v>103.51907000000001</v>
      </c>
      <c r="S347" s="170"/>
      <c r="T347" s="172">
        <f>SUM(T348:T373)</f>
        <v>0</v>
      </c>
      <c r="AR347" s="164" t="s">
        <v>73</v>
      </c>
      <c r="AT347" s="173" t="s">
        <v>67</v>
      </c>
      <c r="AU347" s="173" t="s">
        <v>73</v>
      </c>
      <c r="AY347" s="164" t="s">
        <v>114</v>
      </c>
      <c r="BK347" s="174">
        <f>SUM(BK348:BK373)</f>
        <v>0</v>
      </c>
    </row>
    <row r="348" spans="2:65" s="92" customFormat="1" ht="16.5" customHeight="1">
      <c r="B348" s="90"/>
      <c r="C348" s="177" t="s">
        <v>383</v>
      </c>
      <c r="D348" s="178" t="s">
        <v>116</v>
      </c>
      <c r="E348" s="179" t="s">
        <v>384</v>
      </c>
      <c r="F348" s="232" t="s">
        <v>385</v>
      </c>
      <c r="G348" s="233" t="s">
        <v>153</v>
      </c>
      <c r="H348" s="234">
        <f>H350</f>
        <v>80</v>
      </c>
      <c r="I348" s="69"/>
      <c r="J348" s="184">
        <f>ROUND(I348*H348,2)</f>
        <v>0</v>
      </c>
      <c r="K348" s="180" t="s">
        <v>154</v>
      </c>
      <c r="L348" s="90"/>
      <c r="M348" s="185" t="s">
        <v>1</v>
      </c>
      <c r="N348" s="186" t="s">
        <v>41</v>
      </c>
      <c r="O348" s="187"/>
      <c r="P348" s="188">
        <f>O348*H348</f>
        <v>0</v>
      </c>
      <c r="Q348" s="188">
        <v>0.27994</v>
      </c>
      <c r="R348" s="188">
        <f>Q348*H348</f>
        <v>22.395200000000003</v>
      </c>
      <c r="S348" s="188">
        <v>0</v>
      </c>
      <c r="T348" s="189">
        <f>S348*H348</f>
        <v>0</v>
      </c>
      <c r="AR348" s="81" t="s">
        <v>119</v>
      </c>
      <c r="AT348" s="81" t="s">
        <v>116</v>
      </c>
      <c r="AU348" s="81" t="s">
        <v>76</v>
      </c>
      <c r="AY348" s="81" t="s">
        <v>114</v>
      </c>
      <c r="BE348" s="190">
        <f>IF(N348="základní",J348,0)</f>
        <v>0</v>
      </c>
      <c r="BF348" s="190">
        <f>IF(N348="snížená",J348,0)</f>
        <v>0</v>
      </c>
      <c r="BG348" s="190">
        <f>IF(N348="zákl. přenesená",J348,0)</f>
        <v>0</v>
      </c>
      <c r="BH348" s="190">
        <f>IF(N348="sníž. přenesená",J348,0)</f>
        <v>0</v>
      </c>
      <c r="BI348" s="190">
        <f>IF(N348="nulová",J348,0)</f>
        <v>0</v>
      </c>
      <c r="BJ348" s="81" t="s">
        <v>73</v>
      </c>
      <c r="BK348" s="190">
        <f>ROUND(I348*H348,2)</f>
        <v>0</v>
      </c>
      <c r="BL348" s="81" t="s">
        <v>119</v>
      </c>
      <c r="BM348" s="81" t="s">
        <v>386</v>
      </c>
    </row>
    <row r="349" spans="2:51" s="198" customFormat="1" ht="12">
      <c r="B349" s="191"/>
      <c r="C349" s="192"/>
      <c r="D349" s="193" t="s">
        <v>121</v>
      </c>
      <c r="E349" s="194" t="s">
        <v>1</v>
      </c>
      <c r="F349" s="195" t="s">
        <v>387</v>
      </c>
      <c r="G349" s="196"/>
      <c r="H349" s="197" t="s">
        <v>1</v>
      </c>
      <c r="I349" s="71"/>
      <c r="L349" s="191"/>
      <c r="M349" s="199"/>
      <c r="N349" s="200"/>
      <c r="O349" s="200"/>
      <c r="P349" s="200"/>
      <c r="Q349" s="200"/>
      <c r="R349" s="200"/>
      <c r="S349" s="200"/>
      <c r="T349" s="201"/>
      <c r="AT349" s="194" t="s">
        <v>121</v>
      </c>
      <c r="AU349" s="194" t="s">
        <v>76</v>
      </c>
      <c r="AV349" s="198" t="s">
        <v>73</v>
      </c>
      <c r="AW349" s="198" t="s">
        <v>32</v>
      </c>
      <c r="AX349" s="198" t="s">
        <v>68</v>
      </c>
      <c r="AY349" s="194" t="s">
        <v>114</v>
      </c>
    </row>
    <row r="350" spans="2:51" s="208" customFormat="1" ht="12">
      <c r="B350" s="202"/>
      <c r="C350" s="203"/>
      <c r="D350" s="193" t="s">
        <v>121</v>
      </c>
      <c r="E350" s="204" t="s">
        <v>1</v>
      </c>
      <c r="F350" s="205" t="s">
        <v>1522</v>
      </c>
      <c r="G350" s="206"/>
      <c r="H350" s="207">
        <f>80</f>
        <v>80</v>
      </c>
      <c r="I350" s="70"/>
      <c r="L350" s="202"/>
      <c r="M350" s="209"/>
      <c r="N350" s="210"/>
      <c r="O350" s="210"/>
      <c r="P350" s="210"/>
      <c r="Q350" s="210"/>
      <c r="R350" s="210"/>
      <c r="S350" s="210"/>
      <c r="T350" s="211"/>
      <c r="AT350" s="204" t="s">
        <v>121</v>
      </c>
      <c r="AU350" s="204" t="s">
        <v>76</v>
      </c>
      <c r="AV350" s="208" t="s">
        <v>76</v>
      </c>
      <c r="AW350" s="208" t="s">
        <v>32</v>
      </c>
      <c r="AX350" s="208" t="s">
        <v>68</v>
      </c>
      <c r="AY350" s="204" t="s">
        <v>114</v>
      </c>
    </row>
    <row r="351" spans="2:65" s="92" customFormat="1" ht="16.5" customHeight="1">
      <c r="B351" s="90"/>
      <c r="C351" s="178" t="s">
        <v>1541</v>
      </c>
      <c r="D351" s="178" t="s">
        <v>116</v>
      </c>
      <c r="E351" s="179" t="s">
        <v>1015</v>
      </c>
      <c r="F351" s="232" t="s">
        <v>1016</v>
      </c>
      <c r="G351" s="233" t="s">
        <v>153</v>
      </c>
      <c r="H351" s="234">
        <v>14.6</v>
      </c>
      <c r="I351" s="69"/>
      <c r="J351" s="184">
        <f>ROUND(I351*H351,2)</f>
        <v>0</v>
      </c>
      <c r="K351" s="180" t="s">
        <v>154</v>
      </c>
      <c r="L351" s="90"/>
      <c r="M351" s="185" t="s">
        <v>1</v>
      </c>
      <c r="N351" s="186" t="s">
        <v>41</v>
      </c>
      <c r="O351" s="187"/>
      <c r="P351" s="188">
        <f>O351*H351</f>
        <v>0</v>
      </c>
      <c r="Q351" s="188">
        <v>0.34763</v>
      </c>
      <c r="R351" s="188">
        <f>Q351*H351</f>
        <v>5.075398</v>
      </c>
      <c r="S351" s="188">
        <v>0</v>
      </c>
      <c r="T351" s="189">
        <f>S351*H351</f>
        <v>0</v>
      </c>
      <c r="AR351" s="81" t="s">
        <v>119</v>
      </c>
      <c r="AT351" s="81" t="s">
        <v>116</v>
      </c>
      <c r="AU351" s="81" t="s">
        <v>76</v>
      </c>
      <c r="AY351" s="81" t="s">
        <v>114</v>
      </c>
      <c r="BE351" s="190">
        <f>IF(N351="základní",J351,0)</f>
        <v>0</v>
      </c>
      <c r="BF351" s="190">
        <f>IF(N351="snížená",J351,0)</f>
        <v>0</v>
      </c>
      <c r="BG351" s="190">
        <f>IF(N351="zákl. přenesená",J351,0)</f>
        <v>0</v>
      </c>
      <c r="BH351" s="190">
        <f>IF(N351="sníž. přenesená",J351,0)</f>
        <v>0</v>
      </c>
      <c r="BI351" s="190">
        <f>IF(N351="nulová",J351,0)</f>
        <v>0</v>
      </c>
      <c r="BJ351" s="81" t="s">
        <v>73</v>
      </c>
      <c r="BK351" s="190">
        <f>ROUND(I351*H351,2)</f>
        <v>0</v>
      </c>
      <c r="BL351" s="81" t="s">
        <v>119</v>
      </c>
      <c r="BM351" s="81" t="s">
        <v>1017</v>
      </c>
    </row>
    <row r="352" spans="2:65" s="92" customFormat="1" ht="16.5" customHeight="1">
      <c r="B352" s="90"/>
      <c r="C352" s="178" t="s">
        <v>1542</v>
      </c>
      <c r="D352" s="178" t="s">
        <v>116</v>
      </c>
      <c r="E352" s="179" t="s">
        <v>1020</v>
      </c>
      <c r="F352" s="232" t="s">
        <v>1021</v>
      </c>
      <c r="G352" s="233" t="s">
        <v>153</v>
      </c>
      <c r="H352" s="234">
        <v>74.4</v>
      </c>
      <c r="I352" s="69"/>
      <c r="J352" s="184">
        <f>ROUND(I352*H352,2)</f>
        <v>0</v>
      </c>
      <c r="K352" s="180" t="s">
        <v>154</v>
      </c>
      <c r="L352" s="90"/>
      <c r="M352" s="185" t="s">
        <v>1</v>
      </c>
      <c r="N352" s="186" t="s">
        <v>41</v>
      </c>
      <c r="O352" s="187"/>
      <c r="P352" s="188">
        <f>O352*H352</f>
        <v>0</v>
      </c>
      <c r="Q352" s="188">
        <v>0.34763</v>
      </c>
      <c r="R352" s="188">
        <f>Q352*H352</f>
        <v>25.863672</v>
      </c>
      <c r="S352" s="188">
        <v>0</v>
      </c>
      <c r="T352" s="189">
        <f>S352*H352</f>
        <v>0</v>
      </c>
      <c r="AR352" s="81" t="s">
        <v>119</v>
      </c>
      <c r="AT352" s="81" t="s">
        <v>116</v>
      </c>
      <c r="AU352" s="81" t="s">
        <v>76</v>
      </c>
      <c r="AY352" s="81" t="s">
        <v>114</v>
      </c>
      <c r="BE352" s="190">
        <f>IF(N352="základní",J352,0)</f>
        <v>0</v>
      </c>
      <c r="BF352" s="190">
        <f>IF(N352="snížená",J352,0)</f>
        <v>0</v>
      </c>
      <c r="BG352" s="190">
        <f>IF(N352="zákl. přenesená",J352,0)</f>
        <v>0</v>
      </c>
      <c r="BH352" s="190">
        <f>IF(N352="sníž. přenesená",J352,0)</f>
        <v>0</v>
      </c>
      <c r="BI352" s="190">
        <f>IF(N352="nulová",J352,0)</f>
        <v>0</v>
      </c>
      <c r="BJ352" s="81" t="s">
        <v>73</v>
      </c>
      <c r="BK352" s="190">
        <f>ROUND(I352*H352,2)</f>
        <v>0</v>
      </c>
      <c r="BL352" s="81" t="s">
        <v>119</v>
      </c>
      <c r="BM352" s="81" t="s">
        <v>1022</v>
      </c>
    </row>
    <row r="353" spans="2:51" s="198" customFormat="1" ht="12">
      <c r="B353" s="191"/>
      <c r="D353" s="193" t="s">
        <v>121</v>
      </c>
      <c r="E353" s="194" t="s">
        <v>1</v>
      </c>
      <c r="F353" s="195" t="s">
        <v>886</v>
      </c>
      <c r="G353" s="196"/>
      <c r="H353" s="197" t="s">
        <v>1</v>
      </c>
      <c r="I353" s="71"/>
      <c r="L353" s="191"/>
      <c r="M353" s="199"/>
      <c r="N353" s="200"/>
      <c r="O353" s="200"/>
      <c r="P353" s="200"/>
      <c r="Q353" s="200"/>
      <c r="R353" s="200"/>
      <c r="S353" s="200"/>
      <c r="T353" s="201"/>
      <c r="AT353" s="194" t="s">
        <v>121</v>
      </c>
      <c r="AU353" s="194" t="s">
        <v>76</v>
      </c>
      <c r="AV353" s="198" t="s">
        <v>73</v>
      </c>
      <c r="AW353" s="198" t="s">
        <v>32</v>
      </c>
      <c r="AX353" s="198" t="s">
        <v>68</v>
      </c>
      <c r="AY353" s="194" t="s">
        <v>114</v>
      </c>
    </row>
    <row r="354" spans="2:51" s="198" customFormat="1" ht="12">
      <c r="B354" s="191"/>
      <c r="D354" s="193" t="s">
        <v>121</v>
      </c>
      <c r="E354" s="194" t="s">
        <v>1</v>
      </c>
      <c r="F354" s="195" t="s">
        <v>1023</v>
      </c>
      <c r="G354" s="196"/>
      <c r="H354" s="197" t="s">
        <v>1</v>
      </c>
      <c r="I354" s="71"/>
      <c r="L354" s="191"/>
      <c r="M354" s="199"/>
      <c r="N354" s="200"/>
      <c r="O354" s="200"/>
      <c r="P354" s="200"/>
      <c r="Q354" s="200"/>
      <c r="R354" s="200"/>
      <c r="S354" s="200"/>
      <c r="T354" s="201"/>
      <c r="AT354" s="194" t="s">
        <v>121</v>
      </c>
      <c r="AU354" s="194" t="s">
        <v>76</v>
      </c>
      <c r="AV354" s="198" t="s">
        <v>73</v>
      </c>
      <c r="AW354" s="198" t="s">
        <v>32</v>
      </c>
      <c r="AX354" s="198" t="s">
        <v>68</v>
      </c>
      <c r="AY354" s="194" t="s">
        <v>114</v>
      </c>
    </row>
    <row r="355" spans="2:51" s="208" customFormat="1" ht="12">
      <c r="B355" s="202"/>
      <c r="D355" s="193" t="s">
        <v>121</v>
      </c>
      <c r="E355" s="204" t="s">
        <v>1</v>
      </c>
      <c r="F355" s="205" t="s">
        <v>1024</v>
      </c>
      <c r="G355" s="206"/>
      <c r="H355" s="207">
        <v>74.4</v>
      </c>
      <c r="I355" s="70"/>
      <c r="L355" s="202"/>
      <c r="M355" s="209"/>
      <c r="N355" s="210"/>
      <c r="O355" s="210"/>
      <c r="P355" s="210"/>
      <c r="Q355" s="210"/>
      <c r="R355" s="210"/>
      <c r="S355" s="210"/>
      <c r="T355" s="211"/>
      <c r="AT355" s="204" t="s">
        <v>121</v>
      </c>
      <c r="AU355" s="204" t="s">
        <v>76</v>
      </c>
      <c r="AV355" s="208" t="s">
        <v>76</v>
      </c>
      <c r="AW355" s="208" t="s">
        <v>32</v>
      </c>
      <c r="AX355" s="208" t="s">
        <v>68</v>
      </c>
      <c r="AY355" s="204" t="s">
        <v>114</v>
      </c>
    </row>
    <row r="356" spans="2:51" s="228" customFormat="1" ht="12">
      <c r="B356" s="222"/>
      <c r="D356" s="193" t="s">
        <v>121</v>
      </c>
      <c r="E356" s="224" t="s">
        <v>1</v>
      </c>
      <c r="F356" s="225" t="s">
        <v>150</v>
      </c>
      <c r="G356" s="226"/>
      <c r="H356" s="227">
        <v>74.4</v>
      </c>
      <c r="I356" s="72"/>
      <c r="L356" s="222"/>
      <c r="M356" s="229"/>
      <c r="N356" s="230"/>
      <c r="O356" s="230"/>
      <c r="P356" s="230"/>
      <c r="Q356" s="230"/>
      <c r="R356" s="230"/>
      <c r="S356" s="230"/>
      <c r="T356" s="231"/>
      <c r="AT356" s="224" t="s">
        <v>121</v>
      </c>
      <c r="AU356" s="224" t="s">
        <v>76</v>
      </c>
      <c r="AV356" s="228" t="s">
        <v>119</v>
      </c>
      <c r="AW356" s="228" t="s">
        <v>32</v>
      </c>
      <c r="AX356" s="228" t="s">
        <v>73</v>
      </c>
      <c r="AY356" s="224" t="s">
        <v>114</v>
      </c>
    </row>
    <row r="357" spans="2:65" s="92" customFormat="1" ht="16.5" customHeight="1">
      <c r="B357" s="90"/>
      <c r="C357" s="177" t="s">
        <v>388</v>
      </c>
      <c r="D357" s="178" t="s">
        <v>116</v>
      </c>
      <c r="E357" s="179" t="s">
        <v>389</v>
      </c>
      <c r="F357" s="180" t="s">
        <v>390</v>
      </c>
      <c r="G357" s="181" t="s">
        <v>153</v>
      </c>
      <c r="H357" s="182">
        <v>80</v>
      </c>
      <c r="I357" s="69"/>
      <c r="J357" s="184">
        <f>ROUND(I357*H357,2)</f>
        <v>0</v>
      </c>
      <c r="K357" s="180" t="s">
        <v>154</v>
      </c>
      <c r="L357" s="90"/>
      <c r="M357" s="185" t="s">
        <v>1</v>
      </c>
      <c r="N357" s="186" t="s">
        <v>41</v>
      </c>
      <c r="O357" s="187"/>
      <c r="P357" s="188">
        <f>O357*H357</f>
        <v>0</v>
      </c>
      <c r="Q357" s="188">
        <v>0.278</v>
      </c>
      <c r="R357" s="188">
        <f>Q357*H357</f>
        <v>22.240000000000002</v>
      </c>
      <c r="S357" s="188">
        <v>0</v>
      </c>
      <c r="T357" s="189">
        <f>S357*H357</f>
        <v>0</v>
      </c>
      <c r="AR357" s="81" t="s">
        <v>119</v>
      </c>
      <c r="AT357" s="81" t="s">
        <v>116</v>
      </c>
      <c r="AU357" s="81" t="s">
        <v>76</v>
      </c>
      <c r="AY357" s="81" t="s">
        <v>114</v>
      </c>
      <c r="BE357" s="190">
        <f>IF(N357="základní",J357,0)</f>
        <v>0</v>
      </c>
      <c r="BF357" s="190">
        <f>IF(N357="snížená",J357,0)</f>
        <v>0</v>
      </c>
      <c r="BG357" s="190">
        <f>IF(N357="zákl. přenesená",J357,0)</f>
        <v>0</v>
      </c>
      <c r="BH357" s="190">
        <f>IF(N357="sníž. přenesená",J357,0)</f>
        <v>0</v>
      </c>
      <c r="BI357" s="190">
        <f>IF(N357="nulová",J357,0)</f>
        <v>0</v>
      </c>
      <c r="BJ357" s="81" t="s">
        <v>73</v>
      </c>
      <c r="BK357" s="190">
        <f>ROUND(I357*H357,2)</f>
        <v>0</v>
      </c>
      <c r="BL357" s="81" t="s">
        <v>119</v>
      </c>
      <c r="BM357" s="81" t="s">
        <v>391</v>
      </c>
    </row>
    <row r="358" spans="2:51" s="198" customFormat="1" ht="12">
      <c r="B358" s="191"/>
      <c r="C358" s="192"/>
      <c r="D358" s="193" t="s">
        <v>121</v>
      </c>
      <c r="E358" s="194" t="s">
        <v>1</v>
      </c>
      <c r="F358" s="259" t="s">
        <v>392</v>
      </c>
      <c r="H358" s="194" t="s">
        <v>1</v>
      </c>
      <c r="I358" s="71"/>
      <c r="L358" s="191"/>
      <c r="M358" s="199"/>
      <c r="N358" s="200"/>
      <c r="O358" s="200"/>
      <c r="P358" s="200"/>
      <c r="Q358" s="200"/>
      <c r="R358" s="200"/>
      <c r="S358" s="200"/>
      <c r="T358" s="201"/>
      <c r="AT358" s="194" t="s">
        <v>121</v>
      </c>
      <c r="AU358" s="194" t="s">
        <v>76</v>
      </c>
      <c r="AV358" s="198" t="s">
        <v>73</v>
      </c>
      <c r="AW358" s="198" t="s">
        <v>32</v>
      </c>
      <c r="AX358" s="198" t="s">
        <v>68</v>
      </c>
      <c r="AY358" s="194" t="s">
        <v>114</v>
      </c>
    </row>
    <row r="359" spans="2:51" s="198" customFormat="1" ht="12">
      <c r="B359" s="191"/>
      <c r="C359" s="192"/>
      <c r="D359" s="193" t="s">
        <v>121</v>
      </c>
      <c r="E359" s="194" t="s">
        <v>1</v>
      </c>
      <c r="F359" s="259" t="s">
        <v>393</v>
      </c>
      <c r="H359" s="194" t="s">
        <v>1</v>
      </c>
      <c r="I359" s="71"/>
      <c r="L359" s="191"/>
      <c r="M359" s="199"/>
      <c r="N359" s="200"/>
      <c r="O359" s="200"/>
      <c r="P359" s="200"/>
      <c r="Q359" s="200"/>
      <c r="R359" s="200"/>
      <c r="S359" s="200"/>
      <c r="T359" s="201"/>
      <c r="AT359" s="194" t="s">
        <v>121</v>
      </c>
      <c r="AU359" s="194" t="s">
        <v>76</v>
      </c>
      <c r="AV359" s="198" t="s">
        <v>73</v>
      </c>
      <c r="AW359" s="198" t="s">
        <v>32</v>
      </c>
      <c r="AX359" s="198" t="s">
        <v>68</v>
      </c>
      <c r="AY359" s="194" t="s">
        <v>114</v>
      </c>
    </row>
    <row r="360" spans="2:51" s="208" customFormat="1" ht="12">
      <c r="B360" s="202"/>
      <c r="C360" s="203"/>
      <c r="D360" s="193" t="s">
        <v>121</v>
      </c>
      <c r="E360" s="204" t="s">
        <v>1</v>
      </c>
      <c r="F360" s="260" t="s">
        <v>1522</v>
      </c>
      <c r="H360" s="261">
        <v>80</v>
      </c>
      <c r="I360" s="70"/>
      <c r="L360" s="202"/>
      <c r="M360" s="209"/>
      <c r="N360" s="210"/>
      <c r="O360" s="210"/>
      <c r="P360" s="210"/>
      <c r="Q360" s="210"/>
      <c r="R360" s="210"/>
      <c r="S360" s="210"/>
      <c r="T360" s="211"/>
      <c r="AT360" s="204" t="s">
        <v>121</v>
      </c>
      <c r="AU360" s="204" t="s">
        <v>76</v>
      </c>
      <c r="AV360" s="208" t="s">
        <v>76</v>
      </c>
      <c r="AW360" s="208" t="s">
        <v>32</v>
      </c>
      <c r="AX360" s="208" t="s">
        <v>68</v>
      </c>
      <c r="AY360" s="204" t="s">
        <v>114</v>
      </c>
    </row>
    <row r="361" spans="2:65" s="92" customFormat="1" ht="16.5" customHeight="1">
      <c r="B361" s="90"/>
      <c r="C361" s="177" t="s">
        <v>394</v>
      </c>
      <c r="D361" s="178" t="s">
        <v>116</v>
      </c>
      <c r="E361" s="179" t="s">
        <v>395</v>
      </c>
      <c r="F361" s="180" t="s">
        <v>396</v>
      </c>
      <c r="G361" s="181" t="s">
        <v>153</v>
      </c>
      <c r="H361" s="182">
        <v>80</v>
      </c>
      <c r="I361" s="69"/>
      <c r="J361" s="184">
        <f>ROUND(I361*H361,2)</f>
        <v>0</v>
      </c>
      <c r="K361" s="180" t="s">
        <v>1</v>
      </c>
      <c r="L361" s="90"/>
      <c r="M361" s="185" t="s">
        <v>1</v>
      </c>
      <c r="N361" s="186" t="s">
        <v>41</v>
      </c>
      <c r="O361" s="187"/>
      <c r="P361" s="188">
        <f>O361*H361</f>
        <v>0</v>
      </c>
      <c r="Q361" s="188">
        <v>0.34763</v>
      </c>
      <c r="R361" s="188">
        <f>Q361*H361</f>
        <v>27.8104</v>
      </c>
      <c r="S361" s="188">
        <v>0</v>
      </c>
      <c r="T361" s="189">
        <f>S361*H361</f>
        <v>0</v>
      </c>
      <c r="AR361" s="81" t="s">
        <v>119</v>
      </c>
      <c r="AT361" s="81" t="s">
        <v>116</v>
      </c>
      <c r="AU361" s="81" t="s">
        <v>76</v>
      </c>
      <c r="AY361" s="81" t="s">
        <v>114</v>
      </c>
      <c r="BE361" s="190">
        <f>IF(N361="základní",J361,0)</f>
        <v>0</v>
      </c>
      <c r="BF361" s="190">
        <f>IF(N361="snížená",J361,0)</f>
        <v>0</v>
      </c>
      <c r="BG361" s="190">
        <f>IF(N361="zákl. přenesená",J361,0)</f>
        <v>0</v>
      </c>
      <c r="BH361" s="190">
        <f>IF(N361="sníž. přenesená",J361,0)</f>
        <v>0</v>
      </c>
      <c r="BI361" s="190">
        <f>IF(N361="nulová",J361,0)</f>
        <v>0</v>
      </c>
      <c r="BJ361" s="81" t="s">
        <v>73</v>
      </c>
      <c r="BK361" s="190">
        <f>ROUND(I361*H361,2)</f>
        <v>0</v>
      </c>
      <c r="BL361" s="81" t="s">
        <v>119</v>
      </c>
      <c r="BM361" s="81" t="s">
        <v>397</v>
      </c>
    </row>
    <row r="362" spans="2:51" s="198" customFormat="1" ht="12">
      <c r="B362" s="191"/>
      <c r="C362" s="192"/>
      <c r="D362" s="193" t="s">
        <v>121</v>
      </c>
      <c r="E362" s="194" t="s">
        <v>1</v>
      </c>
      <c r="F362" s="259" t="s">
        <v>398</v>
      </c>
      <c r="H362" s="194" t="s">
        <v>1</v>
      </c>
      <c r="I362" s="71"/>
      <c r="L362" s="191"/>
      <c r="M362" s="199"/>
      <c r="N362" s="200"/>
      <c r="O362" s="200"/>
      <c r="P362" s="200"/>
      <c r="Q362" s="200"/>
      <c r="R362" s="200"/>
      <c r="S362" s="200"/>
      <c r="T362" s="201"/>
      <c r="AT362" s="194" t="s">
        <v>121</v>
      </c>
      <c r="AU362" s="194" t="s">
        <v>76</v>
      </c>
      <c r="AV362" s="198" t="s">
        <v>73</v>
      </c>
      <c r="AW362" s="198" t="s">
        <v>32</v>
      </c>
      <c r="AX362" s="198" t="s">
        <v>68</v>
      </c>
      <c r="AY362" s="194" t="s">
        <v>114</v>
      </c>
    </row>
    <row r="363" spans="2:51" s="198" customFormat="1" ht="12">
      <c r="B363" s="191"/>
      <c r="C363" s="192"/>
      <c r="D363" s="193" t="s">
        <v>121</v>
      </c>
      <c r="E363" s="194" t="s">
        <v>1</v>
      </c>
      <c r="F363" s="259" t="s">
        <v>399</v>
      </c>
      <c r="H363" s="194" t="s">
        <v>1</v>
      </c>
      <c r="I363" s="71"/>
      <c r="L363" s="191"/>
      <c r="M363" s="199"/>
      <c r="N363" s="200"/>
      <c r="O363" s="200"/>
      <c r="P363" s="200"/>
      <c r="Q363" s="200"/>
      <c r="R363" s="200"/>
      <c r="S363" s="200"/>
      <c r="T363" s="201"/>
      <c r="AT363" s="194" t="s">
        <v>121</v>
      </c>
      <c r="AU363" s="194" t="s">
        <v>76</v>
      </c>
      <c r="AV363" s="198" t="s">
        <v>73</v>
      </c>
      <c r="AW363" s="198" t="s">
        <v>32</v>
      </c>
      <c r="AX363" s="198" t="s">
        <v>68</v>
      </c>
      <c r="AY363" s="194" t="s">
        <v>114</v>
      </c>
    </row>
    <row r="364" spans="2:51" s="198" customFormat="1" ht="12">
      <c r="B364" s="191"/>
      <c r="C364" s="192"/>
      <c r="D364" s="193" t="s">
        <v>121</v>
      </c>
      <c r="E364" s="194" t="s">
        <v>1</v>
      </c>
      <c r="F364" s="259" t="s">
        <v>400</v>
      </c>
      <c r="H364" s="194" t="s">
        <v>1</v>
      </c>
      <c r="I364" s="71"/>
      <c r="L364" s="191"/>
      <c r="M364" s="199"/>
      <c r="N364" s="200"/>
      <c r="O364" s="200"/>
      <c r="P364" s="200"/>
      <c r="Q364" s="200"/>
      <c r="R364" s="200"/>
      <c r="S364" s="200"/>
      <c r="T364" s="201"/>
      <c r="AT364" s="194" t="s">
        <v>121</v>
      </c>
      <c r="AU364" s="194" t="s">
        <v>76</v>
      </c>
      <c r="AV364" s="198" t="s">
        <v>73</v>
      </c>
      <c r="AW364" s="198" t="s">
        <v>32</v>
      </c>
      <c r="AX364" s="198" t="s">
        <v>68</v>
      </c>
      <c r="AY364" s="194" t="s">
        <v>114</v>
      </c>
    </row>
    <row r="365" spans="2:51" s="208" customFormat="1" ht="12">
      <c r="B365" s="202"/>
      <c r="C365" s="203"/>
      <c r="D365" s="193" t="s">
        <v>121</v>
      </c>
      <c r="E365" s="204" t="s">
        <v>1</v>
      </c>
      <c r="F365" s="260" t="s">
        <v>1522</v>
      </c>
      <c r="H365" s="261">
        <v>80</v>
      </c>
      <c r="I365" s="70"/>
      <c r="L365" s="202"/>
      <c r="M365" s="209"/>
      <c r="N365" s="210"/>
      <c r="O365" s="210"/>
      <c r="P365" s="210"/>
      <c r="Q365" s="210"/>
      <c r="R365" s="210"/>
      <c r="S365" s="210"/>
      <c r="T365" s="211"/>
      <c r="AT365" s="204" t="s">
        <v>121</v>
      </c>
      <c r="AU365" s="204" t="s">
        <v>76</v>
      </c>
      <c r="AV365" s="208" t="s">
        <v>76</v>
      </c>
      <c r="AW365" s="208" t="s">
        <v>32</v>
      </c>
      <c r="AX365" s="208" t="s">
        <v>68</v>
      </c>
      <c r="AY365" s="204" t="s">
        <v>114</v>
      </c>
    </row>
    <row r="366" spans="2:65" s="92" customFormat="1" ht="16.5" customHeight="1">
      <c r="B366" s="90"/>
      <c r="C366" s="177" t="s">
        <v>402</v>
      </c>
      <c r="D366" s="178" t="s">
        <v>116</v>
      </c>
      <c r="E366" s="179" t="s">
        <v>403</v>
      </c>
      <c r="F366" s="180" t="s">
        <v>404</v>
      </c>
      <c r="G366" s="181" t="s">
        <v>153</v>
      </c>
      <c r="H366" s="182">
        <v>80</v>
      </c>
      <c r="I366" s="69"/>
      <c r="J366" s="184">
        <f>ROUND(I366*H366,2)</f>
        <v>0</v>
      </c>
      <c r="K366" s="180" t="s">
        <v>154</v>
      </c>
      <c r="L366" s="90"/>
      <c r="M366" s="185" t="s">
        <v>1</v>
      </c>
      <c r="N366" s="186" t="s">
        <v>41</v>
      </c>
      <c r="O366" s="187"/>
      <c r="P366" s="188">
        <f>O366*H366</f>
        <v>0</v>
      </c>
      <c r="Q366" s="188">
        <v>0</v>
      </c>
      <c r="R366" s="188">
        <f>Q366*H366</f>
        <v>0</v>
      </c>
      <c r="S366" s="188">
        <v>0</v>
      </c>
      <c r="T366" s="189">
        <f>S366*H366</f>
        <v>0</v>
      </c>
      <c r="AR366" s="81" t="s">
        <v>119</v>
      </c>
      <c r="AT366" s="81" t="s">
        <v>116</v>
      </c>
      <c r="AU366" s="81" t="s">
        <v>76</v>
      </c>
      <c r="AY366" s="81" t="s">
        <v>114</v>
      </c>
      <c r="BE366" s="190">
        <f>IF(N366="základní",J366,0)</f>
        <v>0</v>
      </c>
      <c r="BF366" s="190">
        <f>IF(N366="snížená",J366,0)</f>
        <v>0</v>
      </c>
      <c r="BG366" s="190">
        <f>IF(N366="zákl. přenesená",J366,0)</f>
        <v>0</v>
      </c>
      <c r="BH366" s="190">
        <f>IF(N366="sníž. přenesená",J366,0)</f>
        <v>0</v>
      </c>
      <c r="BI366" s="190">
        <f>IF(N366="nulová",J366,0)</f>
        <v>0</v>
      </c>
      <c r="BJ366" s="81" t="s">
        <v>73</v>
      </c>
      <c r="BK366" s="190">
        <f>ROUND(I366*H366,2)</f>
        <v>0</v>
      </c>
      <c r="BL366" s="81" t="s">
        <v>119</v>
      </c>
      <c r="BM366" s="81" t="s">
        <v>405</v>
      </c>
    </row>
    <row r="367" spans="2:65" s="92" customFormat="1" ht="16.5" customHeight="1">
      <c r="B367" s="90"/>
      <c r="C367" s="177" t="s">
        <v>406</v>
      </c>
      <c r="D367" s="178" t="s">
        <v>116</v>
      </c>
      <c r="E367" s="179" t="s">
        <v>407</v>
      </c>
      <c r="F367" s="180" t="s">
        <v>408</v>
      </c>
      <c r="G367" s="181" t="s">
        <v>153</v>
      </c>
      <c r="H367" s="182">
        <f>H368</f>
        <v>165</v>
      </c>
      <c r="I367" s="69"/>
      <c r="J367" s="184">
        <f>ROUND(I367*H367,2)</f>
        <v>0</v>
      </c>
      <c r="K367" s="180" t="s">
        <v>154</v>
      </c>
      <c r="L367" s="90"/>
      <c r="M367" s="185" t="s">
        <v>1</v>
      </c>
      <c r="N367" s="186" t="s">
        <v>41</v>
      </c>
      <c r="O367" s="187"/>
      <c r="P367" s="188">
        <f>O367*H367</f>
        <v>0</v>
      </c>
      <c r="Q367" s="188">
        <v>0</v>
      </c>
      <c r="R367" s="188">
        <f>Q367*H367</f>
        <v>0</v>
      </c>
      <c r="S367" s="188">
        <v>0</v>
      </c>
      <c r="T367" s="189">
        <f>S367*H367</f>
        <v>0</v>
      </c>
      <c r="AR367" s="81" t="s">
        <v>119</v>
      </c>
      <c r="AT367" s="81" t="s">
        <v>116</v>
      </c>
      <c r="AU367" s="81" t="s">
        <v>76</v>
      </c>
      <c r="AY367" s="81" t="s">
        <v>114</v>
      </c>
      <c r="BE367" s="190">
        <f>IF(N367="základní",J367,0)</f>
        <v>0</v>
      </c>
      <c r="BF367" s="190">
        <f>IF(N367="snížená",J367,0)</f>
        <v>0</v>
      </c>
      <c r="BG367" s="190">
        <f>IF(N367="zákl. přenesená",J367,0)</f>
        <v>0</v>
      </c>
      <c r="BH367" s="190">
        <f>IF(N367="sníž. přenesená",J367,0)</f>
        <v>0</v>
      </c>
      <c r="BI367" s="190">
        <f>IF(N367="nulová",J367,0)</f>
        <v>0</v>
      </c>
      <c r="BJ367" s="81" t="s">
        <v>73</v>
      </c>
      <c r="BK367" s="190">
        <f>ROUND(I367*H367,2)</f>
        <v>0</v>
      </c>
      <c r="BL367" s="81" t="s">
        <v>119</v>
      </c>
      <c r="BM367" s="81" t="s">
        <v>409</v>
      </c>
    </row>
    <row r="368" spans="2:51" s="208" customFormat="1" ht="12">
      <c r="B368" s="202"/>
      <c r="C368" s="203"/>
      <c r="D368" s="193" t="s">
        <v>121</v>
      </c>
      <c r="E368" s="204" t="s">
        <v>1</v>
      </c>
      <c r="F368" s="260" t="s">
        <v>1517</v>
      </c>
      <c r="H368" s="261">
        <f>55*3</f>
        <v>165</v>
      </c>
      <c r="I368" s="70"/>
      <c r="L368" s="202"/>
      <c r="M368" s="209"/>
      <c r="N368" s="210"/>
      <c r="O368" s="210"/>
      <c r="P368" s="210"/>
      <c r="Q368" s="210"/>
      <c r="R368" s="210"/>
      <c r="S368" s="210"/>
      <c r="T368" s="211"/>
      <c r="AT368" s="204" t="s">
        <v>121</v>
      </c>
      <c r="AU368" s="204" t="s">
        <v>76</v>
      </c>
      <c r="AV368" s="208" t="s">
        <v>76</v>
      </c>
      <c r="AW368" s="208" t="s">
        <v>32</v>
      </c>
      <c r="AX368" s="208" t="s">
        <v>68</v>
      </c>
      <c r="AY368" s="204" t="s">
        <v>114</v>
      </c>
    </row>
    <row r="369" spans="2:65" s="92" customFormat="1" ht="16.5" customHeight="1">
      <c r="B369" s="90"/>
      <c r="C369" s="177" t="s">
        <v>410</v>
      </c>
      <c r="D369" s="178" t="s">
        <v>116</v>
      </c>
      <c r="E369" s="179" t="s">
        <v>411</v>
      </c>
      <c r="F369" s="180" t="s">
        <v>412</v>
      </c>
      <c r="G369" s="181" t="s">
        <v>153</v>
      </c>
      <c r="H369" s="182">
        <f>H370</f>
        <v>190</v>
      </c>
      <c r="I369" s="69"/>
      <c r="J369" s="184">
        <f>ROUND(I369*H369,2)</f>
        <v>0</v>
      </c>
      <c r="K369" s="180" t="s">
        <v>154</v>
      </c>
      <c r="L369" s="90"/>
      <c r="M369" s="185" t="s">
        <v>1</v>
      </c>
      <c r="N369" s="186" t="s">
        <v>41</v>
      </c>
      <c r="O369" s="187"/>
      <c r="P369" s="188">
        <f>O369*H369</f>
        <v>0</v>
      </c>
      <c r="Q369" s="188">
        <v>0</v>
      </c>
      <c r="R369" s="188">
        <f>Q369*H369</f>
        <v>0</v>
      </c>
      <c r="S369" s="188">
        <v>0</v>
      </c>
      <c r="T369" s="189">
        <f>S369*H369</f>
        <v>0</v>
      </c>
      <c r="AR369" s="81" t="s">
        <v>119</v>
      </c>
      <c r="AT369" s="81" t="s">
        <v>116</v>
      </c>
      <c r="AU369" s="81" t="s">
        <v>76</v>
      </c>
      <c r="AY369" s="81" t="s">
        <v>114</v>
      </c>
      <c r="BE369" s="190">
        <f>IF(N369="základní",J369,0)</f>
        <v>0</v>
      </c>
      <c r="BF369" s="190">
        <f>IF(N369="snížená",J369,0)</f>
        <v>0</v>
      </c>
      <c r="BG369" s="190">
        <f>IF(N369="zákl. přenesená",J369,0)</f>
        <v>0</v>
      </c>
      <c r="BH369" s="190">
        <f>IF(N369="sníž. přenesená",J369,0)</f>
        <v>0</v>
      </c>
      <c r="BI369" s="190">
        <f>IF(N369="nulová",J369,0)</f>
        <v>0</v>
      </c>
      <c r="BJ369" s="81" t="s">
        <v>73</v>
      </c>
      <c r="BK369" s="190">
        <f>ROUND(I369*H369,2)</f>
        <v>0</v>
      </c>
      <c r="BL369" s="81" t="s">
        <v>119</v>
      </c>
      <c r="BM369" s="81" t="s">
        <v>413</v>
      </c>
    </row>
    <row r="370" spans="2:51" s="208" customFormat="1" ht="12">
      <c r="B370" s="202"/>
      <c r="C370" s="203"/>
      <c r="D370" s="193" t="s">
        <v>121</v>
      </c>
      <c r="E370" s="204" t="s">
        <v>1</v>
      </c>
      <c r="F370" s="260" t="s">
        <v>1529</v>
      </c>
      <c r="H370" s="261">
        <f>55*3+25*1</f>
        <v>190</v>
      </c>
      <c r="I370" s="70"/>
      <c r="L370" s="202"/>
      <c r="M370" s="209"/>
      <c r="N370" s="210"/>
      <c r="O370" s="210"/>
      <c r="P370" s="210"/>
      <c r="Q370" s="210"/>
      <c r="R370" s="210"/>
      <c r="S370" s="210"/>
      <c r="T370" s="211"/>
      <c r="AT370" s="204" t="s">
        <v>121</v>
      </c>
      <c r="AU370" s="204" t="s">
        <v>76</v>
      </c>
      <c r="AV370" s="208" t="s">
        <v>76</v>
      </c>
      <c r="AW370" s="208" t="s">
        <v>32</v>
      </c>
      <c r="AX370" s="208" t="s">
        <v>68</v>
      </c>
      <c r="AY370" s="204" t="s">
        <v>114</v>
      </c>
    </row>
    <row r="371" spans="2:65" s="92" customFormat="1" ht="16.5" customHeight="1">
      <c r="B371" s="90"/>
      <c r="C371" s="177" t="s">
        <v>414</v>
      </c>
      <c r="D371" s="178" t="s">
        <v>116</v>
      </c>
      <c r="E371" s="179" t="s">
        <v>415</v>
      </c>
      <c r="F371" s="180" t="s">
        <v>1527</v>
      </c>
      <c r="G371" s="181" t="s">
        <v>153</v>
      </c>
      <c r="H371" s="182">
        <f>H372</f>
        <v>160</v>
      </c>
      <c r="I371" s="69"/>
      <c r="J371" s="184">
        <f>ROUND(I371*H371,2)</f>
        <v>0</v>
      </c>
      <c r="K371" s="180" t="s">
        <v>154</v>
      </c>
      <c r="L371" s="90"/>
      <c r="M371" s="185" t="s">
        <v>1</v>
      </c>
      <c r="N371" s="186" t="s">
        <v>41</v>
      </c>
      <c r="O371" s="187"/>
      <c r="P371" s="188">
        <f>O371*H371</f>
        <v>0</v>
      </c>
      <c r="Q371" s="188">
        <v>0</v>
      </c>
      <c r="R371" s="188">
        <f>Q371*H371</f>
        <v>0</v>
      </c>
      <c r="S371" s="188">
        <v>0</v>
      </c>
      <c r="T371" s="189">
        <f>S371*H371</f>
        <v>0</v>
      </c>
      <c r="AR371" s="81" t="s">
        <v>119</v>
      </c>
      <c r="AT371" s="81" t="s">
        <v>116</v>
      </c>
      <c r="AU371" s="81" t="s">
        <v>76</v>
      </c>
      <c r="AY371" s="81" t="s">
        <v>114</v>
      </c>
      <c r="BE371" s="190">
        <f>IF(N371="základní",J371,0)</f>
        <v>0</v>
      </c>
      <c r="BF371" s="190">
        <f>IF(N371="snížená",J371,0)</f>
        <v>0</v>
      </c>
      <c r="BG371" s="190">
        <f>IF(N371="zákl. přenesená",J371,0)</f>
        <v>0</v>
      </c>
      <c r="BH371" s="190">
        <f>IF(N371="sníž. přenesená",J371,0)</f>
        <v>0</v>
      </c>
      <c r="BI371" s="190">
        <f>IF(N371="nulová",J371,0)</f>
        <v>0</v>
      </c>
      <c r="BJ371" s="81" t="s">
        <v>73</v>
      </c>
      <c r="BK371" s="190">
        <f>ROUND(I371*H371,2)</f>
        <v>0</v>
      </c>
      <c r="BL371" s="81" t="s">
        <v>119</v>
      </c>
      <c r="BM371" s="81" t="s">
        <v>416</v>
      </c>
    </row>
    <row r="372" spans="2:65" s="92" customFormat="1" ht="16.5" customHeight="1">
      <c r="B372" s="90"/>
      <c r="C372" s="177"/>
      <c r="D372" s="178"/>
      <c r="E372" s="179"/>
      <c r="F372" s="180" t="s">
        <v>1528</v>
      </c>
      <c r="G372" s="181"/>
      <c r="H372" s="182">
        <f>80*2</f>
        <v>160</v>
      </c>
      <c r="I372" s="69"/>
      <c r="J372" s="184"/>
      <c r="K372" s="180"/>
      <c r="L372" s="90"/>
      <c r="M372" s="185"/>
      <c r="N372" s="186"/>
      <c r="O372" s="187"/>
      <c r="P372" s="188"/>
      <c r="Q372" s="188"/>
      <c r="R372" s="188"/>
      <c r="S372" s="188"/>
      <c r="T372" s="189"/>
      <c r="AR372" s="81"/>
      <c r="AT372" s="81"/>
      <c r="AU372" s="81"/>
      <c r="AY372" s="81"/>
      <c r="BE372" s="190"/>
      <c r="BF372" s="190"/>
      <c r="BG372" s="190"/>
      <c r="BH372" s="190"/>
      <c r="BI372" s="190"/>
      <c r="BJ372" s="81"/>
      <c r="BK372" s="190"/>
      <c r="BL372" s="81"/>
      <c r="BM372" s="81"/>
    </row>
    <row r="373" spans="2:65" s="92" customFormat="1" ht="16.5" customHeight="1">
      <c r="B373" s="90"/>
      <c r="C373" s="177" t="s">
        <v>417</v>
      </c>
      <c r="D373" s="178" t="s">
        <v>116</v>
      </c>
      <c r="E373" s="179" t="s">
        <v>418</v>
      </c>
      <c r="F373" s="180" t="s">
        <v>419</v>
      </c>
      <c r="G373" s="181" t="s">
        <v>176</v>
      </c>
      <c r="H373" s="182">
        <v>60</v>
      </c>
      <c r="I373" s="69"/>
      <c r="J373" s="184">
        <f>ROUND(I373*H373,2)</f>
        <v>0</v>
      </c>
      <c r="K373" s="180" t="s">
        <v>154</v>
      </c>
      <c r="L373" s="90"/>
      <c r="M373" s="185" t="s">
        <v>1</v>
      </c>
      <c r="N373" s="186" t="s">
        <v>41</v>
      </c>
      <c r="O373" s="187"/>
      <c r="P373" s="188">
        <f>O373*H373</f>
        <v>0</v>
      </c>
      <c r="Q373" s="188">
        <v>0.00224</v>
      </c>
      <c r="R373" s="188">
        <f>Q373*H373</f>
        <v>0.1344</v>
      </c>
      <c r="S373" s="188">
        <v>0</v>
      </c>
      <c r="T373" s="189">
        <f>S373*H373</f>
        <v>0</v>
      </c>
      <c r="AR373" s="81" t="s">
        <v>119</v>
      </c>
      <c r="AT373" s="81" t="s">
        <v>116</v>
      </c>
      <c r="AU373" s="81" t="s">
        <v>76</v>
      </c>
      <c r="AY373" s="81" t="s">
        <v>114</v>
      </c>
      <c r="BE373" s="190">
        <f>IF(N373="základní",J373,0)</f>
        <v>0</v>
      </c>
      <c r="BF373" s="190">
        <f>IF(N373="snížená",J373,0)</f>
        <v>0</v>
      </c>
      <c r="BG373" s="190">
        <f>IF(N373="zákl. přenesená",J373,0)</f>
        <v>0</v>
      </c>
      <c r="BH373" s="190">
        <f>IF(N373="sníž. přenesená",J373,0)</f>
        <v>0</v>
      </c>
      <c r="BI373" s="190">
        <f>IF(N373="nulová",J373,0)</f>
        <v>0</v>
      </c>
      <c r="BJ373" s="81" t="s">
        <v>73</v>
      </c>
      <c r="BK373" s="190">
        <f>ROUND(I373*H373,2)</f>
        <v>0</v>
      </c>
      <c r="BL373" s="81" t="s">
        <v>119</v>
      </c>
      <c r="BM373" s="81" t="s">
        <v>420</v>
      </c>
    </row>
    <row r="374" spans="2:63" s="166" customFormat="1" ht="22.9" customHeight="1">
      <c r="B374" s="162"/>
      <c r="C374" s="163"/>
      <c r="D374" s="164" t="s">
        <v>67</v>
      </c>
      <c r="E374" s="175" t="s">
        <v>183</v>
      </c>
      <c r="F374" s="175" t="s">
        <v>421</v>
      </c>
      <c r="I374" s="74"/>
      <c r="J374" s="176">
        <f>SUM(J375:J513)</f>
        <v>0</v>
      </c>
      <c r="L374" s="162"/>
      <c r="M374" s="169"/>
      <c r="N374" s="170"/>
      <c r="O374" s="170"/>
      <c r="P374" s="171">
        <f>SUM(P375:P508)</f>
        <v>0</v>
      </c>
      <c r="Q374" s="170"/>
      <c r="R374" s="171">
        <f>SUM(R375:R508)</f>
        <v>31.893795699999995</v>
      </c>
      <c r="S374" s="170"/>
      <c r="T374" s="172">
        <f>SUM(T375:T508)</f>
        <v>0</v>
      </c>
      <c r="AR374" s="164" t="s">
        <v>73</v>
      </c>
      <c r="AT374" s="173" t="s">
        <v>67</v>
      </c>
      <c r="AU374" s="173" t="s">
        <v>73</v>
      </c>
      <c r="AY374" s="164" t="s">
        <v>114</v>
      </c>
      <c r="BK374" s="174">
        <f>SUM(BK375:BK508)</f>
        <v>0</v>
      </c>
    </row>
    <row r="375" spans="2:65" s="92" customFormat="1" ht="16.5" customHeight="1">
      <c r="B375" s="90"/>
      <c r="C375" s="177" t="s">
        <v>422</v>
      </c>
      <c r="D375" s="178" t="s">
        <v>116</v>
      </c>
      <c r="E375" s="179" t="s">
        <v>423</v>
      </c>
      <c r="F375" s="180" t="s">
        <v>424</v>
      </c>
      <c r="G375" s="181" t="s">
        <v>176</v>
      </c>
      <c r="H375" s="182">
        <v>168</v>
      </c>
      <c r="I375" s="69"/>
      <c r="J375" s="184">
        <f>ROUND(I375*H375,2)</f>
        <v>0</v>
      </c>
      <c r="K375" s="180" t="s">
        <v>154</v>
      </c>
      <c r="L375" s="90"/>
      <c r="M375" s="185" t="s">
        <v>1</v>
      </c>
      <c r="N375" s="186" t="s">
        <v>41</v>
      </c>
      <c r="O375" s="187"/>
      <c r="P375" s="188">
        <f>O375*H375</f>
        <v>0</v>
      </c>
      <c r="Q375" s="188">
        <v>0</v>
      </c>
      <c r="R375" s="188">
        <f>Q375*H375</f>
        <v>0</v>
      </c>
      <c r="S375" s="188">
        <v>0</v>
      </c>
      <c r="T375" s="189">
        <f>S375*H375</f>
        <v>0</v>
      </c>
      <c r="AR375" s="81" t="s">
        <v>119</v>
      </c>
      <c r="AT375" s="81" t="s">
        <v>116</v>
      </c>
      <c r="AU375" s="81" t="s">
        <v>76</v>
      </c>
      <c r="AY375" s="81" t="s">
        <v>114</v>
      </c>
      <c r="BE375" s="190">
        <f>IF(N375="základní",J375,0)</f>
        <v>0</v>
      </c>
      <c r="BF375" s="190">
        <f>IF(N375="snížená",J375,0)</f>
        <v>0</v>
      </c>
      <c r="BG375" s="190">
        <f>IF(N375="zákl. přenesená",J375,0)</f>
        <v>0</v>
      </c>
      <c r="BH375" s="190">
        <f>IF(N375="sníž. přenesená",J375,0)</f>
        <v>0</v>
      </c>
      <c r="BI375" s="190">
        <f>IF(N375="nulová",J375,0)</f>
        <v>0</v>
      </c>
      <c r="BJ375" s="81" t="s">
        <v>73</v>
      </c>
      <c r="BK375" s="190">
        <f>ROUND(I375*H375,2)</f>
        <v>0</v>
      </c>
      <c r="BL375" s="81" t="s">
        <v>119</v>
      </c>
      <c r="BM375" s="81" t="s">
        <v>425</v>
      </c>
    </row>
    <row r="376" spans="2:65" s="92" customFormat="1" ht="16.5" customHeight="1">
      <c r="B376" s="90"/>
      <c r="C376" s="257" t="s">
        <v>426</v>
      </c>
      <c r="D376" s="247" t="s">
        <v>319</v>
      </c>
      <c r="E376" s="248" t="s">
        <v>427</v>
      </c>
      <c r="F376" s="253" t="s">
        <v>428</v>
      </c>
      <c r="G376" s="262" t="s">
        <v>176</v>
      </c>
      <c r="H376" s="263">
        <v>168</v>
      </c>
      <c r="I376" s="76"/>
      <c r="J376" s="252">
        <f>ROUND(I376*H376,2)</f>
        <v>0</v>
      </c>
      <c r="K376" s="253" t="s">
        <v>154</v>
      </c>
      <c r="L376" s="254"/>
      <c r="M376" s="255" t="s">
        <v>1</v>
      </c>
      <c r="N376" s="256" t="s">
        <v>41</v>
      </c>
      <c r="O376" s="187"/>
      <c r="P376" s="188">
        <f>O376*H376</f>
        <v>0</v>
      </c>
      <c r="Q376" s="188">
        <v>0.0177</v>
      </c>
      <c r="R376" s="188">
        <f>Q376*H376</f>
        <v>2.9736000000000002</v>
      </c>
      <c r="S376" s="188">
        <v>0</v>
      </c>
      <c r="T376" s="189">
        <f>S376*H376</f>
        <v>0</v>
      </c>
      <c r="AR376" s="81" t="s">
        <v>183</v>
      </c>
      <c r="AT376" s="81" t="s">
        <v>319</v>
      </c>
      <c r="AU376" s="81" t="s">
        <v>76</v>
      </c>
      <c r="AY376" s="81" t="s">
        <v>114</v>
      </c>
      <c r="BE376" s="190">
        <f>IF(N376="základní",J376,0)</f>
        <v>0</v>
      </c>
      <c r="BF376" s="190">
        <f>IF(N376="snížená",J376,0)</f>
        <v>0</v>
      </c>
      <c r="BG376" s="190">
        <f>IF(N376="zákl. přenesená",J376,0)</f>
        <v>0</v>
      </c>
      <c r="BH376" s="190">
        <f>IF(N376="sníž. přenesená",J376,0)</f>
        <v>0</v>
      </c>
      <c r="BI376" s="190">
        <f>IF(N376="nulová",J376,0)</f>
        <v>0</v>
      </c>
      <c r="BJ376" s="81" t="s">
        <v>73</v>
      </c>
      <c r="BK376" s="190">
        <f>ROUND(I376*H376,2)</f>
        <v>0</v>
      </c>
      <c r="BL376" s="81" t="s">
        <v>119</v>
      </c>
      <c r="BM376" s="81" t="s">
        <v>429</v>
      </c>
    </row>
    <row r="377" spans="2:65" s="92" customFormat="1" ht="16.5" customHeight="1">
      <c r="B377" s="90"/>
      <c r="C377" s="178">
        <v>50</v>
      </c>
      <c r="D377" s="178" t="s">
        <v>116</v>
      </c>
      <c r="E377" s="179" t="s">
        <v>1060</v>
      </c>
      <c r="F377" s="232" t="s">
        <v>1061</v>
      </c>
      <c r="G377" s="181" t="s">
        <v>176</v>
      </c>
      <c r="H377" s="182">
        <v>8</v>
      </c>
      <c r="I377" s="69"/>
      <c r="J377" s="184">
        <f>ROUND(I377*H377,2)</f>
        <v>0</v>
      </c>
      <c r="K377" s="180" t="s">
        <v>154</v>
      </c>
      <c r="L377" s="90"/>
      <c r="M377" s="185" t="s">
        <v>1</v>
      </c>
      <c r="N377" s="186" t="s">
        <v>41</v>
      </c>
      <c r="O377" s="187"/>
      <c r="P377" s="188">
        <f>O377*H377</f>
        <v>0</v>
      </c>
      <c r="Q377" s="188">
        <v>0</v>
      </c>
      <c r="R377" s="188">
        <f>Q377*H377</f>
        <v>0</v>
      </c>
      <c r="S377" s="188">
        <v>0</v>
      </c>
      <c r="T377" s="189">
        <f>S377*H377</f>
        <v>0</v>
      </c>
      <c r="AR377" s="81" t="s">
        <v>119</v>
      </c>
      <c r="AT377" s="81" t="s">
        <v>116</v>
      </c>
      <c r="AU377" s="81" t="s">
        <v>76</v>
      </c>
      <c r="AY377" s="81" t="s">
        <v>114</v>
      </c>
      <c r="BE377" s="190">
        <f>IF(N377="základní",J377,0)</f>
        <v>0</v>
      </c>
      <c r="BF377" s="190">
        <f>IF(N377="snížená",J377,0)</f>
        <v>0</v>
      </c>
      <c r="BG377" s="190">
        <f>IF(N377="zákl. přenesená",J377,0)</f>
        <v>0</v>
      </c>
      <c r="BH377" s="190">
        <f>IF(N377="sníž. přenesená",J377,0)</f>
        <v>0</v>
      </c>
      <c r="BI377" s="190">
        <f>IF(N377="nulová",J377,0)</f>
        <v>0</v>
      </c>
      <c r="BJ377" s="81" t="s">
        <v>73</v>
      </c>
      <c r="BK377" s="190">
        <f>ROUND(I377*H377,2)</f>
        <v>0</v>
      </c>
      <c r="BL377" s="81" t="s">
        <v>119</v>
      </c>
      <c r="BM377" s="81" t="s">
        <v>1062</v>
      </c>
    </row>
    <row r="378" spans="2:51" s="208" customFormat="1" ht="12">
      <c r="B378" s="202"/>
      <c r="D378" s="193" t="s">
        <v>121</v>
      </c>
      <c r="E378" s="204" t="s">
        <v>1</v>
      </c>
      <c r="F378" s="205" t="s">
        <v>378</v>
      </c>
      <c r="H378" s="261">
        <v>38</v>
      </c>
      <c r="I378" s="70"/>
      <c r="L378" s="202"/>
      <c r="M378" s="209"/>
      <c r="N378" s="210"/>
      <c r="O378" s="210"/>
      <c r="P378" s="210"/>
      <c r="Q378" s="210"/>
      <c r="R378" s="210"/>
      <c r="S378" s="210"/>
      <c r="T378" s="211"/>
      <c r="AT378" s="204" t="s">
        <v>121</v>
      </c>
      <c r="AU378" s="204" t="s">
        <v>76</v>
      </c>
      <c r="AV378" s="208" t="s">
        <v>76</v>
      </c>
      <c r="AW378" s="208" t="s">
        <v>32</v>
      </c>
      <c r="AX378" s="208" t="s">
        <v>68</v>
      </c>
      <c r="AY378" s="204" t="s">
        <v>114</v>
      </c>
    </row>
    <row r="379" spans="2:51" s="198" customFormat="1" ht="12">
      <c r="B379" s="191"/>
      <c r="D379" s="193" t="s">
        <v>121</v>
      </c>
      <c r="E379" s="194" t="s">
        <v>1</v>
      </c>
      <c r="F379" s="195" t="s">
        <v>1063</v>
      </c>
      <c r="H379" s="194" t="s">
        <v>1</v>
      </c>
      <c r="I379" s="71"/>
      <c r="L379" s="191"/>
      <c r="M379" s="199"/>
      <c r="N379" s="200"/>
      <c r="O379" s="200"/>
      <c r="P379" s="200"/>
      <c r="Q379" s="200"/>
      <c r="R379" s="200"/>
      <c r="S379" s="200"/>
      <c r="T379" s="201"/>
      <c r="AT379" s="194" t="s">
        <v>121</v>
      </c>
      <c r="AU379" s="194" t="s">
        <v>76</v>
      </c>
      <c r="AV379" s="198" t="s">
        <v>73</v>
      </c>
      <c r="AW379" s="198" t="s">
        <v>32</v>
      </c>
      <c r="AX379" s="198" t="s">
        <v>68</v>
      </c>
      <c r="AY379" s="194" t="s">
        <v>114</v>
      </c>
    </row>
    <row r="380" spans="2:51" s="208" customFormat="1" ht="12">
      <c r="B380" s="202"/>
      <c r="D380" s="193" t="s">
        <v>121</v>
      </c>
      <c r="E380" s="204" t="s">
        <v>1</v>
      </c>
      <c r="F380" s="205" t="s">
        <v>1064</v>
      </c>
      <c r="H380" s="261">
        <v>-30</v>
      </c>
      <c r="I380" s="70"/>
      <c r="L380" s="202"/>
      <c r="M380" s="209"/>
      <c r="N380" s="210"/>
      <c r="O380" s="210"/>
      <c r="P380" s="210"/>
      <c r="Q380" s="210"/>
      <c r="R380" s="210"/>
      <c r="S380" s="210"/>
      <c r="T380" s="211"/>
      <c r="AT380" s="204" t="s">
        <v>121</v>
      </c>
      <c r="AU380" s="204" t="s">
        <v>76</v>
      </c>
      <c r="AV380" s="208" t="s">
        <v>76</v>
      </c>
      <c r="AW380" s="208" t="s">
        <v>32</v>
      </c>
      <c r="AX380" s="208" t="s">
        <v>68</v>
      </c>
      <c r="AY380" s="204" t="s">
        <v>114</v>
      </c>
    </row>
    <row r="381" spans="2:51" s="228" customFormat="1" ht="12">
      <c r="B381" s="222"/>
      <c r="D381" s="193" t="s">
        <v>121</v>
      </c>
      <c r="E381" s="224" t="s">
        <v>1</v>
      </c>
      <c r="F381" s="225" t="s">
        <v>150</v>
      </c>
      <c r="H381" s="264">
        <v>8</v>
      </c>
      <c r="I381" s="72"/>
      <c r="L381" s="222"/>
      <c r="M381" s="229"/>
      <c r="N381" s="230"/>
      <c r="O381" s="230"/>
      <c r="P381" s="230"/>
      <c r="Q381" s="230"/>
      <c r="R381" s="230"/>
      <c r="S381" s="230"/>
      <c r="T381" s="231"/>
      <c r="AT381" s="224" t="s">
        <v>121</v>
      </c>
      <c r="AU381" s="224" t="s">
        <v>76</v>
      </c>
      <c r="AV381" s="228" t="s">
        <v>119</v>
      </c>
      <c r="AW381" s="228" t="s">
        <v>32</v>
      </c>
      <c r="AX381" s="228" t="s">
        <v>73</v>
      </c>
      <c r="AY381" s="224" t="s">
        <v>114</v>
      </c>
    </row>
    <row r="382" spans="2:65" s="92" customFormat="1" ht="16.5" customHeight="1">
      <c r="B382" s="90"/>
      <c r="C382" s="178">
        <v>51</v>
      </c>
      <c r="D382" s="178" t="s">
        <v>116</v>
      </c>
      <c r="E382" s="179" t="s">
        <v>1065</v>
      </c>
      <c r="F382" s="232" t="s">
        <v>1066</v>
      </c>
      <c r="G382" s="181" t="s">
        <v>176</v>
      </c>
      <c r="H382" s="182">
        <v>30</v>
      </c>
      <c r="I382" s="69"/>
      <c r="J382" s="184">
        <f>ROUND(I382*H382,2)</f>
        <v>0</v>
      </c>
      <c r="K382" s="180" t="s">
        <v>1</v>
      </c>
      <c r="L382" s="90"/>
      <c r="M382" s="185" t="s">
        <v>1</v>
      </c>
      <c r="N382" s="186" t="s">
        <v>41</v>
      </c>
      <c r="O382" s="187"/>
      <c r="P382" s="188">
        <f>O382*H382</f>
        <v>0</v>
      </c>
      <c r="Q382" s="188">
        <v>0</v>
      </c>
      <c r="R382" s="188">
        <f>Q382*H382</f>
        <v>0</v>
      </c>
      <c r="S382" s="188">
        <v>0</v>
      </c>
      <c r="T382" s="189">
        <f>S382*H382</f>
        <v>0</v>
      </c>
      <c r="AR382" s="81" t="s">
        <v>119</v>
      </c>
      <c r="AT382" s="81" t="s">
        <v>116</v>
      </c>
      <c r="AU382" s="81" t="s">
        <v>76</v>
      </c>
      <c r="AY382" s="81" t="s">
        <v>114</v>
      </c>
      <c r="BE382" s="190">
        <f>IF(N382="základní",J382,0)</f>
        <v>0</v>
      </c>
      <c r="BF382" s="190">
        <f>IF(N382="snížená",J382,0)</f>
        <v>0</v>
      </c>
      <c r="BG382" s="190">
        <f>IF(N382="zákl. přenesená",J382,0)</f>
        <v>0</v>
      </c>
      <c r="BH382" s="190">
        <f>IF(N382="sníž. přenesená",J382,0)</f>
        <v>0</v>
      </c>
      <c r="BI382" s="190">
        <f>IF(N382="nulová",J382,0)</f>
        <v>0</v>
      </c>
      <c r="BJ382" s="81" t="s">
        <v>73</v>
      </c>
      <c r="BK382" s="190">
        <f>ROUND(I382*H382,2)</f>
        <v>0</v>
      </c>
      <c r="BL382" s="81" t="s">
        <v>119</v>
      </c>
      <c r="BM382" s="81" t="s">
        <v>1067</v>
      </c>
    </row>
    <row r="383" spans="2:51" s="198" customFormat="1" ht="12">
      <c r="B383" s="191"/>
      <c r="D383" s="193" t="s">
        <v>121</v>
      </c>
      <c r="E383" s="194" t="s">
        <v>1</v>
      </c>
      <c r="F383" s="195" t="s">
        <v>801</v>
      </c>
      <c r="H383" s="194" t="s">
        <v>1</v>
      </c>
      <c r="I383" s="71"/>
      <c r="L383" s="191"/>
      <c r="M383" s="199"/>
      <c r="N383" s="200"/>
      <c r="O383" s="200"/>
      <c r="P383" s="200"/>
      <c r="Q383" s="200"/>
      <c r="R383" s="200"/>
      <c r="S383" s="200"/>
      <c r="T383" s="201"/>
      <c r="AT383" s="194" t="s">
        <v>121</v>
      </c>
      <c r="AU383" s="194" t="s">
        <v>76</v>
      </c>
      <c r="AV383" s="198" t="s">
        <v>73</v>
      </c>
      <c r="AW383" s="198" t="s">
        <v>32</v>
      </c>
      <c r="AX383" s="198" t="s">
        <v>68</v>
      </c>
      <c r="AY383" s="194" t="s">
        <v>114</v>
      </c>
    </row>
    <row r="384" spans="2:51" s="208" customFormat="1" ht="12">
      <c r="B384" s="202"/>
      <c r="D384" s="193" t="s">
        <v>121</v>
      </c>
      <c r="E384" s="204" t="s">
        <v>1</v>
      </c>
      <c r="F384" s="205" t="s">
        <v>1068</v>
      </c>
      <c r="H384" s="261">
        <v>30</v>
      </c>
      <c r="I384" s="70"/>
      <c r="L384" s="202"/>
      <c r="M384" s="209"/>
      <c r="N384" s="210"/>
      <c r="O384" s="210"/>
      <c r="P384" s="210"/>
      <c r="Q384" s="210"/>
      <c r="R384" s="210"/>
      <c r="S384" s="210"/>
      <c r="T384" s="211"/>
      <c r="AT384" s="204" t="s">
        <v>121</v>
      </c>
      <c r="AU384" s="204" t="s">
        <v>76</v>
      </c>
      <c r="AV384" s="208" t="s">
        <v>76</v>
      </c>
      <c r="AW384" s="208" t="s">
        <v>32</v>
      </c>
      <c r="AX384" s="208" t="s">
        <v>68</v>
      </c>
      <c r="AY384" s="204" t="s">
        <v>114</v>
      </c>
    </row>
    <row r="385" spans="2:51" s="228" customFormat="1" ht="12">
      <c r="B385" s="222"/>
      <c r="D385" s="193" t="s">
        <v>121</v>
      </c>
      <c r="E385" s="224" t="s">
        <v>1</v>
      </c>
      <c r="F385" s="225" t="s">
        <v>150</v>
      </c>
      <c r="H385" s="264">
        <v>30</v>
      </c>
      <c r="I385" s="72"/>
      <c r="L385" s="222"/>
      <c r="M385" s="229"/>
      <c r="N385" s="230"/>
      <c r="O385" s="230"/>
      <c r="P385" s="230"/>
      <c r="Q385" s="230"/>
      <c r="R385" s="230"/>
      <c r="S385" s="230"/>
      <c r="T385" s="231"/>
      <c r="AT385" s="224" t="s">
        <v>121</v>
      </c>
      <c r="AU385" s="224" t="s">
        <v>76</v>
      </c>
      <c r="AV385" s="228" t="s">
        <v>119</v>
      </c>
      <c r="AW385" s="228" t="s">
        <v>32</v>
      </c>
      <c r="AX385" s="228" t="s">
        <v>73</v>
      </c>
      <c r="AY385" s="224" t="s">
        <v>114</v>
      </c>
    </row>
    <row r="386" spans="2:65" s="92" customFormat="1" ht="16.5" customHeight="1">
      <c r="B386" s="90"/>
      <c r="C386" s="247">
        <v>52</v>
      </c>
      <c r="D386" s="247" t="s">
        <v>319</v>
      </c>
      <c r="E386" s="248" t="s">
        <v>1069</v>
      </c>
      <c r="F386" s="249" t="s">
        <v>1070</v>
      </c>
      <c r="G386" s="262" t="s">
        <v>176</v>
      </c>
      <c r="H386" s="263">
        <v>38</v>
      </c>
      <c r="I386" s="76"/>
      <c r="J386" s="252">
        <f>ROUND(I386*H386,2)</f>
        <v>0</v>
      </c>
      <c r="K386" s="253" t="s">
        <v>154</v>
      </c>
      <c r="L386" s="254"/>
      <c r="M386" s="255" t="s">
        <v>1</v>
      </c>
      <c r="N386" s="256" t="s">
        <v>41</v>
      </c>
      <c r="O386" s="187"/>
      <c r="P386" s="188">
        <f>O386*H386</f>
        <v>0</v>
      </c>
      <c r="Q386" s="188">
        <v>0.028</v>
      </c>
      <c r="R386" s="188">
        <f>Q386*H386</f>
        <v>1.064</v>
      </c>
      <c r="S386" s="188">
        <v>0</v>
      </c>
      <c r="T386" s="189">
        <f>S386*H386</f>
        <v>0</v>
      </c>
      <c r="AR386" s="81" t="s">
        <v>183</v>
      </c>
      <c r="AT386" s="81" t="s">
        <v>319</v>
      </c>
      <c r="AU386" s="81" t="s">
        <v>76</v>
      </c>
      <c r="AY386" s="81" t="s">
        <v>114</v>
      </c>
      <c r="BE386" s="190">
        <f>IF(N386="základní",J386,0)</f>
        <v>0</v>
      </c>
      <c r="BF386" s="190">
        <f>IF(N386="snížená",J386,0)</f>
        <v>0</v>
      </c>
      <c r="BG386" s="190">
        <f>IF(N386="zákl. přenesená",J386,0)</f>
        <v>0</v>
      </c>
      <c r="BH386" s="190">
        <f>IF(N386="sníž. přenesená",J386,0)</f>
        <v>0</v>
      </c>
      <c r="BI386" s="190">
        <f>IF(N386="nulová",J386,0)</f>
        <v>0</v>
      </c>
      <c r="BJ386" s="81" t="s">
        <v>73</v>
      </c>
      <c r="BK386" s="190">
        <f>ROUND(I386*H386,2)</f>
        <v>0</v>
      </c>
      <c r="BL386" s="81" t="s">
        <v>119</v>
      </c>
      <c r="BM386" s="81" t="s">
        <v>1071</v>
      </c>
    </row>
    <row r="387" spans="2:65" s="92" customFormat="1" ht="16.5" customHeight="1">
      <c r="B387" s="90"/>
      <c r="C387" s="178">
        <v>53</v>
      </c>
      <c r="D387" s="178" t="s">
        <v>116</v>
      </c>
      <c r="E387" s="179" t="s">
        <v>1072</v>
      </c>
      <c r="F387" s="232" t="s">
        <v>1073</v>
      </c>
      <c r="G387" s="181" t="s">
        <v>176</v>
      </c>
      <c r="H387" s="182">
        <v>53.5</v>
      </c>
      <c r="I387" s="69"/>
      <c r="J387" s="184">
        <f>ROUND(I387*H387,2)</f>
        <v>0</v>
      </c>
      <c r="K387" s="180" t="s">
        <v>154</v>
      </c>
      <c r="L387" s="90"/>
      <c r="M387" s="185" t="s">
        <v>1</v>
      </c>
      <c r="N387" s="186" t="s">
        <v>41</v>
      </c>
      <c r="O387" s="187"/>
      <c r="P387" s="188">
        <f>O387*H387</f>
        <v>0</v>
      </c>
      <c r="Q387" s="188">
        <v>0</v>
      </c>
      <c r="R387" s="188">
        <f>Q387*H387</f>
        <v>0</v>
      </c>
      <c r="S387" s="188">
        <v>0</v>
      </c>
      <c r="T387" s="189">
        <f>S387*H387</f>
        <v>0</v>
      </c>
      <c r="AR387" s="81" t="s">
        <v>119</v>
      </c>
      <c r="AT387" s="81" t="s">
        <v>116</v>
      </c>
      <c r="AU387" s="81" t="s">
        <v>76</v>
      </c>
      <c r="AY387" s="81" t="s">
        <v>114</v>
      </c>
      <c r="BE387" s="190">
        <f>IF(N387="základní",J387,0)</f>
        <v>0</v>
      </c>
      <c r="BF387" s="190">
        <f>IF(N387="snížená",J387,0)</f>
        <v>0</v>
      </c>
      <c r="BG387" s="190">
        <f>IF(N387="zákl. přenesená",J387,0)</f>
        <v>0</v>
      </c>
      <c r="BH387" s="190">
        <f>IF(N387="sníž. přenesená",J387,0)</f>
        <v>0</v>
      </c>
      <c r="BI387" s="190">
        <f>IF(N387="nulová",J387,0)</f>
        <v>0</v>
      </c>
      <c r="BJ387" s="81" t="s">
        <v>73</v>
      </c>
      <c r="BK387" s="190">
        <f>ROUND(I387*H387,2)</f>
        <v>0</v>
      </c>
      <c r="BL387" s="81" t="s">
        <v>119</v>
      </c>
      <c r="BM387" s="81" t="s">
        <v>1074</v>
      </c>
    </row>
    <row r="388" spans="2:51" s="208" customFormat="1" ht="12">
      <c r="B388" s="202"/>
      <c r="D388" s="193" t="s">
        <v>121</v>
      </c>
      <c r="E388" s="204" t="s">
        <v>1</v>
      </c>
      <c r="F388" s="205" t="s">
        <v>1075</v>
      </c>
      <c r="H388" s="261">
        <v>75.5</v>
      </c>
      <c r="I388" s="70"/>
      <c r="L388" s="202"/>
      <c r="M388" s="209"/>
      <c r="N388" s="210"/>
      <c r="O388" s="210"/>
      <c r="P388" s="210"/>
      <c r="Q388" s="210"/>
      <c r="R388" s="210"/>
      <c r="S388" s="210"/>
      <c r="T388" s="211"/>
      <c r="AT388" s="204" t="s">
        <v>121</v>
      </c>
      <c r="AU388" s="204" t="s">
        <v>76</v>
      </c>
      <c r="AV388" s="208" t="s">
        <v>76</v>
      </c>
      <c r="AW388" s="208" t="s">
        <v>32</v>
      </c>
      <c r="AX388" s="208" t="s">
        <v>68</v>
      </c>
      <c r="AY388" s="204" t="s">
        <v>114</v>
      </c>
    </row>
    <row r="389" spans="2:51" s="198" customFormat="1" ht="12">
      <c r="B389" s="191"/>
      <c r="D389" s="193" t="s">
        <v>121</v>
      </c>
      <c r="E389" s="194" t="s">
        <v>1</v>
      </c>
      <c r="F389" s="195" t="s">
        <v>1044</v>
      </c>
      <c r="H389" s="194" t="s">
        <v>1</v>
      </c>
      <c r="I389" s="71"/>
      <c r="L389" s="191"/>
      <c r="M389" s="199"/>
      <c r="N389" s="200"/>
      <c r="O389" s="200"/>
      <c r="P389" s="200"/>
      <c r="Q389" s="200"/>
      <c r="R389" s="200"/>
      <c r="S389" s="200"/>
      <c r="T389" s="201"/>
      <c r="AT389" s="194" t="s">
        <v>121</v>
      </c>
      <c r="AU389" s="194" t="s">
        <v>76</v>
      </c>
      <c r="AV389" s="198" t="s">
        <v>73</v>
      </c>
      <c r="AW389" s="198" t="s">
        <v>32</v>
      </c>
      <c r="AX389" s="198" t="s">
        <v>68</v>
      </c>
      <c r="AY389" s="194" t="s">
        <v>114</v>
      </c>
    </row>
    <row r="390" spans="2:51" s="208" customFormat="1" ht="12">
      <c r="B390" s="202"/>
      <c r="D390" s="193" t="s">
        <v>121</v>
      </c>
      <c r="E390" s="204" t="s">
        <v>1</v>
      </c>
      <c r="F390" s="205" t="s">
        <v>1076</v>
      </c>
      <c r="H390" s="261">
        <v>-22</v>
      </c>
      <c r="I390" s="70"/>
      <c r="L390" s="202"/>
      <c r="M390" s="209"/>
      <c r="N390" s="210"/>
      <c r="O390" s="210"/>
      <c r="P390" s="210"/>
      <c r="Q390" s="210"/>
      <c r="R390" s="210"/>
      <c r="S390" s="210"/>
      <c r="T390" s="211"/>
      <c r="AT390" s="204" t="s">
        <v>121</v>
      </c>
      <c r="AU390" s="204" t="s">
        <v>76</v>
      </c>
      <c r="AV390" s="208" t="s">
        <v>76</v>
      </c>
      <c r="AW390" s="208" t="s">
        <v>32</v>
      </c>
      <c r="AX390" s="208" t="s">
        <v>68</v>
      </c>
      <c r="AY390" s="204" t="s">
        <v>114</v>
      </c>
    </row>
    <row r="391" spans="2:51" s="228" customFormat="1" ht="12">
      <c r="B391" s="222"/>
      <c r="D391" s="193" t="s">
        <v>121</v>
      </c>
      <c r="E391" s="224" t="s">
        <v>1</v>
      </c>
      <c r="F391" s="225" t="s">
        <v>150</v>
      </c>
      <c r="H391" s="264">
        <v>53.5</v>
      </c>
      <c r="I391" s="72"/>
      <c r="L391" s="222"/>
      <c r="M391" s="229"/>
      <c r="N391" s="230"/>
      <c r="O391" s="230"/>
      <c r="P391" s="230"/>
      <c r="Q391" s="230"/>
      <c r="R391" s="230"/>
      <c r="S391" s="230"/>
      <c r="T391" s="231"/>
      <c r="AT391" s="224" t="s">
        <v>121</v>
      </c>
      <c r="AU391" s="224" t="s">
        <v>76</v>
      </c>
      <c r="AV391" s="228" t="s">
        <v>119</v>
      </c>
      <c r="AW391" s="228" t="s">
        <v>32</v>
      </c>
      <c r="AX391" s="228" t="s">
        <v>73</v>
      </c>
      <c r="AY391" s="224" t="s">
        <v>114</v>
      </c>
    </row>
    <row r="392" spans="2:65" s="92" customFormat="1" ht="16.5" customHeight="1">
      <c r="B392" s="90"/>
      <c r="C392" s="178">
        <v>54</v>
      </c>
      <c r="D392" s="178" t="s">
        <v>116</v>
      </c>
      <c r="E392" s="179" t="s">
        <v>1077</v>
      </c>
      <c r="F392" s="232" t="s">
        <v>1078</v>
      </c>
      <c r="G392" s="181" t="s">
        <v>176</v>
      </c>
      <c r="H392" s="182">
        <v>22</v>
      </c>
      <c r="I392" s="69"/>
      <c r="J392" s="184">
        <f>ROUND(I392*H392,2)</f>
        <v>0</v>
      </c>
      <c r="K392" s="180" t="s">
        <v>1</v>
      </c>
      <c r="L392" s="90"/>
      <c r="M392" s="185" t="s">
        <v>1</v>
      </c>
      <c r="N392" s="186" t="s">
        <v>41</v>
      </c>
      <c r="O392" s="187"/>
      <c r="P392" s="188">
        <f>O392*H392</f>
        <v>0</v>
      </c>
      <c r="Q392" s="188">
        <v>0</v>
      </c>
      <c r="R392" s="188">
        <f>Q392*H392</f>
        <v>0</v>
      </c>
      <c r="S392" s="188">
        <v>0</v>
      </c>
      <c r="T392" s="189">
        <f>S392*H392</f>
        <v>0</v>
      </c>
      <c r="AR392" s="81" t="s">
        <v>119</v>
      </c>
      <c r="AT392" s="81" t="s">
        <v>116</v>
      </c>
      <c r="AU392" s="81" t="s">
        <v>76</v>
      </c>
      <c r="AY392" s="81" t="s">
        <v>114</v>
      </c>
      <c r="BE392" s="190">
        <f>IF(N392="základní",J392,0)</f>
        <v>0</v>
      </c>
      <c r="BF392" s="190">
        <f>IF(N392="snížená",J392,0)</f>
        <v>0</v>
      </c>
      <c r="BG392" s="190">
        <f>IF(N392="zákl. přenesená",J392,0)</f>
        <v>0</v>
      </c>
      <c r="BH392" s="190">
        <f>IF(N392="sníž. přenesená",J392,0)</f>
        <v>0</v>
      </c>
      <c r="BI392" s="190">
        <f>IF(N392="nulová",J392,0)</f>
        <v>0</v>
      </c>
      <c r="BJ392" s="81" t="s">
        <v>73</v>
      </c>
      <c r="BK392" s="190">
        <f>ROUND(I392*H392,2)</f>
        <v>0</v>
      </c>
      <c r="BL392" s="81" t="s">
        <v>119</v>
      </c>
      <c r="BM392" s="81" t="s">
        <v>1079</v>
      </c>
    </row>
    <row r="393" spans="2:51" s="198" customFormat="1" ht="12">
      <c r="B393" s="191"/>
      <c r="D393" s="193" t="s">
        <v>121</v>
      </c>
      <c r="E393" s="194" t="s">
        <v>1</v>
      </c>
      <c r="F393" s="195" t="s">
        <v>801</v>
      </c>
      <c r="H393" s="194" t="s">
        <v>1</v>
      </c>
      <c r="I393" s="71"/>
      <c r="L393" s="191"/>
      <c r="M393" s="199"/>
      <c r="N393" s="200"/>
      <c r="O393" s="200"/>
      <c r="P393" s="200"/>
      <c r="Q393" s="200"/>
      <c r="R393" s="200"/>
      <c r="S393" s="200"/>
      <c r="T393" s="201"/>
      <c r="AT393" s="194" t="s">
        <v>121</v>
      </c>
      <c r="AU393" s="194" t="s">
        <v>76</v>
      </c>
      <c r="AV393" s="198" t="s">
        <v>73</v>
      </c>
      <c r="AW393" s="198" t="s">
        <v>32</v>
      </c>
      <c r="AX393" s="198" t="s">
        <v>68</v>
      </c>
      <c r="AY393" s="194" t="s">
        <v>114</v>
      </c>
    </row>
    <row r="394" spans="2:51" s="208" customFormat="1" ht="12">
      <c r="B394" s="202"/>
      <c r="D394" s="193" t="s">
        <v>121</v>
      </c>
      <c r="E394" s="204" t="s">
        <v>1</v>
      </c>
      <c r="F394" s="205" t="s">
        <v>278</v>
      </c>
      <c r="H394" s="261">
        <v>22</v>
      </c>
      <c r="I394" s="70"/>
      <c r="L394" s="202"/>
      <c r="M394" s="209"/>
      <c r="N394" s="210"/>
      <c r="O394" s="210"/>
      <c r="P394" s="210"/>
      <c r="Q394" s="210"/>
      <c r="R394" s="210"/>
      <c r="S394" s="210"/>
      <c r="T394" s="211"/>
      <c r="AT394" s="204" t="s">
        <v>121</v>
      </c>
      <c r="AU394" s="204" t="s">
        <v>76</v>
      </c>
      <c r="AV394" s="208" t="s">
        <v>76</v>
      </c>
      <c r="AW394" s="208" t="s">
        <v>32</v>
      </c>
      <c r="AX394" s="208" t="s">
        <v>68</v>
      </c>
      <c r="AY394" s="204" t="s">
        <v>114</v>
      </c>
    </row>
    <row r="395" spans="2:51" s="228" customFormat="1" ht="12">
      <c r="B395" s="222"/>
      <c r="D395" s="193" t="s">
        <v>121</v>
      </c>
      <c r="E395" s="224" t="s">
        <v>1</v>
      </c>
      <c r="F395" s="225" t="s">
        <v>150</v>
      </c>
      <c r="H395" s="264">
        <v>22</v>
      </c>
      <c r="I395" s="72"/>
      <c r="L395" s="222"/>
      <c r="M395" s="229"/>
      <c r="N395" s="230"/>
      <c r="O395" s="230"/>
      <c r="P395" s="230"/>
      <c r="Q395" s="230"/>
      <c r="R395" s="230"/>
      <c r="S395" s="230"/>
      <c r="T395" s="231"/>
      <c r="AT395" s="224" t="s">
        <v>121</v>
      </c>
      <c r="AU395" s="224" t="s">
        <v>76</v>
      </c>
      <c r="AV395" s="228" t="s">
        <v>119</v>
      </c>
      <c r="AW395" s="228" t="s">
        <v>32</v>
      </c>
      <c r="AX395" s="228" t="s">
        <v>73</v>
      </c>
      <c r="AY395" s="224" t="s">
        <v>114</v>
      </c>
    </row>
    <row r="396" spans="2:65" s="92" customFormat="1" ht="16.5" customHeight="1">
      <c r="B396" s="90"/>
      <c r="C396" s="247">
        <v>55</v>
      </c>
      <c r="D396" s="247" t="s">
        <v>319</v>
      </c>
      <c r="E396" s="248" t="s">
        <v>1080</v>
      </c>
      <c r="F396" s="249" t="s">
        <v>1081</v>
      </c>
      <c r="G396" s="262" t="s">
        <v>176</v>
      </c>
      <c r="H396" s="263">
        <v>75.5</v>
      </c>
      <c r="I396" s="76"/>
      <c r="J396" s="252">
        <f aca="true" t="shared" si="0" ref="J396:J420">ROUND(I396*H396,2)</f>
        <v>0</v>
      </c>
      <c r="K396" s="253" t="s">
        <v>154</v>
      </c>
      <c r="L396" s="254"/>
      <c r="M396" s="255" t="s">
        <v>1</v>
      </c>
      <c r="N396" s="256" t="s">
        <v>41</v>
      </c>
      <c r="O396" s="187"/>
      <c r="P396" s="188">
        <f aca="true" t="shared" si="1" ref="P396:P420">O396*H396</f>
        <v>0</v>
      </c>
      <c r="Q396" s="188">
        <v>0.036</v>
      </c>
      <c r="R396" s="188">
        <f aca="true" t="shared" si="2" ref="R396:R420">Q396*H396</f>
        <v>2.718</v>
      </c>
      <c r="S396" s="188">
        <v>0</v>
      </c>
      <c r="T396" s="189">
        <f aca="true" t="shared" si="3" ref="T396:T420">S396*H396</f>
        <v>0</v>
      </c>
      <c r="AR396" s="81" t="s">
        <v>183</v>
      </c>
      <c r="AT396" s="81" t="s">
        <v>319</v>
      </c>
      <c r="AU396" s="81" t="s">
        <v>76</v>
      </c>
      <c r="AY396" s="81" t="s">
        <v>114</v>
      </c>
      <c r="BE396" s="190">
        <f aca="true" t="shared" si="4" ref="BE396:BE420">IF(N396="základní",J396,0)</f>
        <v>0</v>
      </c>
      <c r="BF396" s="190">
        <f aca="true" t="shared" si="5" ref="BF396:BF420">IF(N396="snížená",J396,0)</f>
        <v>0</v>
      </c>
      <c r="BG396" s="190">
        <f aca="true" t="shared" si="6" ref="BG396:BG420">IF(N396="zákl. přenesená",J396,0)</f>
        <v>0</v>
      </c>
      <c r="BH396" s="190">
        <f aca="true" t="shared" si="7" ref="BH396:BH420">IF(N396="sníž. přenesená",J396,0)</f>
        <v>0</v>
      </c>
      <c r="BI396" s="190">
        <f aca="true" t="shared" si="8" ref="BI396:BI420">IF(N396="nulová",J396,0)</f>
        <v>0</v>
      </c>
      <c r="BJ396" s="81" t="s">
        <v>73</v>
      </c>
      <c r="BK396" s="190">
        <f aca="true" t="shared" si="9" ref="BK396:BK420">ROUND(I396*H396,2)</f>
        <v>0</v>
      </c>
      <c r="BL396" s="81" t="s">
        <v>119</v>
      </c>
      <c r="BM396" s="81" t="s">
        <v>1082</v>
      </c>
    </row>
    <row r="397" spans="2:65" s="92" customFormat="1" ht="16.5" customHeight="1">
      <c r="B397" s="90"/>
      <c r="C397" s="177" t="s">
        <v>453</v>
      </c>
      <c r="D397" s="178" t="s">
        <v>116</v>
      </c>
      <c r="E397" s="179" t="s">
        <v>430</v>
      </c>
      <c r="F397" s="180" t="s">
        <v>431</v>
      </c>
      <c r="G397" s="181" t="s">
        <v>358</v>
      </c>
      <c r="H397" s="182">
        <f>SUM(H398:H402)</f>
        <v>9</v>
      </c>
      <c r="I397" s="69"/>
      <c r="J397" s="184">
        <f t="shared" si="0"/>
        <v>0</v>
      </c>
      <c r="K397" s="180" t="s">
        <v>154</v>
      </c>
      <c r="L397" s="90"/>
      <c r="M397" s="185" t="s">
        <v>1</v>
      </c>
      <c r="N397" s="186" t="s">
        <v>41</v>
      </c>
      <c r="O397" s="187"/>
      <c r="P397" s="188">
        <f t="shared" si="1"/>
        <v>0</v>
      </c>
      <c r="Q397" s="188">
        <v>0.00167</v>
      </c>
      <c r="R397" s="188">
        <f t="shared" si="2"/>
        <v>0.01503</v>
      </c>
      <c r="S397" s="188">
        <v>0</v>
      </c>
      <c r="T397" s="189">
        <f t="shared" si="3"/>
        <v>0</v>
      </c>
      <c r="AR397" s="81" t="s">
        <v>119</v>
      </c>
      <c r="AT397" s="81" t="s">
        <v>116</v>
      </c>
      <c r="AU397" s="81" t="s">
        <v>76</v>
      </c>
      <c r="AY397" s="81" t="s">
        <v>114</v>
      </c>
      <c r="BE397" s="190">
        <f t="shared" si="4"/>
        <v>0</v>
      </c>
      <c r="BF397" s="190">
        <f t="shared" si="5"/>
        <v>0</v>
      </c>
      <c r="BG397" s="190">
        <f t="shared" si="6"/>
        <v>0</v>
      </c>
      <c r="BH397" s="190">
        <f t="shared" si="7"/>
        <v>0</v>
      </c>
      <c r="BI397" s="190">
        <f t="shared" si="8"/>
        <v>0</v>
      </c>
      <c r="BJ397" s="81" t="s">
        <v>73</v>
      </c>
      <c r="BK397" s="190">
        <f t="shared" si="9"/>
        <v>0</v>
      </c>
      <c r="BL397" s="81" t="s">
        <v>119</v>
      </c>
      <c r="BM397" s="81" t="s">
        <v>432</v>
      </c>
    </row>
    <row r="398" spans="2:65" s="92" customFormat="1" ht="16.5" customHeight="1">
      <c r="B398" s="90"/>
      <c r="C398" s="257" t="s">
        <v>457</v>
      </c>
      <c r="D398" s="247" t="s">
        <v>319</v>
      </c>
      <c r="E398" s="248" t="s">
        <v>434</v>
      </c>
      <c r="F398" s="253" t="s">
        <v>435</v>
      </c>
      <c r="G398" s="262" t="s">
        <v>358</v>
      </c>
      <c r="H398" s="263">
        <v>2</v>
      </c>
      <c r="I398" s="76"/>
      <c r="J398" s="252">
        <f t="shared" si="0"/>
        <v>0</v>
      </c>
      <c r="K398" s="253" t="s">
        <v>1</v>
      </c>
      <c r="L398" s="254"/>
      <c r="M398" s="255" t="s">
        <v>1</v>
      </c>
      <c r="N398" s="256" t="s">
        <v>41</v>
      </c>
      <c r="O398" s="187"/>
      <c r="P398" s="188">
        <f t="shared" si="1"/>
        <v>0</v>
      </c>
      <c r="Q398" s="188">
        <v>0.0122</v>
      </c>
      <c r="R398" s="188">
        <f t="shared" si="2"/>
        <v>0.0244</v>
      </c>
      <c r="S398" s="188">
        <v>0</v>
      </c>
      <c r="T398" s="189">
        <f t="shared" si="3"/>
        <v>0</v>
      </c>
      <c r="AR398" s="81" t="s">
        <v>183</v>
      </c>
      <c r="AT398" s="81" t="s">
        <v>319</v>
      </c>
      <c r="AU398" s="81" t="s">
        <v>76</v>
      </c>
      <c r="AY398" s="81" t="s">
        <v>114</v>
      </c>
      <c r="BE398" s="190">
        <f t="shared" si="4"/>
        <v>0</v>
      </c>
      <c r="BF398" s="190">
        <f t="shared" si="5"/>
        <v>0</v>
      </c>
      <c r="BG398" s="190">
        <f t="shared" si="6"/>
        <v>0</v>
      </c>
      <c r="BH398" s="190">
        <f t="shared" si="7"/>
        <v>0</v>
      </c>
      <c r="BI398" s="190">
        <f t="shared" si="8"/>
        <v>0</v>
      </c>
      <c r="BJ398" s="81" t="s">
        <v>73</v>
      </c>
      <c r="BK398" s="190">
        <f t="shared" si="9"/>
        <v>0</v>
      </c>
      <c r="BL398" s="81" t="s">
        <v>119</v>
      </c>
      <c r="BM398" s="81" t="s">
        <v>436</v>
      </c>
    </row>
    <row r="399" spans="2:65" s="92" customFormat="1" ht="16.5" customHeight="1">
      <c r="B399" s="90"/>
      <c r="C399" s="247">
        <v>58</v>
      </c>
      <c r="D399" s="247" t="s">
        <v>319</v>
      </c>
      <c r="E399" s="248" t="s">
        <v>1104</v>
      </c>
      <c r="F399" s="253" t="s">
        <v>1105</v>
      </c>
      <c r="G399" s="262" t="s">
        <v>358</v>
      </c>
      <c r="H399" s="263">
        <v>1</v>
      </c>
      <c r="I399" s="76"/>
      <c r="J399" s="252">
        <f t="shared" si="0"/>
        <v>0</v>
      </c>
      <c r="K399" s="253" t="s">
        <v>154</v>
      </c>
      <c r="L399" s="254"/>
      <c r="M399" s="255" t="s">
        <v>1</v>
      </c>
      <c r="N399" s="256" t="s">
        <v>41</v>
      </c>
      <c r="O399" s="187"/>
      <c r="P399" s="188">
        <f t="shared" si="1"/>
        <v>0</v>
      </c>
      <c r="Q399" s="188">
        <v>0.02338</v>
      </c>
      <c r="R399" s="188">
        <f t="shared" si="2"/>
        <v>0.02338</v>
      </c>
      <c r="S399" s="188">
        <v>0</v>
      </c>
      <c r="T399" s="189">
        <f t="shared" si="3"/>
        <v>0</v>
      </c>
      <c r="AR399" s="81" t="s">
        <v>183</v>
      </c>
      <c r="AT399" s="81" t="s">
        <v>319</v>
      </c>
      <c r="AU399" s="81" t="s">
        <v>76</v>
      </c>
      <c r="AY399" s="81" t="s">
        <v>114</v>
      </c>
      <c r="BE399" s="190">
        <f t="shared" si="4"/>
        <v>0</v>
      </c>
      <c r="BF399" s="190">
        <f t="shared" si="5"/>
        <v>0</v>
      </c>
      <c r="BG399" s="190">
        <f t="shared" si="6"/>
        <v>0</v>
      </c>
      <c r="BH399" s="190">
        <f t="shared" si="7"/>
        <v>0</v>
      </c>
      <c r="BI399" s="190">
        <f t="shared" si="8"/>
        <v>0</v>
      </c>
      <c r="BJ399" s="81" t="s">
        <v>73</v>
      </c>
      <c r="BK399" s="190">
        <f t="shared" si="9"/>
        <v>0</v>
      </c>
      <c r="BL399" s="81" t="s">
        <v>119</v>
      </c>
      <c r="BM399" s="81" t="s">
        <v>1106</v>
      </c>
    </row>
    <row r="400" spans="2:65" s="92" customFormat="1" ht="16.5" customHeight="1">
      <c r="B400" s="90"/>
      <c r="C400" s="247">
        <v>59</v>
      </c>
      <c r="D400" s="247" t="s">
        <v>319</v>
      </c>
      <c r="E400" s="248" t="s">
        <v>1104</v>
      </c>
      <c r="F400" s="253" t="s">
        <v>1503</v>
      </c>
      <c r="G400" s="262" t="s">
        <v>358</v>
      </c>
      <c r="H400" s="263">
        <v>2</v>
      </c>
      <c r="I400" s="76"/>
      <c r="J400" s="252">
        <f t="shared" si="0"/>
        <v>0</v>
      </c>
      <c r="K400" s="253" t="s">
        <v>154</v>
      </c>
      <c r="L400" s="254"/>
      <c r="M400" s="255" t="s">
        <v>1</v>
      </c>
      <c r="N400" s="256" t="s">
        <v>41</v>
      </c>
      <c r="O400" s="187"/>
      <c r="P400" s="188">
        <f t="shared" si="1"/>
        <v>0</v>
      </c>
      <c r="Q400" s="188">
        <v>0.02338</v>
      </c>
      <c r="R400" s="188">
        <f t="shared" si="2"/>
        <v>0.04676</v>
      </c>
      <c r="S400" s="188">
        <v>0</v>
      </c>
      <c r="T400" s="189">
        <f t="shared" si="3"/>
        <v>0</v>
      </c>
      <c r="AR400" s="81" t="s">
        <v>183</v>
      </c>
      <c r="AT400" s="81" t="s">
        <v>319</v>
      </c>
      <c r="AU400" s="81" t="s">
        <v>76</v>
      </c>
      <c r="AY400" s="81" t="s">
        <v>114</v>
      </c>
      <c r="BE400" s="190">
        <f t="shared" si="4"/>
        <v>0</v>
      </c>
      <c r="BF400" s="190">
        <f t="shared" si="5"/>
        <v>0</v>
      </c>
      <c r="BG400" s="190">
        <f t="shared" si="6"/>
        <v>0</v>
      </c>
      <c r="BH400" s="190">
        <f t="shared" si="7"/>
        <v>0</v>
      </c>
      <c r="BI400" s="190">
        <f t="shared" si="8"/>
        <v>0</v>
      </c>
      <c r="BJ400" s="81" t="s">
        <v>73</v>
      </c>
      <c r="BK400" s="190">
        <f t="shared" si="9"/>
        <v>0</v>
      </c>
      <c r="BL400" s="81" t="s">
        <v>119</v>
      </c>
      <c r="BM400" s="81" t="s">
        <v>1106</v>
      </c>
    </row>
    <row r="401" spans="2:65" s="92" customFormat="1" ht="16.5" customHeight="1">
      <c r="B401" s="90"/>
      <c r="C401" s="257" t="s">
        <v>468</v>
      </c>
      <c r="D401" s="247" t="s">
        <v>319</v>
      </c>
      <c r="E401" s="248" t="s">
        <v>438</v>
      </c>
      <c r="F401" s="253" t="s">
        <v>439</v>
      </c>
      <c r="G401" s="262" t="s">
        <v>358</v>
      </c>
      <c r="H401" s="263">
        <v>2</v>
      </c>
      <c r="I401" s="76"/>
      <c r="J401" s="252">
        <f t="shared" si="0"/>
        <v>0</v>
      </c>
      <c r="K401" s="253" t="s">
        <v>154</v>
      </c>
      <c r="L401" s="254"/>
      <c r="M401" s="255" t="s">
        <v>1</v>
      </c>
      <c r="N401" s="256" t="s">
        <v>41</v>
      </c>
      <c r="O401" s="187"/>
      <c r="P401" s="188">
        <f t="shared" si="1"/>
        <v>0</v>
      </c>
      <c r="Q401" s="188">
        <v>0.0111</v>
      </c>
      <c r="R401" s="188">
        <f t="shared" si="2"/>
        <v>0.0222</v>
      </c>
      <c r="S401" s="188">
        <v>0</v>
      </c>
      <c r="T401" s="189">
        <f t="shared" si="3"/>
        <v>0</v>
      </c>
      <c r="AR401" s="81" t="s">
        <v>183</v>
      </c>
      <c r="AT401" s="81" t="s">
        <v>319</v>
      </c>
      <c r="AU401" s="81" t="s">
        <v>76</v>
      </c>
      <c r="AY401" s="81" t="s">
        <v>114</v>
      </c>
      <c r="BE401" s="190">
        <f t="shared" si="4"/>
        <v>0</v>
      </c>
      <c r="BF401" s="190">
        <f t="shared" si="5"/>
        <v>0</v>
      </c>
      <c r="BG401" s="190">
        <f t="shared" si="6"/>
        <v>0</v>
      </c>
      <c r="BH401" s="190">
        <f t="shared" si="7"/>
        <v>0</v>
      </c>
      <c r="BI401" s="190">
        <f t="shared" si="8"/>
        <v>0</v>
      </c>
      <c r="BJ401" s="81" t="s">
        <v>73</v>
      </c>
      <c r="BK401" s="190">
        <f t="shared" si="9"/>
        <v>0</v>
      </c>
      <c r="BL401" s="81" t="s">
        <v>119</v>
      </c>
      <c r="BM401" s="81" t="s">
        <v>440</v>
      </c>
    </row>
    <row r="402" spans="2:65" s="92" customFormat="1" ht="16.5" customHeight="1">
      <c r="B402" s="90"/>
      <c r="C402" s="257" t="s">
        <v>472</v>
      </c>
      <c r="D402" s="247" t="s">
        <v>319</v>
      </c>
      <c r="E402" s="248" t="s">
        <v>442</v>
      </c>
      <c r="F402" s="253" t="s">
        <v>443</v>
      </c>
      <c r="G402" s="262" t="s">
        <v>358</v>
      </c>
      <c r="H402" s="263">
        <v>2</v>
      </c>
      <c r="I402" s="76"/>
      <c r="J402" s="252">
        <f t="shared" si="0"/>
        <v>0</v>
      </c>
      <c r="K402" s="253" t="s">
        <v>1</v>
      </c>
      <c r="L402" s="254"/>
      <c r="M402" s="255" t="s">
        <v>1</v>
      </c>
      <c r="N402" s="256" t="s">
        <v>41</v>
      </c>
      <c r="O402" s="187"/>
      <c r="P402" s="188">
        <f t="shared" si="1"/>
        <v>0</v>
      </c>
      <c r="Q402" s="188">
        <v>0.0266</v>
      </c>
      <c r="R402" s="188">
        <f t="shared" si="2"/>
        <v>0.0532</v>
      </c>
      <c r="S402" s="188">
        <v>0</v>
      </c>
      <c r="T402" s="189">
        <f t="shared" si="3"/>
        <v>0</v>
      </c>
      <c r="AR402" s="81" t="s">
        <v>183</v>
      </c>
      <c r="AT402" s="81" t="s">
        <v>319</v>
      </c>
      <c r="AU402" s="81" t="s">
        <v>76</v>
      </c>
      <c r="AY402" s="81" t="s">
        <v>114</v>
      </c>
      <c r="BE402" s="190">
        <f t="shared" si="4"/>
        <v>0</v>
      </c>
      <c r="BF402" s="190">
        <f t="shared" si="5"/>
        <v>0</v>
      </c>
      <c r="BG402" s="190">
        <f t="shared" si="6"/>
        <v>0</v>
      </c>
      <c r="BH402" s="190">
        <f t="shared" si="7"/>
        <v>0</v>
      </c>
      <c r="BI402" s="190">
        <f t="shared" si="8"/>
        <v>0</v>
      </c>
      <c r="BJ402" s="81" t="s">
        <v>73</v>
      </c>
      <c r="BK402" s="190">
        <f t="shared" si="9"/>
        <v>0</v>
      </c>
      <c r="BL402" s="81" t="s">
        <v>119</v>
      </c>
      <c r="BM402" s="81" t="s">
        <v>444</v>
      </c>
    </row>
    <row r="403" spans="2:65" s="92" customFormat="1" ht="16.5" customHeight="1">
      <c r="B403" s="90"/>
      <c r="C403" s="177" t="s">
        <v>476</v>
      </c>
      <c r="D403" s="178" t="s">
        <v>116</v>
      </c>
      <c r="E403" s="179" t="s">
        <v>446</v>
      </c>
      <c r="F403" s="180" t="s">
        <v>447</v>
      </c>
      <c r="G403" s="181" t="s">
        <v>358</v>
      </c>
      <c r="H403" s="182">
        <v>2</v>
      </c>
      <c r="I403" s="69"/>
      <c r="J403" s="184">
        <f t="shared" si="0"/>
        <v>0</v>
      </c>
      <c r="K403" s="180" t="s">
        <v>154</v>
      </c>
      <c r="L403" s="90"/>
      <c r="M403" s="185" t="s">
        <v>1</v>
      </c>
      <c r="N403" s="186" t="s">
        <v>41</v>
      </c>
      <c r="O403" s="187"/>
      <c r="P403" s="188">
        <f t="shared" si="1"/>
        <v>0</v>
      </c>
      <c r="Q403" s="188">
        <v>0.00171</v>
      </c>
      <c r="R403" s="188">
        <f t="shared" si="2"/>
        <v>0.00342</v>
      </c>
      <c r="S403" s="188">
        <v>0</v>
      </c>
      <c r="T403" s="189">
        <f t="shared" si="3"/>
        <v>0</v>
      </c>
      <c r="AR403" s="81" t="s">
        <v>119</v>
      </c>
      <c r="AT403" s="81" t="s">
        <v>116</v>
      </c>
      <c r="AU403" s="81" t="s">
        <v>76</v>
      </c>
      <c r="AY403" s="81" t="s">
        <v>114</v>
      </c>
      <c r="BE403" s="190">
        <f t="shared" si="4"/>
        <v>0</v>
      </c>
      <c r="BF403" s="190">
        <f t="shared" si="5"/>
        <v>0</v>
      </c>
      <c r="BG403" s="190">
        <f t="shared" si="6"/>
        <v>0</v>
      </c>
      <c r="BH403" s="190">
        <f t="shared" si="7"/>
        <v>0</v>
      </c>
      <c r="BI403" s="190">
        <f t="shared" si="8"/>
        <v>0</v>
      </c>
      <c r="BJ403" s="81" t="s">
        <v>73</v>
      </c>
      <c r="BK403" s="190">
        <f t="shared" si="9"/>
        <v>0</v>
      </c>
      <c r="BL403" s="81" t="s">
        <v>119</v>
      </c>
      <c r="BM403" s="81" t="s">
        <v>448</v>
      </c>
    </row>
    <row r="404" spans="2:65" s="92" customFormat="1" ht="16.5" customHeight="1">
      <c r="B404" s="90"/>
      <c r="C404" s="257" t="s">
        <v>480</v>
      </c>
      <c r="D404" s="247" t="s">
        <v>319</v>
      </c>
      <c r="E404" s="248" t="s">
        <v>450</v>
      </c>
      <c r="F404" s="253" t="s">
        <v>451</v>
      </c>
      <c r="G404" s="262" t="s">
        <v>358</v>
      </c>
      <c r="H404" s="263">
        <v>2</v>
      </c>
      <c r="I404" s="76"/>
      <c r="J404" s="252">
        <f t="shared" si="0"/>
        <v>0</v>
      </c>
      <c r="K404" s="253" t="s">
        <v>154</v>
      </c>
      <c r="L404" s="254"/>
      <c r="M404" s="255" t="s">
        <v>1</v>
      </c>
      <c r="N404" s="256" t="s">
        <v>41</v>
      </c>
      <c r="O404" s="187"/>
      <c r="P404" s="188">
        <f t="shared" si="1"/>
        <v>0</v>
      </c>
      <c r="Q404" s="188">
        <v>0.0178</v>
      </c>
      <c r="R404" s="188">
        <f t="shared" si="2"/>
        <v>0.0356</v>
      </c>
      <c r="S404" s="188">
        <v>0</v>
      </c>
      <c r="T404" s="189">
        <f t="shared" si="3"/>
        <v>0</v>
      </c>
      <c r="AR404" s="81" t="s">
        <v>183</v>
      </c>
      <c r="AT404" s="81" t="s">
        <v>319</v>
      </c>
      <c r="AU404" s="81" t="s">
        <v>76</v>
      </c>
      <c r="AY404" s="81" t="s">
        <v>114</v>
      </c>
      <c r="BE404" s="190">
        <f t="shared" si="4"/>
        <v>0</v>
      </c>
      <c r="BF404" s="190">
        <f t="shared" si="5"/>
        <v>0</v>
      </c>
      <c r="BG404" s="190">
        <f t="shared" si="6"/>
        <v>0</v>
      </c>
      <c r="BH404" s="190">
        <f t="shared" si="7"/>
        <v>0</v>
      </c>
      <c r="BI404" s="190">
        <f t="shared" si="8"/>
        <v>0</v>
      </c>
      <c r="BJ404" s="81" t="s">
        <v>73</v>
      </c>
      <c r="BK404" s="190">
        <f t="shared" si="9"/>
        <v>0</v>
      </c>
      <c r="BL404" s="81" t="s">
        <v>119</v>
      </c>
      <c r="BM404" s="81" t="s">
        <v>452</v>
      </c>
    </row>
    <row r="405" spans="2:65" s="92" customFormat="1" ht="16.5" customHeight="1">
      <c r="B405" s="90"/>
      <c r="C405" s="177" t="s">
        <v>484</v>
      </c>
      <c r="D405" s="178" t="s">
        <v>116</v>
      </c>
      <c r="E405" s="179" t="s">
        <v>454</v>
      </c>
      <c r="F405" s="180" t="s">
        <v>455</v>
      </c>
      <c r="G405" s="181" t="s">
        <v>358</v>
      </c>
      <c r="H405" s="182">
        <f>H406+H407</f>
        <v>5</v>
      </c>
      <c r="I405" s="69"/>
      <c r="J405" s="184">
        <f t="shared" si="0"/>
        <v>0</v>
      </c>
      <c r="K405" s="180" t="s">
        <v>154</v>
      </c>
      <c r="L405" s="90"/>
      <c r="M405" s="185" t="s">
        <v>1</v>
      </c>
      <c r="N405" s="186" t="s">
        <v>41</v>
      </c>
      <c r="O405" s="187"/>
      <c r="P405" s="188">
        <f t="shared" si="1"/>
        <v>0</v>
      </c>
      <c r="Q405" s="188">
        <v>0</v>
      </c>
      <c r="R405" s="188">
        <f t="shared" si="2"/>
        <v>0</v>
      </c>
      <c r="S405" s="188">
        <v>0</v>
      </c>
      <c r="T405" s="189">
        <f t="shared" si="3"/>
        <v>0</v>
      </c>
      <c r="AR405" s="81" t="s">
        <v>119</v>
      </c>
      <c r="AT405" s="81" t="s">
        <v>116</v>
      </c>
      <c r="AU405" s="81" t="s">
        <v>76</v>
      </c>
      <c r="AY405" s="81" t="s">
        <v>114</v>
      </c>
      <c r="BE405" s="190">
        <f t="shared" si="4"/>
        <v>0</v>
      </c>
      <c r="BF405" s="190">
        <f t="shared" si="5"/>
        <v>0</v>
      </c>
      <c r="BG405" s="190">
        <f t="shared" si="6"/>
        <v>0</v>
      </c>
      <c r="BH405" s="190">
        <f t="shared" si="7"/>
        <v>0</v>
      </c>
      <c r="BI405" s="190">
        <f t="shared" si="8"/>
        <v>0</v>
      </c>
      <c r="BJ405" s="81" t="s">
        <v>73</v>
      </c>
      <c r="BK405" s="190">
        <f t="shared" si="9"/>
        <v>0</v>
      </c>
      <c r="BL405" s="81" t="s">
        <v>119</v>
      </c>
      <c r="BM405" s="81" t="s">
        <v>456</v>
      </c>
    </row>
    <row r="406" spans="2:65" s="92" customFormat="1" ht="16.5" customHeight="1">
      <c r="B406" s="90"/>
      <c r="C406" s="257" t="s">
        <v>489</v>
      </c>
      <c r="D406" s="247" t="s">
        <v>319</v>
      </c>
      <c r="E406" s="248" t="s">
        <v>458</v>
      </c>
      <c r="F406" s="253" t="s">
        <v>459</v>
      </c>
      <c r="G406" s="262" t="s">
        <v>358</v>
      </c>
      <c r="H406" s="263">
        <v>3</v>
      </c>
      <c r="I406" s="76"/>
      <c r="J406" s="252">
        <f t="shared" si="0"/>
        <v>0</v>
      </c>
      <c r="K406" s="253" t="s">
        <v>154</v>
      </c>
      <c r="L406" s="254"/>
      <c r="M406" s="255" t="s">
        <v>1</v>
      </c>
      <c r="N406" s="256" t="s">
        <v>41</v>
      </c>
      <c r="O406" s="187"/>
      <c r="P406" s="188">
        <f t="shared" si="1"/>
        <v>0</v>
      </c>
      <c r="Q406" s="188">
        <v>0.0088</v>
      </c>
      <c r="R406" s="188">
        <f t="shared" si="2"/>
        <v>0.0264</v>
      </c>
      <c r="S406" s="188">
        <v>0</v>
      </c>
      <c r="T406" s="189">
        <f t="shared" si="3"/>
        <v>0</v>
      </c>
      <c r="AR406" s="81" t="s">
        <v>183</v>
      </c>
      <c r="AT406" s="81" t="s">
        <v>319</v>
      </c>
      <c r="AU406" s="81" t="s">
        <v>76</v>
      </c>
      <c r="AY406" s="81" t="s">
        <v>114</v>
      </c>
      <c r="BE406" s="190">
        <f t="shared" si="4"/>
        <v>0</v>
      </c>
      <c r="BF406" s="190">
        <f t="shared" si="5"/>
        <v>0</v>
      </c>
      <c r="BG406" s="190">
        <f t="shared" si="6"/>
        <v>0</v>
      </c>
      <c r="BH406" s="190">
        <f t="shared" si="7"/>
        <v>0</v>
      </c>
      <c r="BI406" s="190">
        <f t="shared" si="8"/>
        <v>0</v>
      </c>
      <c r="BJ406" s="81" t="s">
        <v>73</v>
      </c>
      <c r="BK406" s="190">
        <f t="shared" si="9"/>
        <v>0</v>
      </c>
      <c r="BL406" s="81" t="s">
        <v>119</v>
      </c>
      <c r="BM406" s="81" t="s">
        <v>460</v>
      </c>
    </row>
    <row r="407" spans="2:65" s="92" customFormat="1" ht="16.5" customHeight="1">
      <c r="B407" s="90"/>
      <c r="C407" s="247">
        <v>66</v>
      </c>
      <c r="D407" s="247" t="s">
        <v>319</v>
      </c>
      <c r="E407" s="248"/>
      <c r="F407" s="253" t="s">
        <v>1504</v>
      </c>
      <c r="G407" s="262" t="s">
        <v>358</v>
      </c>
      <c r="H407" s="263">
        <v>2</v>
      </c>
      <c r="I407" s="76"/>
      <c r="J407" s="252">
        <f t="shared" si="0"/>
        <v>0</v>
      </c>
      <c r="K407" s="253" t="s">
        <v>1</v>
      </c>
      <c r="L407" s="254"/>
      <c r="M407" s="255" t="s">
        <v>1</v>
      </c>
      <c r="N407" s="256" t="s">
        <v>41</v>
      </c>
      <c r="O407" s="187"/>
      <c r="P407" s="188">
        <f t="shared" si="1"/>
        <v>0</v>
      </c>
      <c r="Q407" s="188">
        <v>0.0089</v>
      </c>
      <c r="R407" s="188">
        <f t="shared" si="2"/>
        <v>0.0178</v>
      </c>
      <c r="S407" s="188">
        <v>0</v>
      </c>
      <c r="T407" s="189">
        <f t="shared" si="3"/>
        <v>0</v>
      </c>
      <c r="AR407" s="81" t="s">
        <v>183</v>
      </c>
      <c r="AT407" s="81" t="s">
        <v>319</v>
      </c>
      <c r="AU407" s="81" t="s">
        <v>76</v>
      </c>
      <c r="AY407" s="81" t="s">
        <v>114</v>
      </c>
      <c r="BE407" s="190">
        <f t="shared" si="4"/>
        <v>0</v>
      </c>
      <c r="BF407" s="190">
        <f t="shared" si="5"/>
        <v>0</v>
      </c>
      <c r="BG407" s="190">
        <f t="shared" si="6"/>
        <v>0</v>
      </c>
      <c r="BH407" s="190">
        <f t="shared" si="7"/>
        <v>0</v>
      </c>
      <c r="BI407" s="190">
        <f t="shared" si="8"/>
        <v>0</v>
      </c>
      <c r="BJ407" s="81" t="s">
        <v>73</v>
      </c>
      <c r="BK407" s="190">
        <f t="shared" si="9"/>
        <v>0</v>
      </c>
      <c r="BL407" s="81" t="s">
        <v>119</v>
      </c>
      <c r="BM407" s="81" t="s">
        <v>1136</v>
      </c>
    </row>
    <row r="408" spans="2:65" s="92" customFormat="1" ht="16.5" customHeight="1">
      <c r="B408" s="90"/>
      <c r="C408" s="177" t="s">
        <v>497</v>
      </c>
      <c r="D408" s="178" t="s">
        <v>116</v>
      </c>
      <c r="E408" s="179" t="s">
        <v>465</v>
      </c>
      <c r="F408" s="265" t="s">
        <v>466</v>
      </c>
      <c r="G408" s="181" t="s">
        <v>358</v>
      </c>
      <c r="H408" s="182">
        <f>SUM(H409:H412)</f>
        <v>7</v>
      </c>
      <c r="I408" s="69"/>
      <c r="J408" s="184">
        <f t="shared" si="0"/>
        <v>0</v>
      </c>
      <c r="K408" s="180" t="s">
        <v>154</v>
      </c>
      <c r="L408" s="90"/>
      <c r="M408" s="185" t="s">
        <v>1</v>
      </c>
      <c r="N408" s="186" t="s">
        <v>41</v>
      </c>
      <c r="O408" s="187"/>
      <c r="P408" s="188">
        <f t="shared" si="1"/>
        <v>0</v>
      </c>
      <c r="Q408" s="188">
        <v>0.00167</v>
      </c>
      <c r="R408" s="188">
        <f t="shared" si="2"/>
        <v>0.01169</v>
      </c>
      <c r="S408" s="188">
        <v>0</v>
      </c>
      <c r="T408" s="189">
        <f t="shared" si="3"/>
        <v>0</v>
      </c>
      <c r="AR408" s="81" t="s">
        <v>119</v>
      </c>
      <c r="AT408" s="81" t="s">
        <v>116</v>
      </c>
      <c r="AU408" s="81" t="s">
        <v>76</v>
      </c>
      <c r="AY408" s="81" t="s">
        <v>114</v>
      </c>
      <c r="BE408" s="190">
        <f t="shared" si="4"/>
        <v>0</v>
      </c>
      <c r="BF408" s="190">
        <f t="shared" si="5"/>
        <v>0</v>
      </c>
      <c r="BG408" s="190">
        <f t="shared" si="6"/>
        <v>0</v>
      </c>
      <c r="BH408" s="190">
        <f t="shared" si="7"/>
        <v>0</v>
      </c>
      <c r="BI408" s="190">
        <f t="shared" si="8"/>
        <v>0</v>
      </c>
      <c r="BJ408" s="81" t="s">
        <v>73</v>
      </c>
      <c r="BK408" s="190">
        <f t="shared" si="9"/>
        <v>0</v>
      </c>
      <c r="BL408" s="81" t="s">
        <v>119</v>
      </c>
      <c r="BM408" s="81" t="s">
        <v>467</v>
      </c>
    </row>
    <row r="409" spans="2:65" s="92" customFormat="1" ht="16.5" customHeight="1">
      <c r="B409" s="90"/>
      <c r="C409" s="257" t="s">
        <v>501</v>
      </c>
      <c r="D409" s="247" t="s">
        <v>319</v>
      </c>
      <c r="E409" s="248" t="s">
        <v>469</v>
      </c>
      <c r="F409" s="253" t="s">
        <v>470</v>
      </c>
      <c r="G409" s="262" t="s">
        <v>358</v>
      </c>
      <c r="H409" s="263">
        <v>1</v>
      </c>
      <c r="I409" s="76"/>
      <c r="J409" s="252">
        <f t="shared" si="0"/>
        <v>0</v>
      </c>
      <c r="K409" s="253" t="s">
        <v>154</v>
      </c>
      <c r="L409" s="254"/>
      <c r="M409" s="255" t="s">
        <v>1</v>
      </c>
      <c r="N409" s="256" t="s">
        <v>41</v>
      </c>
      <c r="O409" s="187"/>
      <c r="P409" s="188">
        <f t="shared" si="1"/>
        <v>0</v>
      </c>
      <c r="Q409" s="188">
        <v>0.0121</v>
      </c>
      <c r="R409" s="188">
        <f t="shared" si="2"/>
        <v>0.0121</v>
      </c>
      <c r="S409" s="188">
        <v>0</v>
      </c>
      <c r="T409" s="189">
        <f t="shared" si="3"/>
        <v>0</v>
      </c>
      <c r="AR409" s="81" t="s">
        <v>183</v>
      </c>
      <c r="AT409" s="81" t="s">
        <v>319</v>
      </c>
      <c r="AU409" s="81" t="s">
        <v>76</v>
      </c>
      <c r="AY409" s="81" t="s">
        <v>114</v>
      </c>
      <c r="BE409" s="190">
        <f t="shared" si="4"/>
        <v>0</v>
      </c>
      <c r="BF409" s="190">
        <f t="shared" si="5"/>
        <v>0</v>
      </c>
      <c r="BG409" s="190">
        <f t="shared" si="6"/>
        <v>0</v>
      </c>
      <c r="BH409" s="190">
        <f t="shared" si="7"/>
        <v>0</v>
      </c>
      <c r="BI409" s="190">
        <f t="shared" si="8"/>
        <v>0</v>
      </c>
      <c r="BJ409" s="81" t="s">
        <v>73</v>
      </c>
      <c r="BK409" s="190">
        <f t="shared" si="9"/>
        <v>0</v>
      </c>
      <c r="BL409" s="81" t="s">
        <v>119</v>
      </c>
      <c r="BM409" s="81" t="s">
        <v>471</v>
      </c>
    </row>
    <row r="410" spans="2:65" s="92" customFormat="1" ht="16.5" customHeight="1">
      <c r="B410" s="90"/>
      <c r="C410" s="247">
        <v>69</v>
      </c>
      <c r="D410" s="247" t="s">
        <v>319</v>
      </c>
      <c r="E410" s="248" t="s">
        <v>1148</v>
      </c>
      <c r="F410" s="253" t="s">
        <v>1499</v>
      </c>
      <c r="G410" s="262" t="s">
        <v>358</v>
      </c>
      <c r="H410" s="263">
        <v>1</v>
      </c>
      <c r="I410" s="76"/>
      <c r="J410" s="252">
        <f t="shared" si="0"/>
        <v>0</v>
      </c>
      <c r="K410" s="253" t="s">
        <v>154</v>
      </c>
      <c r="L410" s="254"/>
      <c r="M410" s="255" t="s">
        <v>1</v>
      </c>
      <c r="N410" s="256" t="s">
        <v>41</v>
      </c>
      <c r="O410" s="187"/>
      <c r="P410" s="188">
        <f t="shared" si="1"/>
        <v>0</v>
      </c>
      <c r="Q410" s="188">
        <v>0.0168</v>
      </c>
      <c r="R410" s="188">
        <f t="shared" si="2"/>
        <v>0.0168</v>
      </c>
      <c r="S410" s="188">
        <v>0</v>
      </c>
      <c r="T410" s="189">
        <f t="shared" si="3"/>
        <v>0</v>
      </c>
      <c r="AR410" s="81" t="s">
        <v>183</v>
      </c>
      <c r="AT410" s="81" t="s">
        <v>319</v>
      </c>
      <c r="AU410" s="81" t="s">
        <v>76</v>
      </c>
      <c r="AY410" s="81" t="s">
        <v>114</v>
      </c>
      <c r="BE410" s="190">
        <f t="shared" si="4"/>
        <v>0</v>
      </c>
      <c r="BF410" s="190">
        <f t="shared" si="5"/>
        <v>0</v>
      </c>
      <c r="BG410" s="190">
        <f t="shared" si="6"/>
        <v>0</v>
      </c>
      <c r="BH410" s="190">
        <f t="shared" si="7"/>
        <v>0</v>
      </c>
      <c r="BI410" s="190">
        <f t="shared" si="8"/>
        <v>0</v>
      </c>
      <c r="BJ410" s="81" t="s">
        <v>73</v>
      </c>
      <c r="BK410" s="190">
        <f t="shared" si="9"/>
        <v>0</v>
      </c>
      <c r="BL410" s="81" t="s">
        <v>119</v>
      </c>
      <c r="BM410" s="81" t="s">
        <v>1149</v>
      </c>
    </row>
    <row r="411" spans="2:65" s="92" customFormat="1" ht="16.5" customHeight="1">
      <c r="B411" s="90"/>
      <c r="C411" s="257" t="s">
        <v>508</v>
      </c>
      <c r="D411" s="247" t="s">
        <v>319</v>
      </c>
      <c r="E411" s="248" t="s">
        <v>473</v>
      </c>
      <c r="F411" s="253" t="s">
        <v>474</v>
      </c>
      <c r="G411" s="262" t="s">
        <v>358</v>
      </c>
      <c r="H411" s="263">
        <v>2</v>
      </c>
      <c r="I411" s="76"/>
      <c r="J411" s="252">
        <f t="shared" si="0"/>
        <v>0</v>
      </c>
      <c r="K411" s="253" t="s">
        <v>1</v>
      </c>
      <c r="L411" s="254"/>
      <c r="M411" s="255" t="s">
        <v>1</v>
      </c>
      <c r="N411" s="256" t="s">
        <v>41</v>
      </c>
      <c r="O411" s="187"/>
      <c r="P411" s="188">
        <f t="shared" si="1"/>
        <v>0</v>
      </c>
      <c r="Q411" s="188">
        <v>0.0243</v>
      </c>
      <c r="R411" s="188">
        <f t="shared" si="2"/>
        <v>0.0486</v>
      </c>
      <c r="S411" s="188">
        <v>0</v>
      </c>
      <c r="T411" s="189">
        <f t="shared" si="3"/>
        <v>0</v>
      </c>
      <c r="AR411" s="81" t="s">
        <v>183</v>
      </c>
      <c r="AT411" s="81" t="s">
        <v>319</v>
      </c>
      <c r="AU411" s="81" t="s">
        <v>76</v>
      </c>
      <c r="AY411" s="81" t="s">
        <v>114</v>
      </c>
      <c r="BE411" s="190">
        <f t="shared" si="4"/>
        <v>0</v>
      </c>
      <c r="BF411" s="190">
        <f t="shared" si="5"/>
        <v>0</v>
      </c>
      <c r="BG411" s="190">
        <f t="shared" si="6"/>
        <v>0</v>
      </c>
      <c r="BH411" s="190">
        <f t="shared" si="7"/>
        <v>0</v>
      </c>
      <c r="BI411" s="190">
        <f t="shared" si="8"/>
        <v>0</v>
      </c>
      <c r="BJ411" s="81" t="s">
        <v>73</v>
      </c>
      <c r="BK411" s="190">
        <f t="shared" si="9"/>
        <v>0</v>
      </c>
      <c r="BL411" s="81" t="s">
        <v>119</v>
      </c>
      <c r="BM411" s="81" t="s">
        <v>475</v>
      </c>
    </row>
    <row r="412" spans="2:65" s="92" customFormat="1" ht="16.5" customHeight="1">
      <c r="B412" s="90"/>
      <c r="C412" s="257" t="s">
        <v>512</v>
      </c>
      <c r="D412" s="247" t="s">
        <v>319</v>
      </c>
      <c r="E412" s="248" t="s">
        <v>477</v>
      </c>
      <c r="F412" s="253" t="s">
        <v>478</v>
      </c>
      <c r="G412" s="262" t="s">
        <v>358</v>
      </c>
      <c r="H412" s="263">
        <v>3</v>
      </c>
      <c r="I412" s="76"/>
      <c r="J412" s="252">
        <f t="shared" si="0"/>
        <v>0</v>
      </c>
      <c r="K412" s="253" t="s">
        <v>154</v>
      </c>
      <c r="L412" s="254"/>
      <c r="M412" s="255" t="s">
        <v>1</v>
      </c>
      <c r="N412" s="256" t="s">
        <v>41</v>
      </c>
      <c r="O412" s="187"/>
      <c r="P412" s="188">
        <f t="shared" si="1"/>
        <v>0</v>
      </c>
      <c r="Q412" s="188">
        <v>0.0088</v>
      </c>
      <c r="R412" s="188">
        <f t="shared" si="2"/>
        <v>0.0264</v>
      </c>
      <c r="S412" s="188">
        <v>0</v>
      </c>
      <c r="T412" s="189">
        <f t="shared" si="3"/>
        <v>0</v>
      </c>
      <c r="AR412" s="81" t="s">
        <v>183</v>
      </c>
      <c r="AT412" s="81" t="s">
        <v>319</v>
      </c>
      <c r="AU412" s="81" t="s">
        <v>76</v>
      </c>
      <c r="AY412" s="81" t="s">
        <v>114</v>
      </c>
      <c r="BE412" s="190">
        <f t="shared" si="4"/>
        <v>0</v>
      </c>
      <c r="BF412" s="190">
        <f t="shared" si="5"/>
        <v>0</v>
      </c>
      <c r="BG412" s="190">
        <f t="shared" si="6"/>
        <v>0</v>
      </c>
      <c r="BH412" s="190">
        <f t="shared" si="7"/>
        <v>0</v>
      </c>
      <c r="BI412" s="190">
        <f t="shared" si="8"/>
        <v>0</v>
      </c>
      <c r="BJ412" s="81" t="s">
        <v>73</v>
      </c>
      <c r="BK412" s="190">
        <f t="shared" si="9"/>
        <v>0</v>
      </c>
      <c r="BL412" s="81" t="s">
        <v>119</v>
      </c>
      <c r="BM412" s="81" t="s">
        <v>479</v>
      </c>
    </row>
    <row r="413" spans="2:65" s="92" customFormat="1" ht="16.5" customHeight="1">
      <c r="B413" s="90"/>
      <c r="C413" s="247">
        <v>72</v>
      </c>
      <c r="D413" s="247" t="s">
        <v>319</v>
      </c>
      <c r="E413" s="248"/>
      <c r="F413" s="253" t="s">
        <v>1505</v>
      </c>
      <c r="G413" s="262" t="s">
        <v>358</v>
      </c>
      <c r="H413" s="263">
        <v>1</v>
      </c>
      <c r="I413" s="76"/>
      <c r="J413" s="252">
        <f t="shared" si="0"/>
        <v>0</v>
      </c>
      <c r="K413" s="253" t="s">
        <v>1</v>
      </c>
      <c r="L413" s="254"/>
      <c r="M413" s="255" t="s">
        <v>1</v>
      </c>
      <c r="N413" s="256" t="s">
        <v>41</v>
      </c>
      <c r="O413" s="187"/>
      <c r="P413" s="188">
        <f t="shared" si="1"/>
        <v>0</v>
      </c>
      <c r="Q413" s="188">
        <v>0.0083</v>
      </c>
      <c r="R413" s="188">
        <f t="shared" si="2"/>
        <v>0.0083</v>
      </c>
      <c r="S413" s="188">
        <v>0</v>
      </c>
      <c r="T413" s="189">
        <f t="shared" si="3"/>
        <v>0</v>
      </c>
      <c r="AR413" s="81" t="s">
        <v>183</v>
      </c>
      <c r="AT413" s="81" t="s">
        <v>319</v>
      </c>
      <c r="AU413" s="81" t="s">
        <v>76</v>
      </c>
      <c r="AY413" s="81" t="s">
        <v>114</v>
      </c>
      <c r="BE413" s="190">
        <f t="shared" si="4"/>
        <v>0</v>
      </c>
      <c r="BF413" s="190">
        <f t="shared" si="5"/>
        <v>0</v>
      </c>
      <c r="BG413" s="190">
        <f t="shared" si="6"/>
        <v>0</v>
      </c>
      <c r="BH413" s="190">
        <f t="shared" si="7"/>
        <v>0</v>
      </c>
      <c r="BI413" s="190">
        <f t="shared" si="8"/>
        <v>0</v>
      </c>
      <c r="BJ413" s="81" t="s">
        <v>73</v>
      </c>
      <c r="BK413" s="190">
        <f t="shared" si="9"/>
        <v>0</v>
      </c>
      <c r="BL413" s="81" t="s">
        <v>119</v>
      </c>
      <c r="BM413" s="81" t="s">
        <v>1139</v>
      </c>
    </row>
    <row r="414" spans="2:65" s="92" customFormat="1" ht="16.5" customHeight="1">
      <c r="B414" s="90"/>
      <c r="C414" s="178">
        <v>73</v>
      </c>
      <c r="D414" s="178" t="s">
        <v>116</v>
      </c>
      <c r="E414" s="179" t="s">
        <v>1159</v>
      </c>
      <c r="F414" s="180" t="s">
        <v>1160</v>
      </c>
      <c r="G414" s="181" t="s">
        <v>358</v>
      </c>
      <c r="H414" s="182">
        <v>3</v>
      </c>
      <c r="I414" s="69"/>
      <c r="J414" s="184">
        <f t="shared" si="0"/>
        <v>0</v>
      </c>
      <c r="K414" s="180" t="s">
        <v>154</v>
      </c>
      <c r="L414" s="90"/>
      <c r="M414" s="185" t="s">
        <v>1</v>
      </c>
      <c r="N414" s="186" t="s">
        <v>41</v>
      </c>
      <c r="O414" s="187"/>
      <c r="P414" s="188">
        <f t="shared" si="1"/>
        <v>0</v>
      </c>
      <c r="Q414" s="188">
        <v>0.00171</v>
      </c>
      <c r="R414" s="188">
        <f t="shared" si="2"/>
        <v>0.00513</v>
      </c>
      <c r="S414" s="188">
        <v>0</v>
      </c>
      <c r="T414" s="189">
        <f t="shared" si="3"/>
        <v>0</v>
      </c>
      <c r="AR414" s="81" t="s">
        <v>119</v>
      </c>
      <c r="AT414" s="81" t="s">
        <v>116</v>
      </c>
      <c r="AU414" s="81" t="s">
        <v>76</v>
      </c>
      <c r="AY414" s="81" t="s">
        <v>114</v>
      </c>
      <c r="BE414" s="190">
        <f t="shared" si="4"/>
        <v>0</v>
      </c>
      <c r="BF414" s="190">
        <f t="shared" si="5"/>
        <v>0</v>
      </c>
      <c r="BG414" s="190">
        <f t="shared" si="6"/>
        <v>0</v>
      </c>
      <c r="BH414" s="190">
        <f t="shared" si="7"/>
        <v>0</v>
      </c>
      <c r="BI414" s="190">
        <f t="shared" si="8"/>
        <v>0</v>
      </c>
      <c r="BJ414" s="81" t="s">
        <v>73</v>
      </c>
      <c r="BK414" s="190">
        <f t="shared" si="9"/>
        <v>0</v>
      </c>
      <c r="BL414" s="81" t="s">
        <v>119</v>
      </c>
      <c r="BM414" s="81" t="s">
        <v>1161</v>
      </c>
    </row>
    <row r="415" spans="2:65" s="92" customFormat="1" ht="16.5" customHeight="1">
      <c r="B415" s="90"/>
      <c r="C415" s="247">
        <v>74</v>
      </c>
      <c r="D415" s="247" t="s">
        <v>319</v>
      </c>
      <c r="E415" s="248" t="s">
        <v>1162</v>
      </c>
      <c r="F415" s="253" t="s">
        <v>1163</v>
      </c>
      <c r="G415" s="262" t="s">
        <v>358</v>
      </c>
      <c r="H415" s="263">
        <v>1</v>
      </c>
      <c r="I415" s="76"/>
      <c r="J415" s="252">
        <f t="shared" si="0"/>
        <v>0</v>
      </c>
      <c r="K415" s="253" t="s">
        <v>154</v>
      </c>
      <c r="L415" s="254"/>
      <c r="M415" s="255" t="s">
        <v>1</v>
      </c>
      <c r="N415" s="256" t="s">
        <v>41</v>
      </c>
      <c r="O415" s="187"/>
      <c r="P415" s="188">
        <f t="shared" si="1"/>
        <v>0</v>
      </c>
      <c r="Q415" s="188">
        <v>0.0197</v>
      </c>
      <c r="R415" s="188">
        <f t="shared" si="2"/>
        <v>0.0197</v>
      </c>
      <c r="S415" s="188">
        <v>0</v>
      </c>
      <c r="T415" s="189">
        <f t="shared" si="3"/>
        <v>0</v>
      </c>
      <c r="AR415" s="81" t="s">
        <v>183</v>
      </c>
      <c r="AT415" s="81" t="s">
        <v>319</v>
      </c>
      <c r="AU415" s="81" t="s">
        <v>76</v>
      </c>
      <c r="AY415" s="81" t="s">
        <v>114</v>
      </c>
      <c r="BE415" s="190">
        <f t="shared" si="4"/>
        <v>0</v>
      </c>
      <c r="BF415" s="190">
        <f t="shared" si="5"/>
        <v>0</v>
      </c>
      <c r="BG415" s="190">
        <f t="shared" si="6"/>
        <v>0</v>
      </c>
      <c r="BH415" s="190">
        <f t="shared" si="7"/>
        <v>0</v>
      </c>
      <c r="BI415" s="190">
        <f t="shared" si="8"/>
        <v>0</v>
      </c>
      <c r="BJ415" s="81" t="s">
        <v>73</v>
      </c>
      <c r="BK415" s="190">
        <f t="shared" si="9"/>
        <v>0</v>
      </c>
      <c r="BL415" s="81" t="s">
        <v>119</v>
      </c>
      <c r="BM415" s="81" t="s">
        <v>1164</v>
      </c>
    </row>
    <row r="416" spans="2:65" s="92" customFormat="1" ht="16.5" customHeight="1">
      <c r="B416" s="90"/>
      <c r="C416" s="247">
        <v>75</v>
      </c>
      <c r="D416" s="247" t="s">
        <v>319</v>
      </c>
      <c r="E416" s="248" t="s">
        <v>450</v>
      </c>
      <c r="F416" s="253" t="s">
        <v>451</v>
      </c>
      <c r="G416" s="262" t="s">
        <v>358</v>
      </c>
      <c r="H416" s="263">
        <v>1</v>
      </c>
      <c r="I416" s="76"/>
      <c r="J416" s="252">
        <f t="shared" si="0"/>
        <v>0</v>
      </c>
      <c r="K416" s="253" t="s">
        <v>154</v>
      </c>
      <c r="L416" s="254"/>
      <c r="M416" s="255" t="s">
        <v>1</v>
      </c>
      <c r="N416" s="256" t="s">
        <v>41</v>
      </c>
      <c r="O416" s="187"/>
      <c r="P416" s="188">
        <f t="shared" si="1"/>
        <v>0</v>
      </c>
      <c r="Q416" s="188">
        <v>0.0178</v>
      </c>
      <c r="R416" s="188">
        <f t="shared" si="2"/>
        <v>0.0178</v>
      </c>
      <c r="S416" s="188">
        <v>0</v>
      </c>
      <c r="T416" s="189">
        <f t="shared" si="3"/>
        <v>0</v>
      </c>
      <c r="AR416" s="81" t="s">
        <v>183</v>
      </c>
      <c r="AT416" s="81" t="s">
        <v>319</v>
      </c>
      <c r="AU416" s="81" t="s">
        <v>76</v>
      </c>
      <c r="AY416" s="81" t="s">
        <v>114</v>
      </c>
      <c r="BE416" s="190">
        <f t="shared" si="4"/>
        <v>0</v>
      </c>
      <c r="BF416" s="190">
        <f t="shared" si="5"/>
        <v>0</v>
      </c>
      <c r="BG416" s="190">
        <f t="shared" si="6"/>
        <v>0</v>
      </c>
      <c r="BH416" s="190">
        <f t="shared" si="7"/>
        <v>0</v>
      </c>
      <c r="BI416" s="190">
        <f t="shared" si="8"/>
        <v>0</v>
      </c>
      <c r="BJ416" s="81" t="s">
        <v>73</v>
      </c>
      <c r="BK416" s="190">
        <f t="shared" si="9"/>
        <v>0</v>
      </c>
      <c r="BL416" s="81" t="s">
        <v>119</v>
      </c>
      <c r="BM416" s="81" t="s">
        <v>1165</v>
      </c>
    </row>
    <row r="417" spans="2:65" s="92" customFormat="1" ht="16.5" customHeight="1">
      <c r="B417" s="90"/>
      <c r="C417" s="247">
        <v>76</v>
      </c>
      <c r="D417" s="247" t="s">
        <v>319</v>
      </c>
      <c r="E417" s="248" t="s">
        <v>1166</v>
      </c>
      <c r="F417" s="253" t="s">
        <v>1167</v>
      </c>
      <c r="G417" s="262" t="s">
        <v>358</v>
      </c>
      <c r="H417" s="263">
        <v>1</v>
      </c>
      <c r="I417" s="76"/>
      <c r="J417" s="252">
        <f t="shared" si="0"/>
        <v>0</v>
      </c>
      <c r="K417" s="253" t="s">
        <v>154</v>
      </c>
      <c r="L417" s="254"/>
      <c r="M417" s="255" t="s">
        <v>1</v>
      </c>
      <c r="N417" s="256" t="s">
        <v>41</v>
      </c>
      <c r="O417" s="187"/>
      <c r="P417" s="188">
        <f t="shared" si="1"/>
        <v>0</v>
      </c>
      <c r="Q417" s="188">
        <v>0.0264</v>
      </c>
      <c r="R417" s="188">
        <f t="shared" si="2"/>
        <v>0.0264</v>
      </c>
      <c r="S417" s="188">
        <v>0</v>
      </c>
      <c r="T417" s="189">
        <f t="shared" si="3"/>
        <v>0</v>
      </c>
      <c r="AR417" s="81" t="s">
        <v>183</v>
      </c>
      <c r="AT417" s="81" t="s">
        <v>319</v>
      </c>
      <c r="AU417" s="81" t="s">
        <v>76</v>
      </c>
      <c r="AY417" s="81" t="s">
        <v>114</v>
      </c>
      <c r="BE417" s="190">
        <f t="shared" si="4"/>
        <v>0</v>
      </c>
      <c r="BF417" s="190">
        <f t="shared" si="5"/>
        <v>0</v>
      </c>
      <c r="BG417" s="190">
        <f t="shared" si="6"/>
        <v>0</v>
      </c>
      <c r="BH417" s="190">
        <f t="shared" si="7"/>
        <v>0</v>
      </c>
      <c r="BI417" s="190">
        <f t="shared" si="8"/>
        <v>0</v>
      </c>
      <c r="BJ417" s="81" t="s">
        <v>73</v>
      </c>
      <c r="BK417" s="190">
        <f t="shared" si="9"/>
        <v>0</v>
      </c>
      <c r="BL417" s="81" t="s">
        <v>119</v>
      </c>
      <c r="BM417" s="81" t="s">
        <v>1168</v>
      </c>
    </row>
    <row r="418" spans="2:65" s="92" customFormat="1" ht="16.5" customHeight="1">
      <c r="B418" s="90"/>
      <c r="C418" s="178">
        <v>77</v>
      </c>
      <c r="D418" s="178" t="s">
        <v>116</v>
      </c>
      <c r="E418" s="179" t="s">
        <v>1169</v>
      </c>
      <c r="F418" s="232" t="s">
        <v>1170</v>
      </c>
      <c r="G418" s="181" t="s">
        <v>358</v>
      </c>
      <c r="H418" s="182">
        <v>2</v>
      </c>
      <c r="I418" s="69"/>
      <c r="J418" s="184">
        <f t="shared" si="0"/>
        <v>0</v>
      </c>
      <c r="K418" s="180" t="s">
        <v>154</v>
      </c>
      <c r="L418" s="90"/>
      <c r="M418" s="185" t="s">
        <v>1</v>
      </c>
      <c r="N418" s="186" t="s">
        <v>41</v>
      </c>
      <c r="O418" s="187"/>
      <c r="P418" s="188">
        <f t="shared" si="1"/>
        <v>0</v>
      </c>
      <c r="Q418" s="188">
        <v>0</v>
      </c>
      <c r="R418" s="188">
        <f t="shared" si="2"/>
        <v>0</v>
      </c>
      <c r="S418" s="188">
        <v>0</v>
      </c>
      <c r="T418" s="189">
        <f t="shared" si="3"/>
        <v>0</v>
      </c>
      <c r="AR418" s="81" t="s">
        <v>119</v>
      </c>
      <c r="AT418" s="81" t="s">
        <v>116</v>
      </c>
      <c r="AU418" s="81" t="s">
        <v>76</v>
      </c>
      <c r="AY418" s="81" t="s">
        <v>114</v>
      </c>
      <c r="BE418" s="190">
        <f t="shared" si="4"/>
        <v>0</v>
      </c>
      <c r="BF418" s="190">
        <f t="shared" si="5"/>
        <v>0</v>
      </c>
      <c r="BG418" s="190">
        <f t="shared" si="6"/>
        <v>0</v>
      </c>
      <c r="BH418" s="190">
        <f t="shared" si="7"/>
        <v>0</v>
      </c>
      <c r="BI418" s="190">
        <f t="shared" si="8"/>
        <v>0</v>
      </c>
      <c r="BJ418" s="81" t="s">
        <v>73</v>
      </c>
      <c r="BK418" s="190">
        <f t="shared" si="9"/>
        <v>0</v>
      </c>
      <c r="BL418" s="81" t="s">
        <v>119</v>
      </c>
      <c r="BM418" s="81" t="s">
        <v>1171</v>
      </c>
    </row>
    <row r="419" spans="2:65" s="92" customFormat="1" ht="16.5" customHeight="1">
      <c r="B419" s="90"/>
      <c r="C419" s="247">
        <v>78</v>
      </c>
      <c r="D419" s="247" t="s">
        <v>319</v>
      </c>
      <c r="E419" s="248" t="s">
        <v>1172</v>
      </c>
      <c r="F419" s="249" t="s">
        <v>1173</v>
      </c>
      <c r="G419" s="262" t="s">
        <v>358</v>
      </c>
      <c r="H419" s="263">
        <v>2</v>
      </c>
      <c r="I419" s="76"/>
      <c r="J419" s="252">
        <f t="shared" si="0"/>
        <v>0</v>
      </c>
      <c r="K419" s="253" t="s">
        <v>154</v>
      </c>
      <c r="L419" s="254"/>
      <c r="M419" s="255" t="s">
        <v>1</v>
      </c>
      <c r="N419" s="256" t="s">
        <v>41</v>
      </c>
      <c r="O419" s="187"/>
      <c r="P419" s="188">
        <f t="shared" si="1"/>
        <v>0</v>
      </c>
      <c r="Q419" s="188">
        <v>0.0144</v>
      </c>
      <c r="R419" s="188">
        <f t="shared" si="2"/>
        <v>0.0288</v>
      </c>
      <c r="S419" s="188">
        <v>0</v>
      </c>
      <c r="T419" s="189">
        <f t="shared" si="3"/>
        <v>0</v>
      </c>
      <c r="AR419" s="81" t="s">
        <v>183</v>
      </c>
      <c r="AT419" s="81" t="s">
        <v>319</v>
      </c>
      <c r="AU419" s="81" t="s">
        <v>76</v>
      </c>
      <c r="AY419" s="81" t="s">
        <v>114</v>
      </c>
      <c r="BE419" s="190">
        <f t="shared" si="4"/>
        <v>0</v>
      </c>
      <c r="BF419" s="190">
        <f t="shared" si="5"/>
        <v>0</v>
      </c>
      <c r="BG419" s="190">
        <f t="shared" si="6"/>
        <v>0</v>
      </c>
      <c r="BH419" s="190">
        <f t="shared" si="7"/>
        <v>0</v>
      </c>
      <c r="BI419" s="190">
        <f t="shared" si="8"/>
        <v>0</v>
      </c>
      <c r="BJ419" s="81" t="s">
        <v>73</v>
      </c>
      <c r="BK419" s="190">
        <f t="shared" si="9"/>
        <v>0</v>
      </c>
      <c r="BL419" s="81" t="s">
        <v>119</v>
      </c>
      <c r="BM419" s="81" t="s">
        <v>1174</v>
      </c>
    </row>
    <row r="420" spans="2:65" s="92" customFormat="1" ht="16.5" customHeight="1">
      <c r="B420" s="90"/>
      <c r="C420" s="178">
        <v>79</v>
      </c>
      <c r="D420" s="178" t="s">
        <v>116</v>
      </c>
      <c r="E420" s="179" t="s">
        <v>1175</v>
      </c>
      <c r="F420" s="232" t="s">
        <v>1176</v>
      </c>
      <c r="G420" s="181" t="s">
        <v>358</v>
      </c>
      <c r="H420" s="182">
        <v>1</v>
      </c>
      <c r="I420" s="69"/>
      <c r="J420" s="184">
        <f t="shared" si="0"/>
        <v>0</v>
      </c>
      <c r="K420" s="180" t="s">
        <v>154</v>
      </c>
      <c r="L420" s="90"/>
      <c r="M420" s="185" t="s">
        <v>1</v>
      </c>
      <c r="N420" s="186" t="s">
        <v>41</v>
      </c>
      <c r="O420" s="187"/>
      <c r="P420" s="188">
        <f t="shared" si="1"/>
        <v>0</v>
      </c>
      <c r="Q420" s="188">
        <v>0.00296</v>
      </c>
      <c r="R420" s="188">
        <f t="shared" si="2"/>
        <v>0.00296</v>
      </c>
      <c r="S420" s="188">
        <v>0</v>
      </c>
      <c r="T420" s="189">
        <f t="shared" si="3"/>
        <v>0</v>
      </c>
      <c r="AR420" s="81" t="s">
        <v>119</v>
      </c>
      <c r="AT420" s="81" t="s">
        <v>116</v>
      </c>
      <c r="AU420" s="81" t="s">
        <v>76</v>
      </c>
      <c r="AY420" s="81" t="s">
        <v>114</v>
      </c>
      <c r="BE420" s="190">
        <f t="shared" si="4"/>
        <v>0</v>
      </c>
      <c r="BF420" s="190">
        <f t="shared" si="5"/>
        <v>0</v>
      </c>
      <c r="BG420" s="190">
        <f t="shared" si="6"/>
        <v>0</v>
      </c>
      <c r="BH420" s="190">
        <f t="shared" si="7"/>
        <v>0</v>
      </c>
      <c r="BI420" s="190">
        <f t="shared" si="8"/>
        <v>0</v>
      </c>
      <c r="BJ420" s="81" t="s">
        <v>73</v>
      </c>
      <c r="BK420" s="190">
        <f t="shared" si="9"/>
        <v>0</v>
      </c>
      <c r="BL420" s="81" t="s">
        <v>119</v>
      </c>
      <c r="BM420" s="81" t="s">
        <v>1177</v>
      </c>
    </row>
    <row r="421" spans="2:65" s="92" customFormat="1" ht="16.5" customHeight="1">
      <c r="B421" s="90"/>
      <c r="C421" s="247">
        <v>80</v>
      </c>
      <c r="D421" s="247" t="s">
        <v>319</v>
      </c>
      <c r="E421" s="248" t="s">
        <v>1178</v>
      </c>
      <c r="F421" s="249" t="s">
        <v>1179</v>
      </c>
      <c r="G421" s="262" t="s">
        <v>358</v>
      </c>
      <c r="H421" s="263">
        <v>1</v>
      </c>
      <c r="I421" s="76"/>
      <c r="J421" s="252">
        <f aca="true" t="shared" si="10" ref="J421:J427">ROUND(I421*H421,2)</f>
        <v>0</v>
      </c>
      <c r="K421" s="253" t="s">
        <v>154</v>
      </c>
      <c r="L421" s="254"/>
      <c r="M421" s="255" t="s">
        <v>1</v>
      </c>
      <c r="N421" s="256" t="s">
        <v>41</v>
      </c>
      <c r="O421" s="187"/>
      <c r="P421" s="188">
        <f aca="true" t="shared" si="11" ref="P421:P427">O421*H421</f>
        <v>0</v>
      </c>
      <c r="Q421" s="188">
        <v>0.0156</v>
      </c>
      <c r="R421" s="188">
        <f aca="true" t="shared" si="12" ref="R421:R427">Q421*H421</f>
        <v>0.0156</v>
      </c>
      <c r="S421" s="188">
        <v>0</v>
      </c>
      <c r="T421" s="189">
        <f aca="true" t="shared" si="13" ref="T421:T427">S421*H421</f>
        <v>0</v>
      </c>
      <c r="AR421" s="81" t="s">
        <v>183</v>
      </c>
      <c r="AT421" s="81" t="s">
        <v>319</v>
      </c>
      <c r="AU421" s="81" t="s">
        <v>76</v>
      </c>
      <c r="AY421" s="81" t="s">
        <v>114</v>
      </c>
      <c r="BE421" s="190">
        <f aca="true" t="shared" si="14" ref="BE421:BE427">IF(N421="základní",J421,0)</f>
        <v>0</v>
      </c>
      <c r="BF421" s="190">
        <f aca="true" t="shared" si="15" ref="BF421:BF427">IF(N421="snížená",J421,0)</f>
        <v>0</v>
      </c>
      <c r="BG421" s="190">
        <f aca="true" t="shared" si="16" ref="BG421:BG427">IF(N421="zákl. přenesená",J421,0)</f>
        <v>0</v>
      </c>
      <c r="BH421" s="190">
        <f aca="true" t="shared" si="17" ref="BH421:BH427">IF(N421="sníž. přenesená",J421,0)</f>
        <v>0</v>
      </c>
      <c r="BI421" s="190">
        <f aca="true" t="shared" si="18" ref="BI421:BI427">IF(N421="nulová",J421,0)</f>
        <v>0</v>
      </c>
      <c r="BJ421" s="81" t="s">
        <v>73</v>
      </c>
      <c r="BK421" s="190">
        <f aca="true" t="shared" si="19" ref="BK421:BK427">ROUND(I421*H421,2)</f>
        <v>0</v>
      </c>
      <c r="BL421" s="81" t="s">
        <v>119</v>
      </c>
      <c r="BM421" s="81" t="s">
        <v>1180</v>
      </c>
    </row>
    <row r="422" spans="2:65" s="92" customFormat="1" ht="16.5" customHeight="1">
      <c r="B422" s="90"/>
      <c r="C422" s="178">
        <v>81</v>
      </c>
      <c r="D422" s="178" t="s">
        <v>116</v>
      </c>
      <c r="E422" s="179" t="s">
        <v>1181</v>
      </c>
      <c r="F422" s="232" t="s">
        <v>1182</v>
      </c>
      <c r="G422" s="181" t="s">
        <v>358</v>
      </c>
      <c r="H422" s="182">
        <f>SUM(H423:H426)</f>
        <v>7</v>
      </c>
      <c r="I422" s="69"/>
      <c r="J422" s="184">
        <f t="shared" si="10"/>
        <v>0</v>
      </c>
      <c r="K422" s="180" t="s">
        <v>154</v>
      </c>
      <c r="L422" s="90"/>
      <c r="M422" s="185" t="s">
        <v>1</v>
      </c>
      <c r="N422" s="186" t="s">
        <v>41</v>
      </c>
      <c r="O422" s="187"/>
      <c r="P422" s="188">
        <f t="shared" si="11"/>
        <v>0</v>
      </c>
      <c r="Q422" s="188">
        <v>0</v>
      </c>
      <c r="R422" s="188">
        <f t="shared" si="12"/>
        <v>0</v>
      </c>
      <c r="S422" s="188">
        <v>0</v>
      </c>
      <c r="T422" s="189">
        <f t="shared" si="13"/>
        <v>0</v>
      </c>
      <c r="AR422" s="81" t="s">
        <v>119</v>
      </c>
      <c r="AT422" s="81" t="s">
        <v>116</v>
      </c>
      <c r="AU422" s="81" t="s">
        <v>76</v>
      </c>
      <c r="AY422" s="81" t="s">
        <v>114</v>
      </c>
      <c r="BE422" s="190">
        <f t="shared" si="14"/>
        <v>0</v>
      </c>
      <c r="BF422" s="190">
        <f t="shared" si="15"/>
        <v>0</v>
      </c>
      <c r="BG422" s="190">
        <f t="shared" si="16"/>
        <v>0</v>
      </c>
      <c r="BH422" s="190">
        <f t="shared" si="17"/>
        <v>0</v>
      </c>
      <c r="BI422" s="190">
        <f t="shared" si="18"/>
        <v>0</v>
      </c>
      <c r="BJ422" s="81" t="s">
        <v>73</v>
      </c>
      <c r="BK422" s="190">
        <f t="shared" si="19"/>
        <v>0</v>
      </c>
      <c r="BL422" s="81" t="s">
        <v>119</v>
      </c>
      <c r="BM422" s="81" t="s">
        <v>1183</v>
      </c>
    </row>
    <row r="423" spans="2:65" s="92" customFormat="1" ht="16.5" customHeight="1">
      <c r="B423" s="90"/>
      <c r="C423" s="247">
        <v>82</v>
      </c>
      <c r="D423" s="247" t="s">
        <v>319</v>
      </c>
      <c r="E423" s="248" t="s">
        <v>1184</v>
      </c>
      <c r="F423" s="249" t="s">
        <v>1185</v>
      </c>
      <c r="G423" s="262" t="s">
        <v>358</v>
      </c>
      <c r="H423" s="263">
        <v>1</v>
      </c>
      <c r="I423" s="76"/>
      <c r="J423" s="252">
        <f t="shared" si="10"/>
        <v>0</v>
      </c>
      <c r="K423" s="253" t="s">
        <v>154</v>
      </c>
      <c r="L423" s="254"/>
      <c r="M423" s="255" t="s">
        <v>1</v>
      </c>
      <c r="N423" s="256" t="s">
        <v>41</v>
      </c>
      <c r="O423" s="187"/>
      <c r="P423" s="188">
        <f t="shared" si="11"/>
        <v>0</v>
      </c>
      <c r="Q423" s="188">
        <v>0.0241</v>
      </c>
      <c r="R423" s="188">
        <f t="shared" si="12"/>
        <v>0.0241</v>
      </c>
      <c r="S423" s="188">
        <v>0</v>
      </c>
      <c r="T423" s="189">
        <f t="shared" si="13"/>
        <v>0</v>
      </c>
      <c r="AR423" s="81" t="s">
        <v>183</v>
      </c>
      <c r="AT423" s="81" t="s">
        <v>319</v>
      </c>
      <c r="AU423" s="81" t="s">
        <v>76</v>
      </c>
      <c r="AY423" s="81" t="s">
        <v>114</v>
      </c>
      <c r="BE423" s="190">
        <f t="shared" si="14"/>
        <v>0</v>
      </c>
      <c r="BF423" s="190">
        <f t="shared" si="15"/>
        <v>0</v>
      </c>
      <c r="BG423" s="190">
        <f t="shared" si="16"/>
        <v>0</v>
      </c>
      <c r="BH423" s="190">
        <f t="shared" si="17"/>
        <v>0</v>
      </c>
      <c r="BI423" s="190">
        <f t="shared" si="18"/>
        <v>0</v>
      </c>
      <c r="BJ423" s="81" t="s">
        <v>73</v>
      </c>
      <c r="BK423" s="190">
        <f t="shared" si="19"/>
        <v>0</v>
      </c>
      <c r="BL423" s="81" t="s">
        <v>119</v>
      </c>
      <c r="BM423" s="81" t="s">
        <v>1186</v>
      </c>
    </row>
    <row r="424" spans="2:65" s="92" customFormat="1" ht="16.5" customHeight="1">
      <c r="B424" s="90"/>
      <c r="C424" s="247">
        <v>83</v>
      </c>
      <c r="D424" s="247" t="s">
        <v>319</v>
      </c>
      <c r="E424" s="248" t="s">
        <v>1187</v>
      </c>
      <c r="F424" s="249" t="s">
        <v>1188</v>
      </c>
      <c r="G424" s="262" t="s">
        <v>358</v>
      </c>
      <c r="H424" s="263">
        <v>2</v>
      </c>
      <c r="I424" s="76"/>
      <c r="J424" s="252">
        <f t="shared" si="10"/>
        <v>0</v>
      </c>
      <c r="K424" s="253" t="s">
        <v>154</v>
      </c>
      <c r="L424" s="254"/>
      <c r="M424" s="255" t="s">
        <v>1</v>
      </c>
      <c r="N424" s="256" t="s">
        <v>41</v>
      </c>
      <c r="O424" s="187"/>
      <c r="P424" s="188">
        <f t="shared" si="11"/>
        <v>0</v>
      </c>
      <c r="Q424" s="188">
        <v>0.0145</v>
      </c>
      <c r="R424" s="188">
        <f t="shared" si="12"/>
        <v>0.029</v>
      </c>
      <c r="S424" s="188">
        <v>0</v>
      </c>
      <c r="T424" s="189">
        <f t="shared" si="13"/>
        <v>0</v>
      </c>
      <c r="AR424" s="81" t="s">
        <v>183</v>
      </c>
      <c r="AT424" s="81" t="s">
        <v>319</v>
      </c>
      <c r="AU424" s="81" t="s">
        <v>76</v>
      </c>
      <c r="AY424" s="81" t="s">
        <v>114</v>
      </c>
      <c r="BE424" s="190">
        <f t="shared" si="14"/>
        <v>0</v>
      </c>
      <c r="BF424" s="190">
        <f t="shared" si="15"/>
        <v>0</v>
      </c>
      <c r="BG424" s="190">
        <f t="shared" si="16"/>
        <v>0</v>
      </c>
      <c r="BH424" s="190">
        <f t="shared" si="17"/>
        <v>0</v>
      </c>
      <c r="BI424" s="190">
        <f t="shared" si="18"/>
        <v>0</v>
      </c>
      <c r="BJ424" s="81" t="s">
        <v>73</v>
      </c>
      <c r="BK424" s="190">
        <f t="shared" si="19"/>
        <v>0</v>
      </c>
      <c r="BL424" s="81" t="s">
        <v>119</v>
      </c>
      <c r="BM424" s="81" t="s">
        <v>1189</v>
      </c>
    </row>
    <row r="425" spans="2:65" s="92" customFormat="1" ht="16.5" customHeight="1">
      <c r="B425" s="90"/>
      <c r="C425" s="247">
        <v>84</v>
      </c>
      <c r="D425" s="247" t="s">
        <v>319</v>
      </c>
      <c r="E425" s="248" t="s">
        <v>1190</v>
      </c>
      <c r="F425" s="249" t="s">
        <v>1191</v>
      </c>
      <c r="G425" s="262" t="s">
        <v>358</v>
      </c>
      <c r="H425" s="263">
        <v>3</v>
      </c>
      <c r="I425" s="76"/>
      <c r="J425" s="252">
        <f t="shared" si="10"/>
        <v>0</v>
      </c>
      <c r="K425" s="253" t="s">
        <v>154</v>
      </c>
      <c r="L425" s="254"/>
      <c r="M425" s="255" t="s">
        <v>1</v>
      </c>
      <c r="N425" s="256" t="s">
        <v>41</v>
      </c>
      <c r="O425" s="187"/>
      <c r="P425" s="188">
        <f t="shared" si="11"/>
        <v>0</v>
      </c>
      <c r="Q425" s="188">
        <v>0.0237</v>
      </c>
      <c r="R425" s="188">
        <f t="shared" si="12"/>
        <v>0.0711</v>
      </c>
      <c r="S425" s="188">
        <v>0</v>
      </c>
      <c r="T425" s="189">
        <f t="shared" si="13"/>
        <v>0</v>
      </c>
      <c r="AR425" s="81" t="s">
        <v>183</v>
      </c>
      <c r="AT425" s="81" t="s">
        <v>319</v>
      </c>
      <c r="AU425" s="81" t="s">
        <v>76</v>
      </c>
      <c r="AY425" s="81" t="s">
        <v>114</v>
      </c>
      <c r="BE425" s="190">
        <f t="shared" si="14"/>
        <v>0</v>
      </c>
      <c r="BF425" s="190">
        <f t="shared" si="15"/>
        <v>0</v>
      </c>
      <c r="BG425" s="190">
        <f t="shared" si="16"/>
        <v>0</v>
      </c>
      <c r="BH425" s="190">
        <f t="shared" si="17"/>
        <v>0</v>
      </c>
      <c r="BI425" s="190">
        <f t="shared" si="18"/>
        <v>0</v>
      </c>
      <c r="BJ425" s="81" t="s">
        <v>73</v>
      </c>
      <c r="BK425" s="190">
        <f t="shared" si="19"/>
        <v>0</v>
      </c>
      <c r="BL425" s="81" t="s">
        <v>119</v>
      </c>
      <c r="BM425" s="81" t="s">
        <v>1192</v>
      </c>
    </row>
    <row r="426" spans="2:65" s="92" customFormat="1" ht="16.5" customHeight="1">
      <c r="B426" s="90"/>
      <c r="C426" s="247">
        <v>85</v>
      </c>
      <c r="D426" s="247" t="s">
        <v>319</v>
      </c>
      <c r="E426" s="248" t="s">
        <v>1193</v>
      </c>
      <c r="F426" s="249" t="s">
        <v>1194</v>
      </c>
      <c r="G426" s="262" t="s">
        <v>358</v>
      </c>
      <c r="H426" s="263">
        <v>1</v>
      </c>
      <c r="I426" s="76"/>
      <c r="J426" s="252">
        <f t="shared" si="10"/>
        <v>0</v>
      </c>
      <c r="K426" s="253" t="s">
        <v>1</v>
      </c>
      <c r="L426" s="254"/>
      <c r="M426" s="255" t="s">
        <v>1</v>
      </c>
      <c r="N426" s="256" t="s">
        <v>41</v>
      </c>
      <c r="O426" s="187"/>
      <c r="P426" s="188">
        <f t="shared" si="11"/>
        <v>0</v>
      </c>
      <c r="Q426" s="188">
        <v>0.0178</v>
      </c>
      <c r="R426" s="188">
        <f t="shared" si="12"/>
        <v>0.0178</v>
      </c>
      <c r="S426" s="188">
        <v>0</v>
      </c>
      <c r="T426" s="189">
        <f t="shared" si="13"/>
        <v>0</v>
      </c>
      <c r="AR426" s="81" t="s">
        <v>183</v>
      </c>
      <c r="AT426" s="81" t="s">
        <v>319</v>
      </c>
      <c r="AU426" s="81" t="s">
        <v>76</v>
      </c>
      <c r="AY426" s="81" t="s">
        <v>114</v>
      </c>
      <c r="BE426" s="190">
        <f t="shared" si="14"/>
        <v>0</v>
      </c>
      <c r="BF426" s="190">
        <f t="shared" si="15"/>
        <v>0</v>
      </c>
      <c r="BG426" s="190">
        <f t="shared" si="16"/>
        <v>0</v>
      </c>
      <c r="BH426" s="190">
        <f t="shared" si="17"/>
        <v>0</v>
      </c>
      <c r="BI426" s="190">
        <f t="shared" si="18"/>
        <v>0</v>
      </c>
      <c r="BJ426" s="81" t="s">
        <v>73</v>
      </c>
      <c r="BK426" s="190">
        <f t="shared" si="19"/>
        <v>0</v>
      </c>
      <c r="BL426" s="81" t="s">
        <v>119</v>
      </c>
      <c r="BM426" s="81" t="s">
        <v>1195</v>
      </c>
    </row>
    <row r="427" spans="2:65" s="92" customFormat="1" ht="16.5" customHeight="1">
      <c r="B427" s="90"/>
      <c r="C427" s="178">
        <v>86</v>
      </c>
      <c r="D427" s="178" t="s">
        <v>116</v>
      </c>
      <c r="E427" s="179" t="s">
        <v>1196</v>
      </c>
      <c r="F427" s="232" t="s">
        <v>1197</v>
      </c>
      <c r="G427" s="181" t="s">
        <v>358</v>
      </c>
      <c r="H427" s="182">
        <f>SUM(H428:H430)</f>
        <v>4</v>
      </c>
      <c r="I427" s="69"/>
      <c r="J427" s="184">
        <f t="shared" si="10"/>
        <v>0</v>
      </c>
      <c r="K427" s="180" t="s">
        <v>154</v>
      </c>
      <c r="L427" s="90"/>
      <c r="M427" s="185" t="s">
        <v>1</v>
      </c>
      <c r="N427" s="186" t="s">
        <v>41</v>
      </c>
      <c r="O427" s="187"/>
      <c r="P427" s="188">
        <f t="shared" si="11"/>
        <v>0</v>
      </c>
      <c r="Q427" s="188">
        <v>0.00301</v>
      </c>
      <c r="R427" s="188">
        <f t="shared" si="12"/>
        <v>0.01204</v>
      </c>
      <c r="S427" s="188">
        <v>0</v>
      </c>
      <c r="T427" s="189">
        <f t="shared" si="13"/>
        <v>0</v>
      </c>
      <c r="AR427" s="81" t="s">
        <v>119</v>
      </c>
      <c r="AT427" s="81" t="s">
        <v>116</v>
      </c>
      <c r="AU427" s="81" t="s">
        <v>76</v>
      </c>
      <c r="AY427" s="81" t="s">
        <v>114</v>
      </c>
      <c r="BE427" s="190">
        <f t="shared" si="14"/>
        <v>0</v>
      </c>
      <c r="BF427" s="190">
        <f t="shared" si="15"/>
        <v>0</v>
      </c>
      <c r="BG427" s="190">
        <f t="shared" si="16"/>
        <v>0</v>
      </c>
      <c r="BH427" s="190">
        <f t="shared" si="17"/>
        <v>0</v>
      </c>
      <c r="BI427" s="190">
        <f t="shared" si="18"/>
        <v>0</v>
      </c>
      <c r="BJ427" s="81" t="s">
        <v>73</v>
      </c>
      <c r="BK427" s="190">
        <f t="shared" si="19"/>
        <v>0</v>
      </c>
      <c r="BL427" s="81" t="s">
        <v>119</v>
      </c>
      <c r="BM427" s="81" t="s">
        <v>1198</v>
      </c>
    </row>
    <row r="428" spans="2:65" s="92" customFormat="1" ht="16.5" customHeight="1">
      <c r="B428" s="90"/>
      <c r="C428" s="247">
        <v>87</v>
      </c>
      <c r="D428" s="247" t="s">
        <v>319</v>
      </c>
      <c r="E428" s="248" t="s">
        <v>1199</v>
      </c>
      <c r="F428" s="249" t="s">
        <v>1200</v>
      </c>
      <c r="G428" s="262" t="s">
        <v>358</v>
      </c>
      <c r="H428" s="263">
        <v>1</v>
      </c>
      <c r="I428" s="76"/>
      <c r="J428" s="252">
        <f aca="true" t="shared" si="20" ref="J428:J435">ROUND(I428*H428,2)</f>
        <v>0</v>
      </c>
      <c r="K428" s="253" t="s">
        <v>1</v>
      </c>
      <c r="L428" s="254"/>
      <c r="M428" s="255" t="s">
        <v>1</v>
      </c>
      <c r="N428" s="256" t="s">
        <v>41</v>
      </c>
      <c r="O428" s="187"/>
      <c r="P428" s="188">
        <f aca="true" t="shared" si="21" ref="P428:P435">O428*H428</f>
        <v>0</v>
      </c>
      <c r="Q428" s="188">
        <v>0.0183</v>
      </c>
      <c r="R428" s="188">
        <f aca="true" t="shared" si="22" ref="R428:R435">Q428*H428</f>
        <v>0.0183</v>
      </c>
      <c r="S428" s="188">
        <v>0</v>
      </c>
      <c r="T428" s="189">
        <f aca="true" t="shared" si="23" ref="T428:T435">S428*H428</f>
        <v>0</v>
      </c>
      <c r="AR428" s="81" t="s">
        <v>183</v>
      </c>
      <c r="AT428" s="81" t="s">
        <v>319</v>
      </c>
      <c r="AU428" s="81" t="s">
        <v>76</v>
      </c>
      <c r="AY428" s="81" t="s">
        <v>114</v>
      </c>
      <c r="BE428" s="190">
        <f aca="true" t="shared" si="24" ref="BE428:BE435">IF(N428="základní",J428,0)</f>
        <v>0</v>
      </c>
      <c r="BF428" s="190">
        <f aca="true" t="shared" si="25" ref="BF428:BF435">IF(N428="snížená",J428,0)</f>
        <v>0</v>
      </c>
      <c r="BG428" s="190">
        <f aca="true" t="shared" si="26" ref="BG428:BG435">IF(N428="zákl. přenesená",J428,0)</f>
        <v>0</v>
      </c>
      <c r="BH428" s="190">
        <f aca="true" t="shared" si="27" ref="BH428:BH435">IF(N428="sníž. přenesená",J428,0)</f>
        <v>0</v>
      </c>
      <c r="BI428" s="190">
        <f aca="true" t="shared" si="28" ref="BI428:BI435">IF(N428="nulová",J428,0)</f>
        <v>0</v>
      </c>
      <c r="BJ428" s="81" t="s">
        <v>73</v>
      </c>
      <c r="BK428" s="190">
        <f aca="true" t="shared" si="29" ref="BK428:BK435">ROUND(I428*H428,2)</f>
        <v>0</v>
      </c>
      <c r="BL428" s="81" t="s">
        <v>119</v>
      </c>
      <c r="BM428" s="81" t="s">
        <v>1201</v>
      </c>
    </row>
    <row r="429" spans="2:65" s="92" customFormat="1" ht="16.5" customHeight="1">
      <c r="B429" s="90"/>
      <c r="C429" s="247">
        <v>88</v>
      </c>
      <c r="D429" s="247" t="s">
        <v>319</v>
      </c>
      <c r="E429" s="248" t="s">
        <v>1202</v>
      </c>
      <c r="F429" s="249" t="s">
        <v>1203</v>
      </c>
      <c r="G429" s="262" t="s">
        <v>358</v>
      </c>
      <c r="H429" s="263">
        <v>2</v>
      </c>
      <c r="I429" s="76"/>
      <c r="J429" s="252">
        <f t="shared" si="20"/>
        <v>0</v>
      </c>
      <c r="K429" s="253" t="s">
        <v>154</v>
      </c>
      <c r="L429" s="254"/>
      <c r="M429" s="255" t="s">
        <v>1</v>
      </c>
      <c r="N429" s="256" t="s">
        <v>41</v>
      </c>
      <c r="O429" s="187"/>
      <c r="P429" s="188">
        <f t="shared" si="21"/>
        <v>0</v>
      </c>
      <c r="Q429" s="188">
        <v>0.0186</v>
      </c>
      <c r="R429" s="188">
        <f t="shared" si="22"/>
        <v>0.0372</v>
      </c>
      <c r="S429" s="188">
        <v>0</v>
      </c>
      <c r="T429" s="189">
        <f t="shared" si="23"/>
        <v>0</v>
      </c>
      <c r="AR429" s="81" t="s">
        <v>183</v>
      </c>
      <c r="AT429" s="81" t="s">
        <v>319</v>
      </c>
      <c r="AU429" s="81" t="s">
        <v>76</v>
      </c>
      <c r="AY429" s="81" t="s">
        <v>114</v>
      </c>
      <c r="BE429" s="190">
        <f t="shared" si="24"/>
        <v>0</v>
      </c>
      <c r="BF429" s="190">
        <f t="shared" si="25"/>
        <v>0</v>
      </c>
      <c r="BG429" s="190">
        <f t="shared" si="26"/>
        <v>0</v>
      </c>
      <c r="BH429" s="190">
        <f t="shared" si="27"/>
        <v>0</v>
      </c>
      <c r="BI429" s="190">
        <f t="shared" si="28"/>
        <v>0</v>
      </c>
      <c r="BJ429" s="81" t="s">
        <v>73</v>
      </c>
      <c r="BK429" s="190">
        <f t="shared" si="29"/>
        <v>0</v>
      </c>
      <c r="BL429" s="81" t="s">
        <v>119</v>
      </c>
      <c r="BM429" s="81" t="s">
        <v>1204</v>
      </c>
    </row>
    <row r="430" spans="2:65" s="92" customFormat="1" ht="16.5" customHeight="1">
      <c r="B430" s="90"/>
      <c r="C430" s="247">
        <v>89</v>
      </c>
      <c r="D430" s="247" t="s">
        <v>319</v>
      </c>
      <c r="E430" s="248" t="s">
        <v>1205</v>
      </c>
      <c r="F430" s="249" t="s">
        <v>1206</v>
      </c>
      <c r="G430" s="262" t="s">
        <v>358</v>
      </c>
      <c r="H430" s="263">
        <v>1</v>
      </c>
      <c r="I430" s="76"/>
      <c r="J430" s="252">
        <f t="shared" si="20"/>
        <v>0</v>
      </c>
      <c r="K430" s="253" t="s">
        <v>154</v>
      </c>
      <c r="L430" s="254"/>
      <c r="M430" s="255" t="s">
        <v>1</v>
      </c>
      <c r="N430" s="256" t="s">
        <v>41</v>
      </c>
      <c r="O430" s="187"/>
      <c r="P430" s="188">
        <f t="shared" si="21"/>
        <v>0</v>
      </c>
      <c r="Q430" s="188">
        <v>0.023</v>
      </c>
      <c r="R430" s="188">
        <f t="shared" si="22"/>
        <v>0.023</v>
      </c>
      <c r="S430" s="188">
        <v>0</v>
      </c>
      <c r="T430" s="189">
        <f t="shared" si="23"/>
        <v>0</v>
      </c>
      <c r="AR430" s="81" t="s">
        <v>183</v>
      </c>
      <c r="AT430" s="81" t="s">
        <v>319</v>
      </c>
      <c r="AU430" s="81" t="s">
        <v>76</v>
      </c>
      <c r="AY430" s="81" t="s">
        <v>114</v>
      </c>
      <c r="BE430" s="190">
        <f t="shared" si="24"/>
        <v>0</v>
      </c>
      <c r="BF430" s="190">
        <f t="shared" si="25"/>
        <v>0</v>
      </c>
      <c r="BG430" s="190">
        <f t="shared" si="26"/>
        <v>0</v>
      </c>
      <c r="BH430" s="190">
        <f t="shared" si="27"/>
        <v>0</v>
      </c>
      <c r="BI430" s="190">
        <f t="shared" si="28"/>
        <v>0</v>
      </c>
      <c r="BJ430" s="81" t="s">
        <v>73</v>
      </c>
      <c r="BK430" s="190">
        <f t="shared" si="29"/>
        <v>0</v>
      </c>
      <c r="BL430" s="81" t="s">
        <v>119</v>
      </c>
      <c r="BM430" s="81" t="s">
        <v>1207</v>
      </c>
    </row>
    <row r="431" spans="2:65" s="92" customFormat="1" ht="16.5" customHeight="1">
      <c r="B431" s="90"/>
      <c r="C431" s="178">
        <v>90</v>
      </c>
      <c r="D431" s="178" t="s">
        <v>116</v>
      </c>
      <c r="E431" s="179" t="s">
        <v>1208</v>
      </c>
      <c r="F431" s="232" t="s">
        <v>1209</v>
      </c>
      <c r="G431" s="181" t="s">
        <v>358</v>
      </c>
      <c r="H431" s="182">
        <f>SUM(H432:H433)</f>
        <v>2</v>
      </c>
      <c r="I431" s="69"/>
      <c r="J431" s="184">
        <f t="shared" si="20"/>
        <v>0</v>
      </c>
      <c r="K431" s="180" t="s">
        <v>154</v>
      </c>
      <c r="L431" s="90"/>
      <c r="M431" s="185" t="s">
        <v>1</v>
      </c>
      <c r="N431" s="186" t="s">
        <v>41</v>
      </c>
      <c r="O431" s="187"/>
      <c r="P431" s="188">
        <f t="shared" si="21"/>
        <v>0</v>
      </c>
      <c r="Q431" s="188">
        <v>0.0045</v>
      </c>
      <c r="R431" s="188">
        <f t="shared" si="22"/>
        <v>0.009</v>
      </c>
      <c r="S431" s="188">
        <v>0</v>
      </c>
      <c r="T431" s="189">
        <f t="shared" si="23"/>
        <v>0</v>
      </c>
      <c r="AR431" s="81" t="s">
        <v>119</v>
      </c>
      <c r="AT431" s="81" t="s">
        <v>116</v>
      </c>
      <c r="AU431" s="81" t="s">
        <v>76</v>
      </c>
      <c r="AY431" s="81" t="s">
        <v>114</v>
      </c>
      <c r="BE431" s="190">
        <f t="shared" si="24"/>
        <v>0</v>
      </c>
      <c r="BF431" s="190">
        <f t="shared" si="25"/>
        <v>0</v>
      </c>
      <c r="BG431" s="190">
        <f t="shared" si="26"/>
        <v>0</v>
      </c>
      <c r="BH431" s="190">
        <f t="shared" si="27"/>
        <v>0</v>
      </c>
      <c r="BI431" s="190">
        <f t="shared" si="28"/>
        <v>0</v>
      </c>
      <c r="BJ431" s="81" t="s">
        <v>73</v>
      </c>
      <c r="BK431" s="190">
        <f t="shared" si="29"/>
        <v>0</v>
      </c>
      <c r="BL431" s="81" t="s">
        <v>119</v>
      </c>
      <c r="BM431" s="81" t="s">
        <v>1210</v>
      </c>
    </row>
    <row r="432" spans="2:65" s="92" customFormat="1" ht="16.5" customHeight="1">
      <c r="B432" s="90"/>
      <c r="C432" s="247">
        <v>91</v>
      </c>
      <c r="D432" s="247" t="s">
        <v>319</v>
      </c>
      <c r="E432" s="248" t="s">
        <v>1211</v>
      </c>
      <c r="F432" s="249" t="s">
        <v>1212</v>
      </c>
      <c r="G432" s="262" t="s">
        <v>358</v>
      </c>
      <c r="H432" s="263">
        <v>1</v>
      </c>
      <c r="I432" s="76"/>
      <c r="J432" s="252">
        <f t="shared" si="20"/>
        <v>0</v>
      </c>
      <c r="K432" s="253" t="s">
        <v>154</v>
      </c>
      <c r="L432" s="254"/>
      <c r="M432" s="255" t="s">
        <v>1</v>
      </c>
      <c r="N432" s="256" t="s">
        <v>41</v>
      </c>
      <c r="O432" s="187"/>
      <c r="P432" s="188">
        <f t="shared" si="21"/>
        <v>0</v>
      </c>
      <c r="Q432" s="188">
        <v>0.0465</v>
      </c>
      <c r="R432" s="188">
        <f t="shared" si="22"/>
        <v>0.0465</v>
      </c>
      <c r="S432" s="188">
        <v>0</v>
      </c>
      <c r="T432" s="189">
        <f t="shared" si="23"/>
        <v>0</v>
      </c>
      <c r="AR432" s="81" t="s">
        <v>183</v>
      </c>
      <c r="AT432" s="81" t="s">
        <v>319</v>
      </c>
      <c r="AU432" s="81" t="s">
        <v>76</v>
      </c>
      <c r="AY432" s="81" t="s">
        <v>114</v>
      </c>
      <c r="BE432" s="190">
        <f t="shared" si="24"/>
        <v>0</v>
      </c>
      <c r="BF432" s="190">
        <f t="shared" si="25"/>
        <v>0</v>
      </c>
      <c r="BG432" s="190">
        <f t="shared" si="26"/>
        <v>0</v>
      </c>
      <c r="BH432" s="190">
        <f t="shared" si="27"/>
        <v>0</v>
      </c>
      <c r="BI432" s="190">
        <f t="shared" si="28"/>
        <v>0</v>
      </c>
      <c r="BJ432" s="81" t="s">
        <v>73</v>
      </c>
      <c r="BK432" s="190">
        <f t="shared" si="29"/>
        <v>0</v>
      </c>
      <c r="BL432" s="81" t="s">
        <v>119</v>
      </c>
      <c r="BM432" s="81" t="s">
        <v>1213</v>
      </c>
    </row>
    <row r="433" spans="2:65" s="92" customFormat="1" ht="16.5" customHeight="1">
      <c r="B433" s="90"/>
      <c r="C433" s="247">
        <v>92</v>
      </c>
      <c r="D433" s="247" t="s">
        <v>319</v>
      </c>
      <c r="E433" s="248" t="s">
        <v>1214</v>
      </c>
      <c r="F433" s="249" t="s">
        <v>1215</v>
      </c>
      <c r="G433" s="262" t="s">
        <v>358</v>
      </c>
      <c r="H433" s="263">
        <v>1</v>
      </c>
      <c r="I433" s="76"/>
      <c r="J433" s="252">
        <f t="shared" si="20"/>
        <v>0</v>
      </c>
      <c r="K433" s="253" t="s">
        <v>154</v>
      </c>
      <c r="L433" s="254"/>
      <c r="M433" s="255" t="s">
        <v>1</v>
      </c>
      <c r="N433" s="256" t="s">
        <v>41</v>
      </c>
      <c r="O433" s="187"/>
      <c r="P433" s="188">
        <f t="shared" si="21"/>
        <v>0</v>
      </c>
      <c r="Q433" s="188">
        <v>0.042</v>
      </c>
      <c r="R433" s="188">
        <f t="shared" si="22"/>
        <v>0.042</v>
      </c>
      <c r="S433" s="188">
        <v>0</v>
      </c>
      <c r="T433" s="189">
        <f t="shared" si="23"/>
        <v>0</v>
      </c>
      <c r="AR433" s="81" t="s">
        <v>183</v>
      </c>
      <c r="AT433" s="81" t="s">
        <v>319</v>
      </c>
      <c r="AU433" s="81" t="s">
        <v>76</v>
      </c>
      <c r="AY433" s="81" t="s">
        <v>114</v>
      </c>
      <c r="BE433" s="190">
        <f t="shared" si="24"/>
        <v>0</v>
      </c>
      <c r="BF433" s="190">
        <f t="shared" si="25"/>
        <v>0</v>
      </c>
      <c r="BG433" s="190">
        <f t="shared" si="26"/>
        <v>0</v>
      </c>
      <c r="BH433" s="190">
        <f t="shared" si="27"/>
        <v>0</v>
      </c>
      <c r="BI433" s="190">
        <f t="shared" si="28"/>
        <v>0</v>
      </c>
      <c r="BJ433" s="81" t="s">
        <v>73</v>
      </c>
      <c r="BK433" s="190">
        <f t="shared" si="29"/>
        <v>0</v>
      </c>
      <c r="BL433" s="81" t="s">
        <v>119</v>
      </c>
      <c r="BM433" s="81" t="s">
        <v>1216</v>
      </c>
    </row>
    <row r="434" spans="2:65" s="92" customFormat="1" ht="16.5" customHeight="1">
      <c r="B434" s="90"/>
      <c r="C434" s="177" t="s">
        <v>603</v>
      </c>
      <c r="D434" s="178" t="s">
        <v>116</v>
      </c>
      <c r="E434" s="179" t="s">
        <v>481</v>
      </c>
      <c r="F434" s="180" t="s">
        <v>482</v>
      </c>
      <c r="G434" s="181" t="s">
        <v>176</v>
      </c>
      <c r="H434" s="182">
        <v>29</v>
      </c>
      <c r="I434" s="69"/>
      <c r="J434" s="184">
        <f t="shared" si="20"/>
        <v>0</v>
      </c>
      <c r="K434" s="180" t="s">
        <v>154</v>
      </c>
      <c r="L434" s="90"/>
      <c r="M434" s="185" t="s">
        <v>1</v>
      </c>
      <c r="N434" s="186" t="s">
        <v>41</v>
      </c>
      <c r="O434" s="187"/>
      <c r="P434" s="188">
        <f t="shared" si="21"/>
        <v>0</v>
      </c>
      <c r="Q434" s="188">
        <v>0</v>
      </c>
      <c r="R434" s="188">
        <f t="shared" si="22"/>
        <v>0</v>
      </c>
      <c r="S434" s="188">
        <v>0</v>
      </c>
      <c r="T434" s="189">
        <f t="shared" si="23"/>
        <v>0</v>
      </c>
      <c r="AR434" s="81" t="s">
        <v>119</v>
      </c>
      <c r="AT434" s="81" t="s">
        <v>116</v>
      </c>
      <c r="AU434" s="81" t="s">
        <v>76</v>
      </c>
      <c r="AY434" s="81" t="s">
        <v>114</v>
      </c>
      <c r="BE434" s="190">
        <f t="shared" si="24"/>
        <v>0</v>
      </c>
      <c r="BF434" s="190">
        <f t="shared" si="25"/>
        <v>0</v>
      </c>
      <c r="BG434" s="190">
        <f t="shared" si="26"/>
        <v>0</v>
      </c>
      <c r="BH434" s="190">
        <f t="shared" si="27"/>
        <v>0</v>
      </c>
      <c r="BI434" s="190">
        <f t="shared" si="28"/>
        <v>0</v>
      </c>
      <c r="BJ434" s="81" t="s">
        <v>73</v>
      </c>
      <c r="BK434" s="190">
        <f t="shared" si="29"/>
        <v>0</v>
      </c>
      <c r="BL434" s="81" t="s">
        <v>119</v>
      </c>
      <c r="BM434" s="81" t="s">
        <v>483</v>
      </c>
    </row>
    <row r="435" spans="2:65" s="92" customFormat="1" ht="16.5" customHeight="1">
      <c r="B435" s="90"/>
      <c r="C435" s="257" t="s">
        <v>607</v>
      </c>
      <c r="D435" s="247" t="s">
        <v>319</v>
      </c>
      <c r="E435" s="248" t="s">
        <v>485</v>
      </c>
      <c r="F435" s="253" t="s">
        <v>486</v>
      </c>
      <c r="G435" s="262" t="s">
        <v>176</v>
      </c>
      <c r="H435" s="263">
        <v>29.435</v>
      </c>
      <c r="I435" s="76"/>
      <c r="J435" s="252">
        <f t="shared" si="20"/>
        <v>0</v>
      </c>
      <c r="K435" s="253" t="s">
        <v>154</v>
      </c>
      <c r="L435" s="254"/>
      <c r="M435" s="255" t="s">
        <v>1</v>
      </c>
      <c r="N435" s="256" t="s">
        <v>41</v>
      </c>
      <c r="O435" s="187"/>
      <c r="P435" s="188">
        <f t="shared" si="21"/>
        <v>0</v>
      </c>
      <c r="Q435" s="188">
        <v>0.00067</v>
      </c>
      <c r="R435" s="188">
        <f t="shared" si="22"/>
        <v>0.01972145</v>
      </c>
      <c r="S435" s="188">
        <v>0</v>
      </c>
      <c r="T435" s="189">
        <f t="shared" si="23"/>
        <v>0</v>
      </c>
      <c r="AR435" s="81" t="s">
        <v>183</v>
      </c>
      <c r="AT435" s="81" t="s">
        <v>319</v>
      </c>
      <c r="AU435" s="81" t="s">
        <v>76</v>
      </c>
      <c r="AY435" s="81" t="s">
        <v>114</v>
      </c>
      <c r="BE435" s="190">
        <f t="shared" si="24"/>
        <v>0</v>
      </c>
      <c r="BF435" s="190">
        <f t="shared" si="25"/>
        <v>0</v>
      </c>
      <c r="BG435" s="190">
        <f t="shared" si="26"/>
        <v>0</v>
      </c>
      <c r="BH435" s="190">
        <f t="shared" si="27"/>
        <v>0</v>
      </c>
      <c r="BI435" s="190">
        <f t="shared" si="28"/>
        <v>0</v>
      </c>
      <c r="BJ435" s="81" t="s">
        <v>73</v>
      </c>
      <c r="BK435" s="190">
        <f t="shared" si="29"/>
        <v>0</v>
      </c>
      <c r="BL435" s="81" t="s">
        <v>119</v>
      </c>
      <c r="BM435" s="81" t="s">
        <v>487</v>
      </c>
    </row>
    <row r="436" spans="2:51" s="208" customFormat="1" ht="12">
      <c r="B436" s="202"/>
      <c r="C436" s="203"/>
      <c r="D436" s="193" t="s">
        <v>121</v>
      </c>
      <c r="F436" s="260" t="s">
        <v>488</v>
      </c>
      <c r="H436" s="261">
        <v>29.435</v>
      </c>
      <c r="I436" s="70"/>
      <c r="L436" s="202"/>
      <c r="M436" s="209"/>
      <c r="N436" s="210"/>
      <c r="O436" s="210"/>
      <c r="P436" s="210"/>
      <c r="Q436" s="210"/>
      <c r="R436" s="210"/>
      <c r="S436" s="210"/>
      <c r="T436" s="211"/>
      <c r="AT436" s="204" t="s">
        <v>121</v>
      </c>
      <c r="AU436" s="204" t="s">
        <v>76</v>
      </c>
      <c r="AV436" s="208" t="s">
        <v>76</v>
      </c>
      <c r="AW436" s="208" t="s">
        <v>3</v>
      </c>
      <c r="AX436" s="208" t="s">
        <v>73</v>
      </c>
      <c r="AY436" s="204" t="s">
        <v>114</v>
      </c>
    </row>
    <row r="437" spans="2:65" s="92" customFormat="1" ht="16.5" customHeight="1">
      <c r="B437" s="90"/>
      <c r="C437" s="178">
        <v>95</v>
      </c>
      <c r="D437" s="178" t="s">
        <v>116</v>
      </c>
      <c r="E437" s="179" t="s">
        <v>1220</v>
      </c>
      <c r="F437" s="180" t="s">
        <v>1221</v>
      </c>
      <c r="G437" s="181" t="s">
        <v>176</v>
      </c>
      <c r="H437" s="182">
        <v>4</v>
      </c>
      <c r="I437" s="69"/>
      <c r="J437" s="184">
        <f>ROUND(I437*H437,2)</f>
        <v>0</v>
      </c>
      <c r="K437" s="180" t="s">
        <v>1</v>
      </c>
      <c r="L437" s="90"/>
      <c r="M437" s="185" t="s">
        <v>1</v>
      </c>
      <c r="N437" s="186" t="s">
        <v>41</v>
      </c>
      <c r="O437" s="187"/>
      <c r="P437" s="188">
        <f>O437*H437</f>
        <v>0</v>
      </c>
      <c r="Q437" s="188">
        <v>0</v>
      </c>
      <c r="R437" s="188">
        <f>Q437*H437</f>
        <v>0</v>
      </c>
      <c r="S437" s="188">
        <v>0</v>
      </c>
      <c r="T437" s="189">
        <f>S437*H437</f>
        <v>0</v>
      </c>
      <c r="AR437" s="81" t="s">
        <v>119</v>
      </c>
      <c r="AT437" s="81" t="s">
        <v>116</v>
      </c>
      <c r="AU437" s="81" t="s">
        <v>76</v>
      </c>
      <c r="AY437" s="81" t="s">
        <v>114</v>
      </c>
      <c r="BE437" s="190">
        <f>IF(N437="základní",J437,0)</f>
        <v>0</v>
      </c>
      <c r="BF437" s="190">
        <f>IF(N437="snížená",J437,0)</f>
        <v>0</v>
      </c>
      <c r="BG437" s="190">
        <f>IF(N437="zákl. přenesená",J437,0)</f>
        <v>0</v>
      </c>
      <c r="BH437" s="190">
        <f>IF(N437="sníž. přenesená",J437,0)</f>
        <v>0</v>
      </c>
      <c r="BI437" s="190">
        <f>IF(N437="nulová",J437,0)</f>
        <v>0</v>
      </c>
      <c r="BJ437" s="81" t="s">
        <v>73</v>
      </c>
      <c r="BK437" s="190">
        <f>ROUND(I437*H437,2)</f>
        <v>0</v>
      </c>
      <c r="BL437" s="81" t="s">
        <v>119</v>
      </c>
      <c r="BM437" s="81" t="s">
        <v>1222</v>
      </c>
    </row>
    <row r="438" spans="2:65" s="92" customFormat="1" ht="16.5" customHeight="1">
      <c r="B438" s="90"/>
      <c r="C438" s="178">
        <v>96</v>
      </c>
      <c r="D438" s="178" t="s">
        <v>116</v>
      </c>
      <c r="E438" s="179" t="s">
        <v>1223</v>
      </c>
      <c r="F438" s="180" t="s">
        <v>1500</v>
      </c>
      <c r="G438" s="181" t="s">
        <v>492</v>
      </c>
      <c r="H438" s="182">
        <v>1</v>
      </c>
      <c r="I438" s="69"/>
      <c r="J438" s="184">
        <f>ROUND(I438*H438,2)</f>
        <v>0</v>
      </c>
      <c r="K438" s="180" t="s">
        <v>1</v>
      </c>
      <c r="L438" s="90"/>
      <c r="M438" s="185" t="s">
        <v>1</v>
      </c>
      <c r="N438" s="186" t="s">
        <v>41</v>
      </c>
      <c r="O438" s="187"/>
      <c r="P438" s="188">
        <f>O438*H438</f>
        <v>0</v>
      </c>
      <c r="Q438" s="188">
        <v>0</v>
      </c>
      <c r="R438" s="188">
        <f>Q438*H438</f>
        <v>0</v>
      </c>
      <c r="S438" s="188">
        <v>0</v>
      </c>
      <c r="T438" s="189">
        <f>S438*H438</f>
        <v>0</v>
      </c>
      <c r="AR438" s="81" t="s">
        <v>119</v>
      </c>
      <c r="AT438" s="81" t="s">
        <v>116</v>
      </c>
      <c r="AU438" s="81" t="s">
        <v>76</v>
      </c>
      <c r="AY438" s="81" t="s">
        <v>114</v>
      </c>
      <c r="BE438" s="190">
        <f>IF(N438="základní",J438,0)</f>
        <v>0</v>
      </c>
      <c r="BF438" s="190">
        <f>IF(N438="snížená",J438,0)</f>
        <v>0</v>
      </c>
      <c r="BG438" s="190">
        <f>IF(N438="zákl. přenesená",J438,0)</f>
        <v>0</v>
      </c>
      <c r="BH438" s="190">
        <f>IF(N438="sníž. přenesená",J438,0)</f>
        <v>0</v>
      </c>
      <c r="BI438" s="190">
        <f>IF(N438="nulová",J438,0)</f>
        <v>0</v>
      </c>
      <c r="BJ438" s="81" t="s">
        <v>73</v>
      </c>
      <c r="BK438" s="190">
        <f>ROUND(I438*H438,2)</f>
        <v>0</v>
      </c>
      <c r="BL438" s="81" t="s">
        <v>119</v>
      </c>
      <c r="BM438" s="81" t="s">
        <v>1224</v>
      </c>
    </row>
    <row r="439" spans="2:51" s="198" customFormat="1" ht="12">
      <c r="B439" s="191"/>
      <c r="D439" s="193" t="s">
        <v>121</v>
      </c>
      <c r="E439" s="194" t="s">
        <v>1</v>
      </c>
      <c r="F439" s="259" t="s">
        <v>1225</v>
      </c>
      <c r="H439" s="194" t="s">
        <v>1</v>
      </c>
      <c r="I439" s="71"/>
      <c r="L439" s="191"/>
      <c r="M439" s="199"/>
      <c r="N439" s="200"/>
      <c r="O439" s="200"/>
      <c r="P439" s="200"/>
      <c r="Q439" s="200"/>
      <c r="R439" s="200"/>
      <c r="S439" s="200"/>
      <c r="T439" s="201"/>
      <c r="AT439" s="194" t="s">
        <v>121</v>
      </c>
      <c r="AU439" s="194" t="s">
        <v>76</v>
      </c>
      <c r="AV439" s="198" t="s">
        <v>73</v>
      </c>
      <c r="AW439" s="198" t="s">
        <v>32</v>
      </c>
      <c r="AX439" s="198" t="s">
        <v>68</v>
      </c>
      <c r="AY439" s="194" t="s">
        <v>114</v>
      </c>
    </row>
    <row r="440" spans="2:51" s="198" customFormat="1" ht="12">
      <c r="B440" s="191"/>
      <c r="D440" s="193" t="s">
        <v>121</v>
      </c>
      <c r="E440" s="194" t="s">
        <v>1</v>
      </c>
      <c r="F440" s="259" t="s">
        <v>1226</v>
      </c>
      <c r="H440" s="194" t="s">
        <v>1</v>
      </c>
      <c r="I440" s="71"/>
      <c r="L440" s="191"/>
      <c r="M440" s="199"/>
      <c r="N440" s="200"/>
      <c r="O440" s="200"/>
      <c r="P440" s="200"/>
      <c r="Q440" s="200"/>
      <c r="R440" s="200"/>
      <c r="S440" s="200"/>
      <c r="T440" s="201"/>
      <c r="AT440" s="194" t="s">
        <v>121</v>
      </c>
      <c r="AU440" s="194" t="s">
        <v>76</v>
      </c>
      <c r="AV440" s="198" t="s">
        <v>73</v>
      </c>
      <c r="AW440" s="198" t="s">
        <v>32</v>
      </c>
      <c r="AX440" s="198" t="s">
        <v>68</v>
      </c>
      <c r="AY440" s="194" t="s">
        <v>114</v>
      </c>
    </row>
    <row r="441" spans="2:51" s="198" customFormat="1" ht="12">
      <c r="B441" s="191"/>
      <c r="D441" s="193" t="s">
        <v>121</v>
      </c>
      <c r="E441" s="194" t="s">
        <v>1</v>
      </c>
      <c r="F441" s="259" t="s">
        <v>1227</v>
      </c>
      <c r="H441" s="194" t="s">
        <v>1</v>
      </c>
      <c r="I441" s="71"/>
      <c r="L441" s="191"/>
      <c r="M441" s="199"/>
      <c r="N441" s="200"/>
      <c r="O441" s="200"/>
      <c r="P441" s="200"/>
      <c r="Q441" s="200"/>
      <c r="R441" s="200"/>
      <c r="S441" s="200"/>
      <c r="T441" s="201"/>
      <c r="AT441" s="194" t="s">
        <v>121</v>
      </c>
      <c r="AU441" s="194" t="s">
        <v>76</v>
      </c>
      <c r="AV441" s="198" t="s">
        <v>73</v>
      </c>
      <c r="AW441" s="198" t="s">
        <v>32</v>
      </c>
      <c r="AX441" s="198" t="s">
        <v>68</v>
      </c>
      <c r="AY441" s="194" t="s">
        <v>114</v>
      </c>
    </row>
    <row r="442" spans="2:51" s="198" customFormat="1" ht="12">
      <c r="B442" s="191"/>
      <c r="D442" s="193" t="s">
        <v>121</v>
      </c>
      <c r="E442" s="194" t="s">
        <v>1</v>
      </c>
      <c r="F442" s="259" t="s">
        <v>1501</v>
      </c>
      <c r="H442" s="194" t="s">
        <v>1</v>
      </c>
      <c r="I442" s="71"/>
      <c r="L442" s="191"/>
      <c r="M442" s="199"/>
      <c r="N442" s="200"/>
      <c r="O442" s="200"/>
      <c r="P442" s="200"/>
      <c r="Q442" s="200"/>
      <c r="R442" s="200"/>
      <c r="S442" s="200"/>
      <c r="T442" s="201"/>
      <c r="AT442" s="194" t="s">
        <v>121</v>
      </c>
      <c r="AU442" s="194" t="s">
        <v>76</v>
      </c>
      <c r="AV442" s="198" t="s">
        <v>73</v>
      </c>
      <c r="AW442" s="198" t="s">
        <v>32</v>
      </c>
      <c r="AX442" s="198" t="s">
        <v>68</v>
      </c>
      <c r="AY442" s="194" t="s">
        <v>114</v>
      </c>
    </row>
    <row r="443" spans="2:51" s="208" customFormat="1" ht="12">
      <c r="B443" s="202"/>
      <c r="D443" s="193" t="s">
        <v>121</v>
      </c>
      <c r="E443" s="204" t="s">
        <v>1</v>
      </c>
      <c r="F443" s="260" t="s">
        <v>73</v>
      </c>
      <c r="H443" s="261">
        <v>1</v>
      </c>
      <c r="I443" s="70"/>
      <c r="L443" s="202"/>
      <c r="M443" s="209"/>
      <c r="N443" s="210"/>
      <c r="O443" s="210"/>
      <c r="P443" s="210"/>
      <c r="Q443" s="210"/>
      <c r="R443" s="210"/>
      <c r="S443" s="210"/>
      <c r="T443" s="211"/>
      <c r="AT443" s="204" t="s">
        <v>121</v>
      </c>
      <c r="AU443" s="204" t="s">
        <v>76</v>
      </c>
      <c r="AV443" s="208" t="s">
        <v>76</v>
      </c>
      <c r="AW443" s="208" t="s">
        <v>32</v>
      </c>
      <c r="AX443" s="208" t="s">
        <v>68</v>
      </c>
      <c r="AY443" s="204" t="s">
        <v>114</v>
      </c>
    </row>
    <row r="444" spans="2:51" s="228" customFormat="1" ht="12">
      <c r="B444" s="222"/>
      <c r="D444" s="193" t="s">
        <v>121</v>
      </c>
      <c r="E444" s="224" t="s">
        <v>1</v>
      </c>
      <c r="F444" s="266" t="s">
        <v>150</v>
      </c>
      <c r="H444" s="264">
        <v>1</v>
      </c>
      <c r="I444" s="72"/>
      <c r="L444" s="222"/>
      <c r="M444" s="229"/>
      <c r="N444" s="230"/>
      <c r="O444" s="230"/>
      <c r="P444" s="230"/>
      <c r="Q444" s="230"/>
      <c r="R444" s="230"/>
      <c r="S444" s="230"/>
      <c r="T444" s="231"/>
      <c r="AT444" s="224" t="s">
        <v>121</v>
      </c>
      <c r="AU444" s="224" t="s">
        <v>76</v>
      </c>
      <c r="AV444" s="228" t="s">
        <v>119</v>
      </c>
      <c r="AW444" s="228" t="s">
        <v>32</v>
      </c>
      <c r="AX444" s="228" t="s">
        <v>73</v>
      </c>
      <c r="AY444" s="224" t="s">
        <v>114</v>
      </c>
    </row>
    <row r="445" spans="2:65" s="92" customFormat="1" ht="16.5" customHeight="1">
      <c r="B445" s="90"/>
      <c r="C445" s="177" t="s">
        <v>618</v>
      </c>
      <c r="D445" s="178" t="s">
        <v>116</v>
      </c>
      <c r="E445" s="179" t="s">
        <v>490</v>
      </c>
      <c r="F445" s="180" t="s">
        <v>491</v>
      </c>
      <c r="G445" s="181" t="s">
        <v>492</v>
      </c>
      <c r="H445" s="182">
        <v>2</v>
      </c>
      <c r="I445" s="69"/>
      <c r="J445" s="184">
        <f aca="true" t="shared" si="30" ref="J445:J475">ROUND(I445*H445,2)</f>
        <v>0</v>
      </c>
      <c r="K445" s="180" t="s">
        <v>1</v>
      </c>
      <c r="L445" s="90"/>
      <c r="M445" s="185" t="s">
        <v>1</v>
      </c>
      <c r="N445" s="186" t="s">
        <v>41</v>
      </c>
      <c r="O445" s="187"/>
      <c r="P445" s="188">
        <f aca="true" t="shared" si="31" ref="P445:P475">O445*H445</f>
        <v>0</v>
      </c>
      <c r="Q445" s="188">
        <v>0</v>
      </c>
      <c r="R445" s="188">
        <f aca="true" t="shared" si="32" ref="R445:R475">Q445*H445</f>
        <v>0</v>
      </c>
      <c r="S445" s="188">
        <v>0</v>
      </c>
      <c r="T445" s="189">
        <f aca="true" t="shared" si="33" ref="T445:T475">S445*H445</f>
        <v>0</v>
      </c>
      <c r="AR445" s="81" t="s">
        <v>119</v>
      </c>
      <c r="AT445" s="81" t="s">
        <v>116</v>
      </c>
      <c r="AU445" s="81" t="s">
        <v>76</v>
      </c>
      <c r="AY445" s="81" t="s">
        <v>114</v>
      </c>
      <c r="BE445" s="190">
        <f aca="true" t="shared" si="34" ref="BE445:BE475">IF(N445="základní",J445,0)</f>
        <v>0</v>
      </c>
      <c r="BF445" s="190">
        <f aca="true" t="shared" si="35" ref="BF445:BF475">IF(N445="snížená",J445,0)</f>
        <v>0</v>
      </c>
      <c r="BG445" s="190">
        <f aca="true" t="shared" si="36" ref="BG445:BG475">IF(N445="zákl. přenesená",J445,0)</f>
        <v>0</v>
      </c>
      <c r="BH445" s="190">
        <f aca="true" t="shared" si="37" ref="BH445:BH475">IF(N445="sníž. přenesená",J445,0)</f>
        <v>0</v>
      </c>
      <c r="BI445" s="190">
        <f aca="true" t="shared" si="38" ref="BI445:BI475">IF(N445="nulová",J445,0)</f>
        <v>0</v>
      </c>
      <c r="BJ445" s="81" t="s">
        <v>73</v>
      </c>
      <c r="BK445" s="190">
        <f aca="true" t="shared" si="39" ref="BK445:BK475">ROUND(I445*H445,2)</f>
        <v>0</v>
      </c>
      <c r="BL445" s="81" t="s">
        <v>119</v>
      </c>
      <c r="BM445" s="81" t="s">
        <v>493</v>
      </c>
    </row>
    <row r="446" spans="2:65" s="92" customFormat="1" ht="16.5" customHeight="1">
      <c r="B446" s="90"/>
      <c r="C446" s="177" t="s">
        <v>622</v>
      </c>
      <c r="D446" s="178" t="s">
        <v>116</v>
      </c>
      <c r="E446" s="179" t="s">
        <v>494</v>
      </c>
      <c r="F446" s="180" t="s">
        <v>495</v>
      </c>
      <c r="G446" s="181" t="s">
        <v>358</v>
      </c>
      <c r="H446" s="182">
        <v>2</v>
      </c>
      <c r="I446" s="69"/>
      <c r="J446" s="184">
        <f t="shared" si="30"/>
        <v>0</v>
      </c>
      <c r="K446" s="180" t="s">
        <v>154</v>
      </c>
      <c r="L446" s="90"/>
      <c r="M446" s="185" t="s">
        <v>1</v>
      </c>
      <c r="N446" s="186" t="s">
        <v>41</v>
      </c>
      <c r="O446" s="187"/>
      <c r="P446" s="188">
        <f t="shared" si="31"/>
        <v>0</v>
      </c>
      <c r="Q446" s="188">
        <v>0.00072</v>
      </c>
      <c r="R446" s="188">
        <f t="shared" si="32"/>
        <v>0.00144</v>
      </c>
      <c r="S446" s="188">
        <v>0</v>
      </c>
      <c r="T446" s="189">
        <f t="shared" si="33"/>
        <v>0</v>
      </c>
      <c r="AR446" s="81" t="s">
        <v>119</v>
      </c>
      <c r="AT446" s="81" t="s">
        <v>116</v>
      </c>
      <c r="AU446" s="81" t="s">
        <v>76</v>
      </c>
      <c r="AY446" s="81" t="s">
        <v>114</v>
      </c>
      <c r="BE446" s="190">
        <f t="shared" si="34"/>
        <v>0</v>
      </c>
      <c r="BF446" s="190">
        <f t="shared" si="35"/>
        <v>0</v>
      </c>
      <c r="BG446" s="190">
        <f t="shared" si="36"/>
        <v>0</v>
      </c>
      <c r="BH446" s="190">
        <f t="shared" si="37"/>
        <v>0</v>
      </c>
      <c r="BI446" s="190">
        <f t="shared" si="38"/>
        <v>0</v>
      </c>
      <c r="BJ446" s="81" t="s">
        <v>73</v>
      </c>
      <c r="BK446" s="190">
        <f t="shared" si="39"/>
        <v>0</v>
      </c>
      <c r="BL446" s="81" t="s">
        <v>119</v>
      </c>
      <c r="BM446" s="81" t="s">
        <v>496</v>
      </c>
    </row>
    <row r="447" spans="2:65" s="92" customFormat="1" ht="16.5" customHeight="1">
      <c r="B447" s="90"/>
      <c r="C447" s="257" t="s">
        <v>626</v>
      </c>
      <c r="D447" s="247" t="s">
        <v>319</v>
      </c>
      <c r="E447" s="248" t="s">
        <v>498</v>
      </c>
      <c r="F447" s="267" t="s">
        <v>499</v>
      </c>
      <c r="G447" s="262" t="s">
        <v>358</v>
      </c>
      <c r="H447" s="263">
        <v>2</v>
      </c>
      <c r="I447" s="76"/>
      <c r="J447" s="252">
        <f t="shared" si="30"/>
        <v>0</v>
      </c>
      <c r="K447" s="253" t="s">
        <v>1</v>
      </c>
      <c r="L447" s="254"/>
      <c r="M447" s="255" t="s">
        <v>1</v>
      </c>
      <c r="N447" s="256" t="s">
        <v>41</v>
      </c>
      <c r="O447" s="187"/>
      <c r="P447" s="188">
        <f t="shared" si="31"/>
        <v>0</v>
      </c>
      <c r="Q447" s="188">
        <v>0.011</v>
      </c>
      <c r="R447" s="188">
        <f t="shared" si="32"/>
        <v>0.022</v>
      </c>
      <c r="S447" s="188">
        <v>0</v>
      </c>
      <c r="T447" s="189">
        <f t="shared" si="33"/>
        <v>0</v>
      </c>
      <c r="AR447" s="81" t="s">
        <v>183</v>
      </c>
      <c r="AT447" s="81" t="s">
        <v>319</v>
      </c>
      <c r="AU447" s="81" t="s">
        <v>76</v>
      </c>
      <c r="AY447" s="81" t="s">
        <v>114</v>
      </c>
      <c r="BE447" s="190">
        <f t="shared" si="34"/>
        <v>0</v>
      </c>
      <c r="BF447" s="190">
        <f t="shared" si="35"/>
        <v>0</v>
      </c>
      <c r="BG447" s="190">
        <f t="shared" si="36"/>
        <v>0</v>
      </c>
      <c r="BH447" s="190">
        <f t="shared" si="37"/>
        <v>0</v>
      </c>
      <c r="BI447" s="190">
        <f t="shared" si="38"/>
        <v>0</v>
      </c>
      <c r="BJ447" s="81" t="s">
        <v>73</v>
      </c>
      <c r="BK447" s="190">
        <f t="shared" si="39"/>
        <v>0</v>
      </c>
      <c r="BL447" s="81" t="s">
        <v>119</v>
      </c>
      <c r="BM447" s="81" t="s">
        <v>500</v>
      </c>
    </row>
    <row r="448" spans="2:65" s="92" customFormat="1" ht="16.5" customHeight="1">
      <c r="B448" s="90"/>
      <c r="C448" s="257" t="s">
        <v>630</v>
      </c>
      <c r="D448" s="247" t="s">
        <v>319</v>
      </c>
      <c r="E448" s="248" t="s">
        <v>502</v>
      </c>
      <c r="F448" s="267" t="s">
        <v>503</v>
      </c>
      <c r="G448" s="262" t="s">
        <v>358</v>
      </c>
      <c r="H448" s="263">
        <v>2</v>
      </c>
      <c r="I448" s="76"/>
      <c r="J448" s="252">
        <f t="shared" si="30"/>
        <v>0</v>
      </c>
      <c r="K448" s="253" t="s">
        <v>1</v>
      </c>
      <c r="L448" s="254"/>
      <c r="M448" s="255" t="s">
        <v>1</v>
      </c>
      <c r="N448" s="256" t="s">
        <v>41</v>
      </c>
      <c r="O448" s="187"/>
      <c r="P448" s="188">
        <f t="shared" si="31"/>
        <v>0</v>
      </c>
      <c r="Q448" s="188">
        <v>0.005</v>
      </c>
      <c r="R448" s="188">
        <f t="shared" si="32"/>
        <v>0.01</v>
      </c>
      <c r="S448" s="188">
        <v>0</v>
      </c>
      <c r="T448" s="189">
        <f t="shared" si="33"/>
        <v>0</v>
      </c>
      <c r="AR448" s="81" t="s">
        <v>183</v>
      </c>
      <c r="AT448" s="81" t="s">
        <v>319</v>
      </c>
      <c r="AU448" s="81" t="s">
        <v>76</v>
      </c>
      <c r="AY448" s="81" t="s">
        <v>114</v>
      </c>
      <c r="BE448" s="190">
        <f t="shared" si="34"/>
        <v>0</v>
      </c>
      <c r="BF448" s="190">
        <f t="shared" si="35"/>
        <v>0</v>
      </c>
      <c r="BG448" s="190">
        <f t="shared" si="36"/>
        <v>0</v>
      </c>
      <c r="BH448" s="190">
        <f t="shared" si="37"/>
        <v>0</v>
      </c>
      <c r="BI448" s="190">
        <f t="shared" si="38"/>
        <v>0</v>
      </c>
      <c r="BJ448" s="81" t="s">
        <v>73</v>
      </c>
      <c r="BK448" s="190">
        <f t="shared" si="39"/>
        <v>0</v>
      </c>
      <c r="BL448" s="81" t="s">
        <v>119</v>
      </c>
      <c r="BM448" s="81" t="s">
        <v>504</v>
      </c>
    </row>
    <row r="449" spans="2:65" s="92" customFormat="1" ht="16.5" customHeight="1">
      <c r="B449" s="90"/>
      <c r="C449" s="177" t="s">
        <v>634</v>
      </c>
      <c r="D449" s="178" t="s">
        <v>116</v>
      </c>
      <c r="E449" s="179" t="s">
        <v>505</v>
      </c>
      <c r="F449" s="180" t="s">
        <v>506</v>
      </c>
      <c r="G449" s="181" t="s">
        <v>358</v>
      </c>
      <c r="H449" s="182">
        <v>2</v>
      </c>
      <c r="I449" s="69"/>
      <c r="J449" s="184">
        <f t="shared" si="30"/>
        <v>0</v>
      </c>
      <c r="K449" s="180" t="s">
        <v>154</v>
      </c>
      <c r="L449" s="90"/>
      <c r="M449" s="185" t="s">
        <v>1</v>
      </c>
      <c r="N449" s="186" t="s">
        <v>41</v>
      </c>
      <c r="O449" s="187"/>
      <c r="P449" s="188">
        <f t="shared" si="31"/>
        <v>0</v>
      </c>
      <c r="Q449" s="188">
        <v>0.00162</v>
      </c>
      <c r="R449" s="188">
        <f t="shared" si="32"/>
        <v>0.00324</v>
      </c>
      <c r="S449" s="188">
        <v>0</v>
      </c>
      <c r="T449" s="189">
        <f t="shared" si="33"/>
        <v>0</v>
      </c>
      <c r="AR449" s="81" t="s">
        <v>119</v>
      </c>
      <c r="AT449" s="81" t="s">
        <v>116</v>
      </c>
      <c r="AU449" s="81" t="s">
        <v>76</v>
      </c>
      <c r="AY449" s="81" t="s">
        <v>114</v>
      </c>
      <c r="BE449" s="190">
        <f t="shared" si="34"/>
        <v>0</v>
      </c>
      <c r="BF449" s="190">
        <f t="shared" si="35"/>
        <v>0</v>
      </c>
      <c r="BG449" s="190">
        <f t="shared" si="36"/>
        <v>0</v>
      </c>
      <c r="BH449" s="190">
        <f t="shared" si="37"/>
        <v>0</v>
      </c>
      <c r="BI449" s="190">
        <f t="shared" si="38"/>
        <v>0</v>
      </c>
      <c r="BJ449" s="81" t="s">
        <v>73</v>
      </c>
      <c r="BK449" s="190">
        <f t="shared" si="39"/>
        <v>0</v>
      </c>
      <c r="BL449" s="81" t="s">
        <v>119</v>
      </c>
      <c r="BM449" s="81" t="s">
        <v>507</v>
      </c>
    </row>
    <row r="450" spans="2:65" s="92" customFormat="1" ht="16.5" customHeight="1">
      <c r="B450" s="90"/>
      <c r="C450" s="257" t="s">
        <v>639</v>
      </c>
      <c r="D450" s="247" t="s">
        <v>319</v>
      </c>
      <c r="E450" s="248" t="s">
        <v>509</v>
      </c>
      <c r="F450" s="267" t="s">
        <v>510</v>
      </c>
      <c r="G450" s="262" t="s">
        <v>358</v>
      </c>
      <c r="H450" s="263">
        <v>2</v>
      </c>
      <c r="I450" s="76"/>
      <c r="J450" s="252">
        <f t="shared" si="30"/>
        <v>0</v>
      </c>
      <c r="K450" s="253" t="s">
        <v>154</v>
      </c>
      <c r="L450" s="254"/>
      <c r="M450" s="255" t="s">
        <v>1</v>
      </c>
      <c r="N450" s="256" t="s">
        <v>41</v>
      </c>
      <c r="O450" s="187"/>
      <c r="P450" s="188">
        <f t="shared" si="31"/>
        <v>0</v>
      </c>
      <c r="Q450" s="188">
        <v>0.018</v>
      </c>
      <c r="R450" s="188">
        <f t="shared" si="32"/>
        <v>0.036</v>
      </c>
      <c r="S450" s="188">
        <v>0</v>
      </c>
      <c r="T450" s="189">
        <f t="shared" si="33"/>
        <v>0</v>
      </c>
      <c r="AR450" s="81" t="s">
        <v>183</v>
      </c>
      <c r="AT450" s="81" t="s">
        <v>319</v>
      </c>
      <c r="AU450" s="81" t="s">
        <v>76</v>
      </c>
      <c r="AY450" s="81" t="s">
        <v>114</v>
      </c>
      <c r="BE450" s="190">
        <f t="shared" si="34"/>
        <v>0</v>
      </c>
      <c r="BF450" s="190">
        <f t="shared" si="35"/>
        <v>0</v>
      </c>
      <c r="BG450" s="190">
        <f t="shared" si="36"/>
        <v>0</v>
      </c>
      <c r="BH450" s="190">
        <f t="shared" si="37"/>
        <v>0</v>
      </c>
      <c r="BI450" s="190">
        <f t="shared" si="38"/>
        <v>0</v>
      </c>
      <c r="BJ450" s="81" t="s">
        <v>73</v>
      </c>
      <c r="BK450" s="190">
        <f t="shared" si="39"/>
        <v>0</v>
      </c>
      <c r="BL450" s="81" t="s">
        <v>119</v>
      </c>
      <c r="BM450" s="81" t="s">
        <v>511</v>
      </c>
    </row>
    <row r="451" spans="2:65" s="92" customFormat="1" ht="16.5" customHeight="1">
      <c r="B451" s="90"/>
      <c r="C451" s="257" t="s">
        <v>643</v>
      </c>
      <c r="D451" s="247" t="s">
        <v>319</v>
      </c>
      <c r="E451" s="248" t="s">
        <v>513</v>
      </c>
      <c r="F451" s="267" t="s">
        <v>514</v>
      </c>
      <c r="G451" s="262" t="s">
        <v>358</v>
      </c>
      <c r="H451" s="263">
        <v>2</v>
      </c>
      <c r="I451" s="76"/>
      <c r="J451" s="252">
        <f t="shared" si="30"/>
        <v>0</v>
      </c>
      <c r="K451" s="253" t="s">
        <v>1</v>
      </c>
      <c r="L451" s="254"/>
      <c r="M451" s="255" t="s">
        <v>1</v>
      </c>
      <c r="N451" s="256" t="s">
        <v>41</v>
      </c>
      <c r="O451" s="187"/>
      <c r="P451" s="188">
        <f t="shared" si="31"/>
        <v>0</v>
      </c>
      <c r="Q451" s="188">
        <v>0.0035</v>
      </c>
      <c r="R451" s="188">
        <f t="shared" si="32"/>
        <v>0.007</v>
      </c>
      <c r="S451" s="188">
        <v>0</v>
      </c>
      <c r="T451" s="189">
        <f t="shared" si="33"/>
        <v>0</v>
      </c>
      <c r="AR451" s="81" t="s">
        <v>183</v>
      </c>
      <c r="AT451" s="81" t="s">
        <v>319</v>
      </c>
      <c r="AU451" s="81" t="s">
        <v>76</v>
      </c>
      <c r="AY451" s="81" t="s">
        <v>114</v>
      </c>
      <c r="BE451" s="190">
        <f t="shared" si="34"/>
        <v>0</v>
      </c>
      <c r="BF451" s="190">
        <f t="shared" si="35"/>
        <v>0</v>
      </c>
      <c r="BG451" s="190">
        <f t="shared" si="36"/>
        <v>0</v>
      </c>
      <c r="BH451" s="190">
        <f t="shared" si="37"/>
        <v>0</v>
      </c>
      <c r="BI451" s="190">
        <f t="shared" si="38"/>
        <v>0</v>
      </c>
      <c r="BJ451" s="81" t="s">
        <v>73</v>
      </c>
      <c r="BK451" s="190">
        <f t="shared" si="39"/>
        <v>0</v>
      </c>
      <c r="BL451" s="81" t="s">
        <v>119</v>
      </c>
      <c r="BM451" s="81" t="s">
        <v>515</v>
      </c>
    </row>
    <row r="452" spans="2:65" s="92" customFormat="1" ht="16.5" customHeight="1">
      <c r="B452" s="90"/>
      <c r="C452" s="177" t="s">
        <v>647</v>
      </c>
      <c r="D452" s="178" t="s">
        <v>116</v>
      </c>
      <c r="E452" s="179" t="s">
        <v>517</v>
      </c>
      <c r="F452" s="180" t="s">
        <v>518</v>
      </c>
      <c r="G452" s="181" t="s">
        <v>358</v>
      </c>
      <c r="H452" s="182">
        <v>1</v>
      </c>
      <c r="I452" s="69"/>
      <c r="J452" s="184">
        <f t="shared" si="30"/>
        <v>0</v>
      </c>
      <c r="K452" s="180" t="s">
        <v>154</v>
      </c>
      <c r="L452" s="90"/>
      <c r="M452" s="185" t="s">
        <v>1</v>
      </c>
      <c r="N452" s="186" t="s">
        <v>41</v>
      </c>
      <c r="O452" s="187"/>
      <c r="P452" s="188">
        <f t="shared" si="31"/>
        <v>0</v>
      </c>
      <c r="Q452" s="188">
        <v>0.00162</v>
      </c>
      <c r="R452" s="188">
        <f t="shared" si="32"/>
        <v>0.00162</v>
      </c>
      <c r="S452" s="188">
        <v>0</v>
      </c>
      <c r="T452" s="189">
        <f t="shared" si="33"/>
        <v>0</v>
      </c>
      <c r="AR452" s="81" t="s">
        <v>119</v>
      </c>
      <c r="AT452" s="81" t="s">
        <v>116</v>
      </c>
      <c r="AU452" s="81" t="s">
        <v>76</v>
      </c>
      <c r="AY452" s="81" t="s">
        <v>114</v>
      </c>
      <c r="BE452" s="190">
        <f t="shared" si="34"/>
        <v>0</v>
      </c>
      <c r="BF452" s="190">
        <f t="shared" si="35"/>
        <v>0</v>
      </c>
      <c r="BG452" s="190">
        <f t="shared" si="36"/>
        <v>0</v>
      </c>
      <c r="BH452" s="190">
        <f t="shared" si="37"/>
        <v>0</v>
      </c>
      <c r="BI452" s="190">
        <f t="shared" si="38"/>
        <v>0</v>
      </c>
      <c r="BJ452" s="81" t="s">
        <v>73</v>
      </c>
      <c r="BK452" s="190">
        <f t="shared" si="39"/>
        <v>0</v>
      </c>
      <c r="BL452" s="81" t="s">
        <v>119</v>
      </c>
      <c r="BM452" s="81" t="s">
        <v>519</v>
      </c>
    </row>
    <row r="453" spans="2:65" s="92" customFormat="1" ht="16.5" customHeight="1">
      <c r="B453" s="90"/>
      <c r="C453" s="257" t="s">
        <v>653</v>
      </c>
      <c r="D453" s="247" t="s">
        <v>319</v>
      </c>
      <c r="E453" s="248" t="s">
        <v>521</v>
      </c>
      <c r="F453" s="267" t="s">
        <v>522</v>
      </c>
      <c r="G453" s="262" t="s">
        <v>358</v>
      </c>
      <c r="H453" s="263">
        <v>1</v>
      </c>
      <c r="I453" s="76"/>
      <c r="J453" s="252">
        <f t="shared" si="30"/>
        <v>0</v>
      </c>
      <c r="K453" s="253" t="s">
        <v>1</v>
      </c>
      <c r="L453" s="254"/>
      <c r="M453" s="255" t="s">
        <v>1</v>
      </c>
      <c r="N453" s="256" t="s">
        <v>41</v>
      </c>
      <c r="O453" s="187"/>
      <c r="P453" s="188">
        <f t="shared" si="31"/>
        <v>0</v>
      </c>
      <c r="Q453" s="188">
        <v>0.028</v>
      </c>
      <c r="R453" s="188">
        <f t="shared" si="32"/>
        <v>0.028</v>
      </c>
      <c r="S453" s="188">
        <v>0</v>
      </c>
      <c r="T453" s="189">
        <f t="shared" si="33"/>
        <v>0</v>
      </c>
      <c r="AR453" s="81" t="s">
        <v>183</v>
      </c>
      <c r="AT453" s="81" t="s">
        <v>319</v>
      </c>
      <c r="AU453" s="81" t="s">
        <v>76</v>
      </c>
      <c r="AY453" s="81" t="s">
        <v>114</v>
      </c>
      <c r="BE453" s="190">
        <f t="shared" si="34"/>
        <v>0</v>
      </c>
      <c r="BF453" s="190">
        <f t="shared" si="35"/>
        <v>0</v>
      </c>
      <c r="BG453" s="190">
        <f t="shared" si="36"/>
        <v>0</v>
      </c>
      <c r="BH453" s="190">
        <f t="shared" si="37"/>
        <v>0</v>
      </c>
      <c r="BI453" s="190">
        <f t="shared" si="38"/>
        <v>0</v>
      </c>
      <c r="BJ453" s="81" t="s">
        <v>73</v>
      </c>
      <c r="BK453" s="190">
        <f t="shared" si="39"/>
        <v>0</v>
      </c>
      <c r="BL453" s="81" t="s">
        <v>119</v>
      </c>
      <c r="BM453" s="81" t="s">
        <v>523</v>
      </c>
    </row>
    <row r="454" spans="2:65" s="92" customFormat="1" ht="16.5" customHeight="1">
      <c r="B454" s="90"/>
      <c r="C454" s="177" t="s">
        <v>661</v>
      </c>
      <c r="D454" s="178" t="s">
        <v>116</v>
      </c>
      <c r="E454" s="179" t="s">
        <v>525</v>
      </c>
      <c r="F454" s="180" t="s">
        <v>526</v>
      </c>
      <c r="G454" s="181" t="s">
        <v>358</v>
      </c>
      <c r="H454" s="182">
        <v>2</v>
      </c>
      <c r="I454" s="69"/>
      <c r="J454" s="184">
        <f t="shared" si="30"/>
        <v>0</v>
      </c>
      <c r="K454" s="180" t="s">
        <v>154</v>
      </c>
      <c r="L454" s="90"/>
      <c r="M454" s="185" t="s">
        <v>1</v>
      </c>
      <c r="N454" s="186" t="s">
        <v>41</v>
      </c>
      <c r="O454" s="187"/>
      <c r="P454" s="188">
        <f t="shared" si="31"/>
        <v>0</v>
      </c>
      <c r="Q454" s="188">
        <v>0.00034</v>
      </c>
      <c r="R454" s="188">
        <f t="shared" si="32"/>
        <v>0.00068</v>
      </c>
      <c r="S454" s="188">
        <v>0</v>
      </c>
      <c r="T454" s="189">
        <f t="shared" si="33"/>
        <v>0</v>
      </c>
      <c r="AR454" s="81" t="s">
        <v>119</v>
      </c>
      <c r="AT454" s="81" t="s">
        <v>116</v>
      </c>
      <c r="AU454" s="81" t="s">
        <v>76</v>
      </c>
      <c r="AY454" s="81" t="s">
        <v>114</v>
      </c>
      <c r="BE454" s="190">
        <f t="shared" si="34"/>
        <v>0</v>
      </c>
      <c r="BF454" s="190">
        <f t="shared" si="35"/>
        <v>0</v>
      </c>
      <c r="BG454" s="190">
        <f t="shared" si="36"/>
        <v>0</v>
      </c>
      <c r="BH454" s="190">
        <f t="shared" si="37"/>
        <v>0</v>
      </c>
      <c r="BI454" s="190">
        <f t="shared" si="38"/>
        <v>0</v>
      </c>
      <c r="BJ454" s="81" t="s">
        <v>73</v>
      </c>
      <c r="BK454" s="190">
        <f t="shared" si="39"/>
        <v>0</v>
      </c>
      <c r="BL454" s="81" t="s">
        <v>119</v>
      </c>
      <c r="BM454" s="81" t="s">
        <v>527</v>
      </c>
    </row>
    <row r="455" spans="2:65" s="92" customFormat="1" ht="16.5" customHeight="1">
      <c r="B455" s="90"/>
      <c r="C455" s="257" t="s">
        <v>670</v>
      </c>
      <c r="D455" s="247" t="s">
        <v>319</v>
      </c>
      <c r="E455" s="248" t="s">
        <v>529</v>
      </c>
      <c r="F455" s="267" t="s">
        <v>530</v>
      </c>
      <c r="G455" s="262" t="s">
        <v>358</v>
      </c>
      <c r="H455" s="263">
        <v>2</v>
      </c>
      <c r="I455" s="76"/>
      <c r="J455" s="252">
        <f t="shared" si="30"/>
        <v>0</v>
      </c>
      <c r="K455" s="253" t="s">
        <v>154</v>
      </c>
      <c r="L455" s="254"/>
      <c r="M455" s="255" t="s">
        <v>1</v>
      </c>
      <c r="N455" s="256" t="s">
        <v>41</v>
      </c>
      <c r="O455" s="187"/>
      <c r="P455" s="188">
        <f t="shared" si="31"/>
        <v>0</v>
      </c>
      <c r="Q455" s="188">
        <v>0.0375</v>
      </c>
      <c r="R455" s="188">
        <f t="shared" si="32"/>
        <v>0.075</v>
      </c>
      <c r="S455" s="188">
        <v>0</v>
      </c>
      <c r="T455" s="189">
        <f t="shared" si="33"/>
        <v>0</v>
      </c>
      <c r="AR455" s="81" t="s">
        <v>183</v>
      </c>
      <c r="AT455" s="81" t="s">
        <v>319</v>
      </c>
      <c r="AU455" s="81" t="s">
        <v>76</v>
      </c>
      <c r="AY455" s="81" t="s">
        <v>114</v>
      </c>
      <c r="BE455" s="190">
        <f t="shared" si="34"/>
        <v>0</v>
      </c>
      <c r="BF455" s="190">
        <f t="shared" si="35"/>
        <v>0</v>
      </c>
      <c r="BG455" s="190">
        <f t="shared" si="36"/>
        <v>0</v>
      </c>
      <c r="BH455" s="190">
        <f t="shared" si="37"/>
        <v>0</v>
      </c>
      <c r="BI455" s="190">
        <f t="shared" si="38"/>
        <v>0</v>
      </c>
      <c r="BJ455" s="81" t="s">
        <v>73</v>
      </c>
      <c r="BK455" s="190">
        <f t="shared" si="39"/>
        <v>0</v>
      </c>
      <c r="BL455" s="81" t="s">
        <v>119</v>
      </c>
      <c r="BM455" s="81" t="s">
        <v>531</v>
      </c>
    </row>
    <row r="456" spans="2:65" s="92" customFormat="1" ht="16.5" customHeight="1">
      <c r="B456" s="90"/>
      <c r="C456" s="177" t="s">
        <v>675</v>
      </c>
      <c r="D456" s="178" t="s">
        <v>116</v>
      </c>
      <c r="E456" s="179" t="s">
        <v>533</v>
      </c>
      <c r="F456" s="180" t="s">
        <v>534</v>
      </c>
      <c r="G456" s="181" t="s">
        <v>358</v>
      </c>
      <c r="H456" s="182">
        <v>3</v>
      </c>
      <c r="I456" s="69"/>
      <c r="J456" s="184">
        <f t="shared" si="30"/>
        <v>0</v>
      </c>
      <c r="K456" s="180" t="s">
        <v>154</v>
      </c>
      <c r="L456" s="90"/>
      <c r="M456" s="185" t="s">
        <v>1</v>
      </c>
      <c r="N456" s="186" t="s">
        <v>41</v>
      </c>
      <c r="O456" s="187"/>
      <c r="P456" s="188">
        <f t="shared" si="31"/>
        <v>0</v>
      </c>
      <c r="Q456" s="188">
        <v>0.00165</v>
      </c>
      <c r="R456" s="188">
        <f t="shared" si="32"/>
        <v>0.0049499999999999995</v>
      </c>
      <c r="S456" s="188">
        <v>0</v>
      </c>
      <c r="T456" s="189">
        <f t="shared" si="33"/>
        <v>0</v>
      </c>
      <c r="AR456" s="81" t="s">
        <v>119</v>
      </c>
      <c r="AT456" s="81" t="s">
        <v>116</v>
      </c>
      <c r="AU456" s="81" t="s">
        <v>76</v>
      </c>
      <c r="AY456" s="81" t="s">
        <v>114</v>
      </c>
      <c r="BE456" s="190">
        <f t="shared" si="34"/>
        <v>0</v>
      </c>
      <c r="BF456" s="190">
        <f t="shared" si="35"/>
        <v>0</v>
      </c>
      <c r="BG456" s="190">
        <f t="shared" si="36"/>
        <v>0</v>
      </c>
      <c r="BH456" s="190">
        <f t="shared" si="37"/>
        <v>0</v>
      </c>
      <c r="BI456" s="190">
        <f t="shared" si="38"/>
        <v>0</v>
      </c>
      <c r="BJ456" s="81" t="s">
        <v>73</v>
      </c>
      <c r="BK456" s="190">
        <f t="shared" si="39"/>
        <v>0</v>
      </c>
      <c r="BL456" s="81" t="s">
        <v>119</v>
      </c>
      <c r="BM456" s="81" t="s">
        <v>535</v>
      </c>
    </row>
    <row r="457" spans="2:65" s="92" customFormat="1" ht="16.5" customHeight="1">
      <c r="B457" s="90"/>
      <c r="C457" s="257" t="s">
        <v>679</v>
      </c>
      <c r="D457" s="247" t="s">
        <v>319</v>
      </c>
      <c r="E457" s="248" t="s">
        <v>537</v>
      </c>
      <c r="F457" s="267" t="s">
        <v>538</v>
      </c>
      <c r="G457" s="262" t="s">
        <v>358</v>
      </c>
      <c r="H457" s="263">
        <v>3</v>
      </c>
      <c r="I457" s="76"/>
      <c r="J457" s="252">
        <f t="shared" si="30"/>
        <v>0</v>
      </c>
      <c r="K457" s="253" t="s">
        <v>1</v>
      </c>
      <c r="L457" s="254"/>
      <c r="M457" s="255" t="s">
        <v>1</v>
      </c>
      <c r="N457" s="256" t="s">
        <v>41</v>
      </c>
      <c r="O457" s="187"/>
      <c r="P457" s="188">
        <f t="shared" si="31"/>
        <v>0</v>
      </c>
      <c r="Q457" s="188">
        <v>0.023</v>
      </c>
      <c r="R457" s="188">
        <f t="shared" si="32"/>
        <v>0.069</v>
      </c>
      <c r="S457" s="188">
        <v>0</v>
      </c>
      <c r="T457" s="189">
        <f t="shared" si="33"/>
        <v>0</v>
      </c>
      <c r="AR457" s="81" t="s">
        <v>183</v>
      </c>
      <c r="AT457" s="81" t="s">
        <v>319</v>
      </c>
      <c r="AU457" s="81" t="s">
        <v>76</v>
      </c>
      <c r="AY457" s="81" t="s">
        <v>114</v>
      </c>
      <c r="BE457" s="190">
        <f t="shared" si="34"/>
        <v>0</v>
      </c>
      <c r="BF457" s="190">
        <f t="shared" si="35"/>
        <v>0</v>
      </c>
      <c r="BG457" s="190">
        <f t="shared" si="36"/>
        <v>0</v>
      </c>
      <c r="BH457" s="190">
        <f t="shared" si="37"/>
        <v>0</v>
      </c>
      <c r="BI457" s="190">
        <f t="shared" si="38"/>
        <v>0</v>
      </c>
      <c r="BJ457" s="81" t="s">
        <v>73</v>
      </c>
      <c r="BK457" s="190">
        <f t="shared" si="39"/>
        <v>0</v>
      </c>
      <c r="BL457" s="81" t="s">
        <v>119</v>
      </c>
      <c r="BM457" s="81" t="s">
        <v>539</v>
      </c>
    </row>
    <row r="458" spans="2:65" s="92" customFormat="1" ht="16.5" customHeight="1">
      <c r="B458" s="90"/>
      <c r="C458" s="257" t="s">
        <v>684</v>
      </c>
      <c r="D458" s="247" t="s">
        <v>319</v>
      </c>
      <c r="E458" s="248" t="s">
        <v>540</v>
      </c>
      <c r="F458" s="267" t="s">
        <v>541</v>
      </c>
      <c r="G458" s="262" t="s">
        <v>358</v>
      </c>
      <c r="H458" s="263">
        <v>3</v>
      </c>
      <c r="I458" s="76"/>
      <c r="J458" s="252">
        <f t="shared" si="30"/>
        <v>0</v>
      </c>
      <c r="K458" s="253" t="s">
        <v>1</v>
      </c>
      <c r="L458" s="254"/>
      <c r="M458" s="255" t="s">
        <v>1</v>
      </c>
      <c r="N458" s="256" t="s">
        <v>41</v>
      </c>
      <c r="O458" s="187"/>
      <c r="P458" s="188">
        <f t="shared" si="31"/>
        <v>0</v>
      </c>
      <c r="Q458" s="188">
        <v>0.004</v>
      </c>
      <c r="R458" s="188">
        <f t="shared" si="32"/>
        <v>0.012</v>
      </c>
      <c r="S458" s="188">
        <v>0</v>
      </c>
      <c r="T458" s="189">
        <f t="shared" si="33"/>
        <v>0</v>
      </c>
      <c r="AR458" s="81" t="s">
        <v>183</v>
      </c>
      <c r="AT458" s="81" t="s">
        <v>319</v>
      </c>
      <c r="AU458" s="81" t="s">
        <v>76</v>
      </c>
      <c r="AY458" s="81" t="s">
        <v>114</v>
      </c>
      <c r="BE458" s="190">
        <f t="shared" si="34"/>
        <v>0</v>
      </c>
      <c r="BF458" s="190">
        <f t="shared" si="35"/>
        <v>0</v>
      </c>
      <c r="BG458" s="190">
        <f t="shared" si="36"/>
        <v>0</v>
      </c>
      <c r="BH458" s="190">
        <f t="shared" si="37"/>
        <v>0</v>
      </c>
      <c r="BI458" s="190">
        <f t="shared" si="38"/>
        <v>0</v>
      </c>
      <c r="BJ458" s="81" t="s">
        <v>73</v>
      </c>
      <c r="BK458" s="190">
        <f t="shared" si="39"/>
        <v>0</v>
      </c>
      <c r="BL458" s="81" t="s">
        <v>119</v>
      </c>
      <c r="BM458" s="81" t="s">
        <v>542</v>
      </c>
    </row>
    <row r="459" spans="2:65" s="92" customFormat="1" ht="16.5" customHeight="1">
      <c r="B459" s="90"/>
      <c r="C459" s="177" t="s">
        <v>691</v>
      </c>
      <c r="D459" s="178" t="s">
        <v>116</v>
      </c>
      <c r="E459" s="179" t="s">
        <v>544</v>
      </c>
      <c r="F459" s="180" t="s">
        <v>545</v>
      </c>
      <c r="G459" s="181" t="s">
        <v>358</v>
      </c>
      <c r="H459" s="182">
        <v>1</v>
      </c>
      <c r="I459" s="69"/>
      <c r="J459" s="184">
        <f t="shared" si="30"/>
        <v>0</v>
      </c>
      <c r="K459" s="180" t="s">
        <v>1</v>
      </c>
      <c r="L459" s="90"/>
      <c r="M459" s="185" t="s">
        <v>1</v>
      </c>
      <c r="N459" s="186" t="s">
        <v>41</v>
      </c>
      <c r="O459" s="187"/>
      <c r="P459" s="188">
        <f t="shared" si="31"/>
        <v>0</v>
      </c>
      <c r="Q459" s="188">
        <v>0.02769</v>
      </c>
      <c r="R459" s="188">
        <f t="shared" si="32"/>
        <v>0.02769</v>
      </c>
      <c r="S459" s="188">
        <v>0</v>
      </c>
      <c r="T459" s="189">
        <f t="shared" si="33"/>
        <v>0</v>
      </c>
      <c r="AR459" s="81" t="s">
        <v>245</v>
      </c>
      <c r="AT459" s="81" t="s">
        <v>116</v>
      </c>
      <c r="AU459" s="81" t="s">
        <v>76</v>
      </c>
      <c r="AY459" s="81" t="s">
        <v>114</v>
      </c>
      <c r="BE459" s="190">
        <f t="shared" si="34"/>
        <v>0</v>
      </c>
      <c r="BF459" s="190">
        <f t="shared" si="35"/>
        <v>0</v>
      </c>
      <c r="BG459" s="190">
        <f t="shared" si="36"/>
        <v>0</v>
      </c>
      <c r="BH459" s="190">
        <f t="shared" si="37"/>
        <v>0</v>
      </c>
      <c r="BI459" s="190">
        <f t="shared" si="38"/>
        <v>0</v>
      </c>
      <c r="BJ459" s="81" t="s">
        <v>73</v>
      </c>
      <c r="BK459" s="190">
        <f t="shared" si="39"/>
        <v>0</v>
      </c>
      <c r="BL459" s="81" t="s">
        <v>245</v>
      </c>
      <c r="BM459" s="81" t="s">
        <v>546</v>
      </c>
    </row>
    <row r="460" spans="2:65" s="92" customFormat="1" ht="16.5" customHeight="1">
      <c r="B460" s="90"/>
      <c r="C460" s="177" t="s">
        <v>696</v>
      </c>
      <c r="D460" s="178" t="s">
        <v>116</v>
      </c>
      <c r="E460" s="179" t="s">
        <v>548</v>
      </c>
      <c r="F460" s="180" t="s">
        <v>549</v>
      </c>
      <c r="G460" s="181" t="s">
        <v>358</v>
      </c>
      <c r="H460" s="182">
        <v>1</v>
      </c>
      <c r="I460" s="69"/>
      <c r="J460" s="184">
        <f t="shared" si="30"/>
        <v>0</v>
      </c>
      <c r="K460" s="180" t="s">
        <v>1</v>
      </c>
      <c r="L460" s="90"/>
      <c r="M460" s="185" t="s">
        <v>1</v>
      </c>
      <c r="N460" s="186" t="s">
        <v>41</v>
      </c>
      <c r="O460" s="187"/>
      <c r="P460" s="188">
        <f t="shared" si="31"/>
        <v>0</v>
      </c>
      <c r="Q460" s="188">
        <v>0.02769</v>
      </c>
      <c r="R460" s="188">
        <f t="shared" si="32"/>
        <v>0.02769</v>
      </c>
      <c r="S460" s="188">
        <v>0</v>
      </c>
      <c r="T460" s="189">
        <f t="shared" si="33"/>
        <v>0</v>
      </c>
      <c r="AR460" s="81" t="s">
        <v>245</v>
      </c>
      <c r="AT460" s="81" t="s">
        <v>116</v>
      </c>
      <c r="AU460" s="81" t="s">
        <v>76</v>
      </c>
      <c r="AY460" s="81" t="s">
        <v>114</v>
      </c>
      <c r="BE460" s="190">
        <f t="shared" si="34"/>
        <v>0</v>
      </c>
      <c r="BF460" s="190">
        <f t="shared" si="35"/>
        <v>0</v>
      </c>
      <c r="BG460" s="190">
        <f t="shared" si="36"/>
        <v>0</v>
      </c>
      <c r="BH460" s="190">
        <f t="shared" si="37"/>
        <v>0</v>
      </c>
      <c r="BI460" s="190">
        <f t="shared" si="38"/>
        <v>0</v>
      </c>
      <c r="BJ460" s="81" t="s">
        <v>73</v>
      </c>
      <c r="BK460" s="190">
        <f t="shared" si="39"/>
        <v>0</v>
      </c>
      <c r="BL460" s="81" t="s">
        <v>245</v>
      </c>
      <c r="BM460" s="81" t="s">
        <v>550</v>
      </c>
    </row>
    <row r="461" spans="2:65" s="92" customFormat="1" ht="16.5" customHeight="1">
      <c r="B461" s="90"/>
      <c r="C461" s="177" t="s">
        <v>703</v>
      </c>
      <c r="D461" s="178" t="s">
        <v>116</v>
      </c>
      <c r="E461" s="179" t="s">
        <v>552</v>
      </c>
      <c r="F461" s="180" t="s">
        <v>553</v>
      </c>
      <c r="G461" s="181" t="s">
        <v>358</v>
      </c>
      <c r="H461" s="182">
        <v>2</v>
      </c>
      <c r="I461" s="69"/>
      <c r="J461" s="184">
        <f t="shared" si="30"/>
        <v>0</v>
      </c>
      <c r="K461" s="180" t="s">
        <v>1</v>
      </c>
      <c r="L461" s="90"/>
      <c r="M461" s="185" t="s">
        <v>1</v>
      </c>
      <c r="N461" s="186" t="s">
        <v>41</v>
      </c>
      <c r="O461" s="187"/>
      <c r="P461" s="188">
        <f t="shared" si="31"/>
        <v>0</v>
      </c>
      <c r="Q461" s="188">
        <v>0.02769</v>
      </c>
      <c r="R461" s="188">
        <f t="shared" si="32"/>
        <v>0.05538</v>
      </c>
      <c r="S461" s="188">
        <v>0</v>
      </c>
      <c r="T461" s="189">
        <f t="shared" si="33"/>
        <v>0</v>
      </c>
      <c r="AR461" s="81" t="s">
        <v>245</v>
      </c>
      <c r="AT461" s="81" t="s">
        <v>116</v>
      </c>
      <c r="AU461" s="81" t="s">
        <v>76</v>
      </c>
      <c r="AY461" s="81" t="s">
        <v>114</v>
      </c>
      <c r="BE461" s="190">
        <f t="shared" si="34"/>
        <v>0</v>
      </c>
      <c r="BF461" s="190">
        <f t="shared" si="35"/>
        <v>0</v>
      </c>
      <c r="BG461" s="190">
        <f t="shared" si="36"/>
        <v>0</v>
      </c>
      <c r="BH461" s="190">
        <f t="shared" si="37"/>
        <v>0</v>
      </c>
      <c r="BI461" s="190">
        <f t="shared" si="38"/>
        <v>0</v>
      </c>
      <c r="BJ461" s="81" t="s">
        <v>73</v>
      </c>
      <c r="BK461" s="190">
        <f t="shared" si="39"/>
        <v>0</v>
      </c>
      <c r="BL461" s="81" t="s">
        <v>245</v>
      </c>
      <c r="BM461" s="81" t="s">
        <v>554</v>
      </c>
    </row>
    <row r="462" spans="2:65" s="92" customFormat="1" ht="16.5" customHeight="1">
      <c r="B462" s="90"/>
      <c r="C462" s="177" t="s">
        <v>707</v>
      </c>
      <c r="D462" s="178" t="s">
        <v>116</v>
      </c>
      <c r="E462" s="179" t="s">
        <v>556</v>
      </c>
      <c r="F462" s="180" t="s">
        <v>557</v>
      </c>
      <c r="G462" s="181" t="s">
        <v>358</v>
      </c>
      <c r="H462" s="182">
        <v>2</v>
      </c>
      <c r="I462" s="69"/>
      <c r="J462" s="184">
        <f t="shared" si="30"/>
        <v>0</v>
      </c>
      <c r="K462" s="180" t="s">
        <v>154</v>
      </c>
      <c r="L462" s="90"/>
      <c r="M462" s="185" t="s">
        <v>1</v>
      </c>
      <c r="N462" s="186" t="s">
        <v>41</v>
      </c>
      <c r="O462" s="187"/>
      <c r="P462" s="188">
        <f t="shared" si="31"/>
        <v>0</v>
      </c>
      <c r="Q462" s="188">
        <v>0.00165</v>
      </c>
      <c r="R462" s="188">
        <f t="shared" si="32"/>
        <v>0.0033</v>
      </c>
      <c r="S462" s="188">
        <v>0</v>
      </c>
      <c r="T462" s="189">
        <f t="shared" si="33"/>
        <v>0</v>
      </c>
      <c r="AR462" s="81" t="s">
        <v>119</v>
      </c>
      <c r="AT462" s="81" t="s">
        <v>116</v>
      </c>
      <c r="AU462" s="81" t="s">
        <v>76</v>
      </c>
      <c r="AY462" s="81" t="s">
        <v>114</v>
      </c>
      <c r="BE462" s="190">
        <f t="shared" si="34"/>
        <v>0</v>
      </c>
      <c r="BF462" s="190">
        <f t="shared" si="35"/>
        <v>0</v>
      </c>
      <c r="BG462" s="190">
        <f t="shared" si="36"/>
        <v>0</v>
      </c>
      <c r="BH462" s="190">
        <f t="shared" si="37"/>
        <v>0</v>
      </c>
      <c r="BI462" s="190">
        <f t="shared" si="38"/>
        <v>0</v>
      </c>
      <c r="BJ462" s="81" t="s">
        <v>73</v>
      </c>
      <c r="BK462" s="190">
        <f t="shared" si="39"/>
        <v>0</v>
      </c>
      <c r="BL462" s="81" t="s">
        <v>119</v>
      </c>
      <c r="BM462" s="81" t="s">
        <v>558</v>
      </c>
    </row>
    <row r="463" spans="2:65" s="92" customFormat="1" ht="16.5" customHeight="1">
      <c r="B463" s="90"/>
      <c r="C463" s="257" t="s">
        <v>712</v>
      </c>
      <c r="D463" s="247" t="s">
        <v>319</v>
      </c>
      <c r="E463" s="248" t="s">
        <v>560</v>
      </c>
      <c r="F463" s="267" t="s">
        <v>561</v>
      </c>
      <c r="G463" s="262" t="s">
        <v>358</v>
      </c>
      <c r="H463" s="263">
        <v>2</v>
      </c>
      <c r="I463" s="76"/>
      <c r="J463" s="252">
        <f t="shared" si="30"/>
        <v>0</v>
      </c>
      <c r="K463" s="253" t="s">
        <v>1</v>
      </c>
      <c r="L463" s="254"/>
      <c r="M463" s="255" t="s">
        <v>1</v>
      </c>
      <c r="N463" s="256" t="s">
        <v>41</v>
      </c>
      <c r="O463" s="187"/>
      <c r="P463" s="188">
        <f t="shared" si="31"/>
        <v>0</v>
      </c>
      <c r="Q463" s="188">
        <v>0.019</v>
      </c>
      <c r="R463" s="188">
        <f t="shared" si="32"/>
        <v>0.038</v>
      </c>
      <c r="S463" s="188">
        <v>0</v>
      </c>
      <c r="T463" s="189">
        <f t="shared" si="33"/>
        <v>0</v>
      </c>
      <c r="AR463" s="81" t="s">
        <v>183</v>
      </c>
      <c r="AT463" s="81" t="s">
        <v>319</v>
      </c>
      <c r="AU463" s="81" t="s">
        <v>76</v>
      </c>
      <c r="AY463" s="81" t="s">
        <v>114</v>
      </c>
      <c r="BE463" s="190">
        <f t="shared" si="34"/>
        <v>0</v>
      </c>
      <c r="BF463" s="190">
        <f t="shared" si="35"/>
        <v>0</v>
      </c>
      <c r="BG463" s="190">
        <f t="shared" si="36"/>
        <v>0</v>
      </c>
      <c r="BH463" s="190">
        <f t="shared" si="37"/>
        <v>0</v>
      </c>
      <c r="BI463" s="190">
        <f t="shared" si="38"/>
        <v>0</v>
      </c>
      <c r="BJ463" s="81" t="s">
        <v>73</v>
      </c>
      <c r="BK463" s="190">
        <f t="shared" si="39"/>
        <v>0</v>
      </c>
      <c r="BL463" s="81" t="s">
        <v>119</v>
      </c>
      <c r="BM463" s="81" t="s">
        <v>562</v>
      </c>
    </row>
    <row r="464" spans="2:65" s="92" customFormat="1" ht="16.5" customHeight="1">
      <c r="B464" s="90"/>
      <c r="C464" s="177" t="s">
        <v>718</v>
      </c>
      <c r="D464" s="178" t="s">
        <v>116</v>
      </c>
      <c r="E464" s="179" t="s">
        <v>564</v>
      </c>
      <c r="F464" s="180" t="s">
        <v>565</v>
      </c>
      <c r="G464" s="181" t="s">
        <v>358</v>
      </c>
      <c r="H464" s="182">
        <v>2</v>
      </c>
      <c r="I464" s="69"/>
      <c r="J464" s="184">
        <f t="shared" si="30"/>
        <v>0</v>
      </c>
      <c r="K464" s="180" t="s">
        <v>154</v>
      </c>
      <c r="L464" s="90"/>
      <c r="M464" s="185" t="s">
        <v>1</v>
      </c>
      <c r="N464" s="186" t="s">
        <v>41</v>
      </c>
      <c r="O464" s="187"/>
      <c r="P464" s="188">
        <f t="shared" si="31"/>
        <v>0</v>
      </c>
      <c r="Q464" s="188">
        <v>0</v>
      </c>
      <c r="R464" s="188">
        <f t="shared" si="32"/>
        <v>0</v>
      </c>
      <c r="S464" s="188">
        <v>0</v>
      </c>
      <c r="T464" s="189">
        <f t="shared" si="33"/>
        <v>0</v>
      </c>
      <c r="AR464" s="81" t="s">
        <v>119</v>
      </c>
      <c r="AT464" s="81" t="s">
        <v>116</v>
      </c>
      <c r="AU464" s="81" t="s">
        <v>76</v>
      </c>
      <c r="AY464" s="81" t="s">
        <v>114</v>
      </c>
      <c r="BE464" s="190">
        <f t="shared" si="34"/>
        <v>0</v>
      </c>
      <c r="BF464" s="190">
        <f t="shared" si="35"/>
        <v>0</v>
      </c>
      <c r="BG464" s="190">
        <f t="shared" si="36"/>
        <v>0</v>
      </c>
      <c r="BH464" s="190">
        <f t="shared" si="37"/>
        <v>0</v>
      </c>
      <c r="BI464" s="190">
        <f t="shared" si="38"/>
        <v>0</v>
      </c>
      <c r="BJ464" s="81" t="s">
        <v>73</v>
      </c>
      <c r="BK464" s="190">
        <f t="shared" si="39"/>
        <v>0</v>
      </c>
      <c r="BL464" s="81" t="s">
        <v>119</v>
      </c>
      <c r="BM464" s="81" t="s">
        <v>566</v>
      </c>
    </row>
    <row r="465" spans="2:65" s="92" customFormat="1" ht="16.5" customHeight="1">
      <c r="B465" s="90"/>
      <c r="C465" s="257" t="s">
        <v>722</v>
      </c>
      <c r="D465" s="247" t="s">
        <v>319</v>
      </c>
      <c r="E465" s="248" t="s">
        <v>568</v>
      </c>
      <c r="F465" s="267" t="s">
        <v>569</v>
      </c>
      <c r="G465" s="262" t="s">
        <v>358</v>
      </c>
      <c r="H465" s="263">
        <v>2</v>
      </c>
      <c r="I465" s="76"/>
      <c r="J465" s="252">
        <f t="shared" si="30"/>
        <v>0</v>
      </c>
      <c r="K465" s="253" t="s">
        <v>154</v>
      </c>
      <c r="L465" s="254"/>
      <c r="M465" s="255" t="s">
        <v>1</v>
      </c>
      <c r="N465" s="256" t="s">
        <v>41</v>
      </c>
      <c r="O465" s="187"/>
      <c r="P465" s="188">
        <f t="shared" si="31"/>
        <v>0</v>
      </c>
      <c r="Q465" s="188">
        <v>0.0019</v>
      </c>
      <c r="R465" s="188">
        <f t="shared" si="32"/>
        <v>0.0038</v>
      </c>
      <c r="S465" s="188">
        <v>0</v>
      </c>
      <c r="T465" s="189">
        <f t="shared" si="33"/>
        <v>0</v>
      </c>
      <c r="AR465" s="81" t="s">
        <v>183</v>
      </c>
      <c r="AT465" s="81" t="s">
        <v>319</v>
      </c>
      <c r="AU465" s="81" t="s">
        <v>76</v>
      </c>
      <c r="AY465" s="81" t="s">
        <v>114</v>
      </c>
      <c r="BE465" s="190">
        <f t="shared" si="34"/>
        <v>0</v>
      </c>
      <c r="BF465" s="190">
        <f t="shared" si="35"/>
        <v>0</v>
      </c>
      <c r="BG465" s="190">
        <f t="shared" si="36"/>
        <v>0</v>
      </c>
      <c r="BH465" s="190">
        <f t="shared" si="37"/>
        <v>0</v>
      </c>
      <c r="BI465" s="190">
        <f t="shared" si="38"/>
        <v>0</v>
      </c>
      <c r="BJ465" s="81" t="s">
        <v>73</v>
      </c>
      <c r="BK465" s="190">
        <f t="shared" si="39"/>
        <v>0</v>
      </c>
      <c r="BL465" s="81" t="s">
        <v>119</v>
      </c>
      <c r="BM465" s="81" t="s">
        <v>570</v>
      </c>
    </row>
    <row r="466" spans="2:65" s="92" customFormat="1" ht="16.5" customHeight="1">
      <c r="B466" s="90"/>
      <c r="C466" s="178">
        <v>118</v>
      </c>
      <c r="D466" s="178" t="s">
        <v>116</v>
      </c>
      <c r="E466" s="179" t="s">
        <v>1278</v>
      </c>
      <c r="F466" s="180" t="s">
        <v>1279</v>
      </c>
      <c r="G466" s="181" t="s">
        <v>358</v>
      </c>
      <c r="H466" s="182">
        <v>1</v>
      </c>
      <c r="I466" s="69"/>
      <c r="J466" s="184">
        <f t="shared" si="30"/>
        <v>0</v>
      </c>
      <c r="K466" s="180" t="s">
        <v>154</v>
      </c>
      <c r="L466" s="90"/>
      <c r="M466" s="185" t="s">
        <v>1</v>
      </c>
      <c r="N466" s="186" t="s">
        <v>41</v>
      </c>
      <c r="O466" s="187"/>
      <c r="P466" s="188">
        <f t="shared" si="31"/>
        <v>0</v>
      </c>
      <c r="Q466" s="188">
        <v>0</v>
      </c>
      <c r="R466" s="188">
        <f t="shared" si="32"/>
        <v>0</v>
      </c>
      <c r="S466" s="188">
        <v>0</v>
      </c>
      <c r="T466" s="189">
        <f t="shared" si="33"/>
        <v>0</v>
      </c>
      <c r="AR466" s="81" t="s">
        <v>119</v>
      </c>
      <c r="AT466" s="81" t="s">
        <v>116</v>
      </c>
      <c r="AU466" s="81" t="s">
        <v>76</v>
      </c>
      <c r="AY466" s="81" t="s">
        <v>114</v>
      </c>
      <c r="BE466" s="190">
        <f t="shared" si="34"/>
        <v>0</v>
      </c>
      <c r="BF466" s="190">
        <f t="shared" si="35"/>
        <v>0</v>
      </c>
      <c r="BG466" s="190">
        <f t="shared" si="36"/>
        <v>0</v>
      </c>
      <c r="BH466" s="190">
        <f t="shared" si="37"/>
        <v>0</v>
      </c>
      <c r="BI466" s="190">
        <f t="shared" si="38"/>
        <v>0</v>
      </c>
      <c r="BJ466" s="81" t="s">
        <v>73</v>
      </c>
      <c r="BK466" s="190">
        <f t="shared" si="39"/>
        <v>0</v>
      </c>
      <c r="BL466" s="81" t="s">
        <v>119</v>
      </c>
      <c r="BM466" s="81" t="s">
        <v>1280</v>
      </c>
    </row>
    <row r="467" spans="2:65" s="92" customFormat="1" ht="16.5" customHeight="1">
      <c r="B467" s="90"/>
      <c r="C467" s="247">
        <v>119</v>
      </c>
      <c r="D467" s="247" t="s">
        <v>319</v>
      </c>
      <c r="E467" s="248" t="s">
        <v>1281</v>
      </c>
      <c r="F467" s="267" t="s">
        <v>1282</v>
      </c>
      <c r="G467" s="262" t="s">
        <v>358</v>
      </c>
      <c r="H467" s="263">
        <v>1</v>
      </c>
      <c r="I467" s="76"/>
      <c r="J467" s="252">
        <f t="shared" si="30"/>
        <v>0</v>
      </c>
      <c r="K467" s="253" t="s">
        <v>154</v>
      </c>
      <c r="L467" s="254"/>
      <c r="M467" s="255" t="s">
        <v>1</v>
      </c>
      <c r="N467" s="256" t="s">
        <v>41</v>
      </c>
      <c r="O467" s="187"/>
      <c r="P467" s="188">
        <f t="shared" si="31"/>
        <v>0</v>
      </c>
      <c r="Q467" s="188">
        <v>0.0025</v>
      </c>
      <c r="R467" s="188">
        <f t="shared" si="32"/>
        <v>0.0025</v>
      </c>
      <c r="S467" s="188">
        <v>0</v>
      </c>
      <c r="T467" s="189">
        <f t="shared" si="33"/>
        <v>0</v>
      </c>
      <c r="AR467" s="81" t="s">
        <v>183</v>
      </c>
      <c r="AT467" s="81" t="s">
        <v>319</v>
      </c>
      <c r="AU467" s="81" t="s">
        <v>76</v>
      </c>
      <c r="AY467" s="81" t="s">
        <v>114</v>
      </c>
      <c r="BE467" s="190">
        <f t="shared" si="34"/>
        <v>0</v>
      </c>
      <c r="BF467" s="190">
        <f t="shared" si="35"/>
        <v>0</v>
      </c>
      <c r="BG467" s="190">
        <f t="shared" si="36"/>
        <v>0</v>
      </c>
      <c r="BH467" s="190">
        <f t="shared" si="37"/>
        <v>0</v>
      </c>
      <c r="BI467" s="190">
        <f t="shared" si="38"/>
        <v>0</v>
      </c>
      <c r="BJ467" s="81" t="s">
        <v>73</v>
      </c>
      <c r="BK467" s="190">
        <f t="shared" si="39"/>
        <v>0</v>
      </c>
      <c r="BL467" s="81" t="s">
        <v>119</v>
      </c>
      <c r="BM467" s="81" t="s">
        <v>1283</v>
      </c>
    </row>
    <row r="468" spans="2:65" s="92" customFormat="1" ht="16.5" customHeight="1">
      <c r="B468" s="90"/>
      <c r="C468" s="178">
        <v>120</v>
      </c>
      <c r="D468" s="178" t="s">
        <v>116</v>
      </c>
      <c r="E468" s="179" t="s">
        <v>1254</v>
      </c>
      <c r="F468" s="232" t="s">
        <v>1255</v>
      </c>
      <c r="G468" s="181" t="s">
        <v>358</v>
      </c>
      <c r="H468" s="182">
        <v>1</v>
      </c>
      <c r="I468" s="69"/>
      <c r="J468" s="184">
        <f t="shared" si="30"/>
        <v>0</v>
      </c>
      <c r="K468" s="180" t="s">
        <v>154</v>
      </c>
      <c r="L468" s="90"/>
      <c r="M468" s="185" t="s">
        <v>1</v>
      </c>
      <c r="N468" s="186" t="s">
        <v>41</v>
      </c>
      <c r="O468" s="187"/>
      <c r="P468" s="188">
        <f t="shared" si="31"/>
        <v>0</v>
      </c>
      <c r="Q468" s="188">
        <v>0.00296</v>
      </c>
      <c r="R468" s="188">
        <f t="shared" si="32"/>
        <v>0.00296</v>
      </c>
      <c r="S468" s="188">
        <v>0</v>
      </c>
      <c r="T468" s="189">
        <f t="shared" si="33"/>
        <v>0</v>
      </c>
      <c r="AR468" s="81" t="s">
        <v>119</v>
      </c>
      <c r="AT468" s="81" t="s">
        <v>116</v>
      </c>
      <c r="AU468" s="81" t="s">
        <v>76</v>
      </c>
      <c r="AY468" s="81" t="s">
        <v>114</v>
      </c>
      <c r="BE468" s="190">
        <f t="shared" si="34"/>
        <v>0</v>
      </c>
      <c r="BF468" s="190">
        <f t="shared" si="35"/>
        <v>0</v>
      </c>
      <c r="BG468" s="190">
        <f t="shared" si="36"/>
        <v>0</v>
      </c>
      <c r="BH468" s="190">
        <f t="shared" si="37"/>
        <v>0</v>
      </c>
      <c r="BI468" s="190">
        <f t="shared" si="38"/>
        <v>0</v>
      </c>
      <c r="BJ468" s="81" t="s">
        <v>73</v>
      </c>
      <c r="BK468" s="190">
        <f t="shared" si="39"/>
        <v>0</v>
      </c>
      <c r="BL468" s="81" t="s">
        <v>119</v>
      </c>
      <c r="BM468" s="81" t="s">
        <v>1256</v>
      </c>
    </row>
    <row r="469" spans="2:65" s="92" customFormat="1" ht="16.5" customHeight="1">
      <c r="B469" s="90"/>
      <c r="C469" s="247">
        <v>121</v>
      </c>
      <c r="D469" s="247" t="s">
        <v>319</v>
      </c>
      <c r="E469" s="248" t="s">
        <v>1258</v>
      </c>
      <c r="F469" s="267" t="s">
        <v>1259</v>
      </c>
      <c r="G469" s="262" t="s">
        <v>358</v>
      </c>
      <c r="H469" s="263">
        <v>1</v>
      </c>
      <c r="I469" s="76"/>
      <c r="J469" s="252">
        <f t="shared" si="30"/>
        <v>0</v>
      </c>
      <c r="K469" s="253" t="s">
        <v>154</v>
      </c>
      <c r="L469" s="254"/>
      <c r="M469" s="255" t="s">
        <v>1</v>
      </c>
      <c r="N469" s="256" t="s">
        <v>41</v>
      </c>
      <c r="O469" s="187"/>
      <c r="P469" s="188">
        <f t="shared" si="31"/>
        <v>0</v>
      </c>
      <c r="Q469" s="188">
        <v>0.046</v>
      </c>
      <c r="R469" s="188">
        <f t="shared" si="32"/>
        <v>0.046</v>
      </c>
      <c r="S469" s="188">
        <v>0</v>
      </c>
      <c r="T469" s="189">
        <f t="shared" si="33"/>
        <v>0</v>
      </c>
      <c r="AR469" s="81" t="s">
        <v>183</v>
      </c>
      <c r="AT469" s="81" t="s">
        <v>319</v>
      </c>
      <c r="AU469" s="81" t="s">
        <v>76</v>
      </c>
      <c r="AY469" s="81" t="s">
        <v>114</v>
      </c>
      <c r="BE469" s="190">
        <f t="shared" si="34"/>
        <v>0</v>
      </c>
      <c r="BF469" s="190">
        <f t="shared" si="35"/>
        <v>0</v>
      </c>
      <c r="BG469" s="190">
        <f t="shared" si="36"/>
        <v>0</v>
      </c>
      <c r="BH469" s="190">
        <f t="shared" si="37"/>
        <v>0</v>
      </c>
      <c r="BI469" s="190">
        <f t="shared" si="38"/>
        <v>0</v>
      </c>
      <c r="BJ469" s="81" t="s">
        <v>73</v>
      </c>
      <c r="BK469" s="190">
        <f t="shared" si="39"/>
        <v>0</v>
      </c>
      <c r="BL469" s="81" t="s">
        <v>119</v>
      </c>
      <c r="BM469" s="81" t="s">
        <v>1260</v>
      </c>
    </row>
    <row r="470" spans="2:65" s="92" customFormat="1" ht="16.5" customHeight="1">
      <c r="B470" s="90"/>
      <c r="C470" s="247">
        <v>122</v>
      </c>
      <c r="D470" s="247" t="s">
        <v>319</v>
      </c>
      <c r="E470" s="248" t="s">
        <v>1262</v>
      </c>
      <c r="F470" s="267" t="s">
        <v>1263</v>
      </c>
      <c r="G470" s="262" t="s">
        <v>358</v>
      </c>
      <c r="H470" s="263">
        <v>1</v>
      </c>
      <c r="I470" s="76"/>
      <c r="J470" s="252">
        <f t="shared" si="30"/>
        <v>0</v>
      </c>
      <c r="K470" s="253" t="s">
        <v>154</v>
      </c>
      <c r="L470" s="254"/>
      <c r="M470" s="255" t="s">
        <v>1</v>
      </c>
      <c r="N470" s="256" t="s">
        <v>41</v>
      </c>
      <c r="O470" s="187"/>
      <c r="P470" s="188">
        <f t="shared" si="31"/>
        <v>0</v>
      </c>
      <c r="Q470" s="188">
        <v>0.004</v>
      </c>
      <c r="R470" s="188">
        <f t="shared" si="32"/>
        <v>0.004</v>
      </c>
      <c r="S470" s="188">
        <v>0</v>
      </c>
      <c r="T470" s="189">
        <f t="shared" si="33"/>
        <v>0</v>
      </c>
      <c r="AR470" s="81" t="s">
        <v>183</v>
      </c>
      <c r="AT470" s="81" t="s">
        <v>319</v>
      </c>
      <c r="AU470" s="81" t="s">
        <v>76</v>
      </c>
      <c r="AY470" s="81" t="s">
        <v>114</v>
      </c>
      <c r="BE470" s="190">
        <f t="shared" si="34"/>
        <v>0</v>
      </c>
      <c r="BF470" s="190">
        <f t="shared" si="35"/>
        <v>0</v>
      </c>
      <c r="BG470" s="190">
        <f t="shared" si="36"/>
        <v>0</v>
      </c>
      <c r="BH470" s="190">
        <f t="shared" si="37"/>
        <v>0</v>
      </c>
      <c r="BI470" s="190">
        <f t="shared" si="38"/>
        <v>0</v>
      </c>
      <c r="BJ470" s="81" t="s">
        <v>73</v>
      </c>
      <c r="BK470" s="190">
        <f t="shared" si="39"/>
        <v>0</v>
      </c>
      <c r="BL470" s="81" t="s">
        <v>119</v>
      </c>
      <c r="BM470" s="81" t="s">
        <v>1264</v>
      </c>
    </row>
    <row r="471" spans="2:65" s="92" customFormat="1" ht="16.5" customHeight="1">
      <c r="B471" s="90"/>
      <c r="C471" s="178">
        <v>123</v>
      </c>
      <c r="D471" s="178" t="s">
        <v>116</v>
      </c>
      <c r="E471" s="179" t="s">
        <v>1266</v>
      </c>
      <c r="F471" s="232" t="s">
        <v>1267</v>
      </c>
      <c r="G471" s="181" t="s">
        <v>358</v>
      </c>
      <c r="H471" s="182">
        <v>1</v>
      </c>
      <c r="I471" s="69"/>
      <c r="J471" s="184">
        <f t="shared" si="30"/>
        <v>0</v>
      </c>
      <c r="K471" s="180" t="s">
        <v>154</v>
      </c>
      <c r="L471" s="90"/>
      <c r="M471" s="185" t="s">
        <v>1</v>
      </c>
      <c r="N471" s="186" t="s">
        <v>41</v>
      </c>
      <c r="O471" s="187"/>
      <c r="P471" s="188">
        <f t="shared" si="31"/>
        <v>0</v>
      </c>
      <c r="Q471" s="188">
        <v>0.00301</v>
      </c>
      <c r="R471" s="188">
        <f t="shared" si="32"/>
        <v>0.00301</v>
      </c>
      <c r="S471" s="188">
        <v>0</v>
      </c>
      <c r="T471" s="189">
        <f t="shared" si="33"/>
        <v>0</v>
      </c>
      <c r="AR471" s="81" t="s">
        <v>119</v>
      </c>
      <c r="AT471" s="81" t="s">
        <v>116</v>
      </c>
      <c r="AU471" s="81" t="s">
        <v>76</v>
      </c>
      <c r="AY471" s="81" t="s">
        <v>114</v>
      </c>
      <c r="BE471" s="190">
        <f t="shared" si="34"/>
        <v>0</v>
      </c>
      <c r="BF471" s="190">
        <f t="shared" si="35"/>
        <v>0</v>
      </c>
      <c r="BG471" s="190">
        <f t="shared" si="36"/>
        <v>0</v>
      </c>
      <c r="BH471" s="190">
        <f t="shared" si="37"/>
        <v>0</v>
      </c>
      <c r="BI471" s="190">
        <f t="shared" si="38"/>
        <v>0</v>
      </c>
      <c r="BJ471" s="81" t="s">
        <v>73</v>
      </c>
      <c r="BK471" s="190">
        <f t="shared" si="39"/>
        <v>0</v>
      </c>
      <c r="BL471" s="81" t="s">
        <v>119</v>
      </c>
      <c r="BM471" s="81" t="s">
        <v>1268</v>
      </c>
    </row>
    <row r="472" spans="2:65" s="92" customFormat="1" ht="16.5" customHeight="1">
      <c r="B472" s="90"/>
      <c r="C472" s="247">
        <v>124</v>
      </c>
      <c r="D472" s="247" t="s">
        <v>319</v>
      </c>
      <c r="E472" s="248" t="s">
        <v>1270</v>
      </c>
      <c r="F472" s="267" t="s">
        <v>1271</v>
      </c>
      <c r="G472" s="262" t="s">
        <v>358</v>
      </c>
      <c r="H472" s="263">
        <v>1</v>
      </c>
      <c r="I472" s="76"/>
      <c r="J472" s="252">
        <f t="shared" si="30"/>
        <v>0</v>
      </c>
      <c r="K472" s="253" t="s">
        <v>1</v>
      </c>
      <c r="L472" s="254"/>
      <c r="M472" s="255" t="s">
        <v>1</v>
      </c>
      <c r="N472" s="256" t="s">
        <v>41</v>
      </c>
      <c r="O472" s="187"/>
      <c r="P472" s="188">
        <f t="shared" si="31"/>
        <v>0</v>
      </c>
      <c r="Q472" s="188">
        <v>0.065</v>
      </c>
      <c r="R472" s="188">
        <f t="shared" si="32"/>
        <v>0.065</v>
      </c>
      <c r="S472" s="188">
        <v>0</v>
      </c>
      <c r="T472" s="189">
        <f t="shared" si="33"/>
        <v>0</v>
      </c>
      <c r="AR472" s="81" t="s">
        <v>183</v>
      </c>
      <c r="AT472" s="81" t="s">
        <v>319</v>
      </c>
      <c r="AU472" s="81" t="s">
        <v>76</v>
      </c>
      <c r="AY472" s="81" t="s">
        <v>114</v>
      </c>
      <c r="BE472" s="190">
        <f t="shared" si="34"/>
        <v>0</v>
      </c>
      <c r="BF472" s="190">
        <f t="shared" si="35"/>
        <v>0</v>
      </c>
      <c r="BG472" s="190">
        <f t="shared" si="36"/>
        <v>0</v>
      </c>
      <c r="BH472" s="190">
        <f t="shared" si="37"/>
        <v>0</v>
      </c>
      <c r="BI472" s="190">
        <f t="shared" si="38"/>
        <v>0</v>
      </c>
      <c r="BJ472" s="81" t="s">
        <v>73</v>
      </c>
      <c r="BK472" s="190">
        <f t="shared" si="39"/>
        <v>0</v>
      </c>
      <c r="BL472" s="81" t="s">
        <v>119</v>
      </c>
      <c r="BM472" s="81" t="s">
        <v>1272</v>
      </c>
    </row>
    <row r="473" spans="2:65" s="92" customFormat="1" ht="16.5" customHeight="1">
      <c r="B473" s="90"/>
      <c r="C473" s="247">
        <v>125</v>
      </c>
      <c r="D473" s="247" t="s">
        <v>319</v>
      </c>
      <c r="E473" s="248" t="s">
        <v>1274</v>
      </c>
      <c r="F473" s="267" t="s">
        <v>1275</v>
      </c>
      <c r="G473" s="262" t="s">
        <v>358</v>
      </c>
      <c r="H473" s="263">
        <v>1</v>
      </c>
      <c r="I473" s="76"/>
      <c r="J473" s="252">
        <f t="shared" si="30"/>
        <v>0</v>
      </c>
      <c r="K473" s="253" t="s">
        <v>1</v>
      </c>
      <c r="L473" s="254"/>
      <c r="M473" s="255" t="s">
        <v>1</v>
      </c>
      <c r="N473" s="256" t="s">
        <v>41</v>
      </c>
      <c r="O473" s="187"/>
      <c r="P473" s="188">
        <f t="shared" si="31"/>
        <v>0</v>
      </c>
      <c r="Q473" s="188">
        <v>0.0045</v>
      </c>
      <c r="R473" s="188">
        <f t="shared" si="32"/>
        <v>0.0045</v>
      </c>
      <c r="S473" s="188">
        <v>0</v>
      </c>
      <c r="T473" s="189">
        <f t="shared" si="33"/>
        <v>0</v>
      </c>
      <c r="AR473" s="81" t="s">
        <v>183</v>
      </c>
      <c r="AT473" s="81" t="s">
        <v>319</v>
      </c>
      <c r="AU473" s="81" t="s">
        <v>76</v>
      </c>
      <c r="AY473" s="81" t="s">
        <v>114</v>
      </c>
      <c r="BE473" s="190">
        <f t="shared" si="34"/>
        <v>0</v>
      </c>
      <c r="BF473" s="190">
        <f t="shared" si="35"/>
        <v>0</v>
      </c>
      <c r="BG473" s="190">
        <f t="shared" si="36"/>
        <v>0</v>
      </c>
      <c r="BH473" s="190">
        <f t="shared" si="37"/>
        <v>0</v>
      </c>
      <c r="BI473" s="190">
        <f t="shared" si="38"/>
        <v>0</v>
      </c>
      <c r="BJ473" s="81" t="s">
        <v>73</v>
      </c>
      <c r="BK473" s="190">
        <f t="shared" si="39"/>
        <v>0</v>
      </c>
      <c r="BL473" s="81" t="s">
        <v>119</v>
      </c>
      <c r="BM473" s="81" t="s">
        <v>1276</v>
      </c>
    </row>
    <row r="474" spans="2:65" s="92" customFormat="1" ht="16.5" customHeight="1">
      <c r="B474" s="90"/>
      <c r="C474" s="178">
        <v>126</v>
      </c>
      <c r="D474" s="178" t="s">
        <v>116</v>
      </c>
      <c r="E474" s="179" t="s">
        <v>1299</v>
      </c>
      <c r="F474" s="180" t="s">
        <v>1300</v>
      </c>
      <c r="G474" s="181" t="s">
        <v>358</v>
      </c>
      <c r="H474" s="182">
        <v>2</v>
      </c>
      <c r="I474" s="69"/>
      <c r="J474" s="184">
        <f t="shared" si="30"/>
        <v>0</v>
      </c>
      <c r="K474" s="180" t="s">
        <v>1</v>
      </c>
      <c r="L474" s="90"/>
      <c r="M474" s="185" t="s">
        <v>1</v>
      </c>
      <c r="N474" s="186" t="s">
        <v>41</v>
      </c>
      <c r="O474" s="187"/>
      <c r="P474" s="188">
        <f t="shared" si="31"/>
        <v>0</v>
      </c>
      <c r="Q474" s="188">
        <v>0</v>
      </c>
      <c r="R474" s="188">
        <f t="shared" si="32"/>
        <v>0</v>
      </c>
      <c r="S474" s="188">
        <v>0</v>
      </c>
      <c r="T474" s="189">
        <f t="shared" si="33"/>
        <v>0</v>
      </c>
      <c r="AR474" s="81" t="s">
        <v>245</v>
      </c>
      <c r="AT474" s="81" t="s">
        <v>116</v>
      </c>
      <c r="AU474" s="81" t="s">
        <v>76</v>
      </c>
      <c r="AY474" s="81" t="s">
        <v>114</v>
      </c>
      <c r="BE474" s="190">
        <f t="shared" si="34"/>
        <v>0</v>
      </c>
      <c r="BF474" s="190">
        <f t="shared" si="35"/>
        <v>0</v>
      </c>
      <c r="BG474" s="190">
        <f t="shared" si="36"/>
        <v>0</v>
      </c>
      <c r="BH474" s="190">
        <f t="shared" si="37"/>
        <v>0</v>
      </c>
      <c r="BI474" s="190">
        <f t="shared" si="38"/>
        <v>0</v>
      </c>
      <c r="BJ474" s="81" t="s">
        <v>73</v>
      </c>
      <c r="BK474" s="190">
        <f t="shared" si="39"/>
        <v>0</v>
      </c>
      <c r="BL474" s="81" t="s">
        <v>245</v>
      </c>
      <c r="BM474" s="81" t="s">
        <v>1301</v>
      </c>
    </row>
    <row r="475" spans="2:65" s="92" customFormat="1" ht="16.5" customHeight="1">
      <c r="B475" s="90"/>
      <c r="C475" s="178">
        <v>127</v>
      </c>
      <c r="D475" s="178" t="s">
        <v>116</v>
      </c>
      <c r="E475" s="179" t="s">
        <v>1303</v>
      </c>
      <c r="F475" s="180" t="s">
        <v>1304</v>
      </c>
      <c r="G475" s="181" t="s">
        <v>358</v>
      </c>
      <c r="H475" s="182">
        <v>2</v>
      </c>
      <c r="I475" s="69"/>
      <c r="J475" s="184">
        <f t="shared" si="30"/>
        <v>0</v>
      </c>
      <c r="K475" s="180" t="s">
        <v>1</v>
      </c>
      <c r="L475" s="90"/>
      <c r="M475" s="185" t="s">
        <v>1</v>
      </c>
      <c r="N475" s="186" t="s">
        <v>41</v>
      </c>
      <c r="O475" s="187"/>
      <c r="P475" s="188">
        <f t="shared" si="31"/>
        <v>0</v>
      </c>
      <c r="Q475" s="188">
        <v>0</v>
      </c>
      <c r="R475" s="188">
        <f t="shared" si="32"/>
        <v>0</v>
      </c>
      <c r="S475" s="188">
        <v>0</v>
      </c>
      <c r="T475" s="189">
        <f t="shared" si="33"/>
        <v>0</v>
      </c>
      <c r="AR475" s="81" t="s">
        <v>245</v>
      </c>
      <c r="AT475" s="81" t="s">
        <v>116</v>
      </c>
      <c r="AU475" s="81" t="s">
        <v>76</v>
      </c>
      <c r="AY475" s="81" t="s">
        <v>114</v>
      </c>
      <c r="BE475" s="190">
        <f t="shared" si="34"/>
        <v>0</v>
      </c>
      <c r="BF475" s="190">
        <f t="shared" si="35"/>
        <v>0</v>
      </c>
      <c r="BG475" s="190">
        <f t="shared" si="36"/>
        <v>0</v>
      </c>
      <c r="BH475" s="190">
        <f t="shared" si="37"/>
        <v>0</v>
      </c>
      <c r="BI475" s="190">
        <f t="shared" si="38"/>
        <v>0</v>
      </c>
      <c r="BJ475" s="81" t="s">
        <v>73</v>
      </c>
      <c r="BK475" s="190">
        <f t="shared" si="39"/>
        <v>0</v>
      </c>
      <c r="BL475" s="81" t="s">
        <v>245</v>
      </c>
      <c r="BM475" s="81" t="s">
        <v>1305</v>
      </c>
    </row>
    <row r="476" spans="2:65" s="92" customFormat="1" ht="16.5" customHeight="1">
      <c r="B476" s="90"/>
      <c r="C476" s="178">
        <v>128</v>
      </c>
      <c r="D476" s="178" t="s">
        <v>116</v>
      </c>
      <c r="E476" s="179" t="s">
        <v>1292</v>
      </c>
      <c r="F476" s="180" t="s">
        <v>1547</v>
      </c>
      <c r="G476" s="181" t="s">
        <v>358</v>
      </c>
      <c r="H476" s="182">
        <v>1</v>
      </c>
      <c r="I476" s="69"/>
      <c r="J476" s="184">
        <f>ROUND(I476*H476,2)</f>
        <v>0</v>
      </c>
      <c r="K476" s="180" t="s">
        <v>1</v>
      </c>
      <c r="L476" s="90"/>
      <c r="M476" s="185" t="s">
        <v>1</v>
      </c>
      <c r="N476" s="186" t="s">
        <v>41</v>
      </c>
      <c r="O476" s="187"/>
      <c r="P476" s="188">
        <f>O476*H476</f>
        <v>0</v>
      </c>
      <c r="Q476" s="188">
        <v>0</v>
      </c>
      <c r="R476" s="188">
        <f>Q476*H476</f>
        <v>0</v>
      </c>
      <c r="S476" s="188">
        <v>0</v>
      </c>
      <c r="T476" s="189">
        <f>S476*H476</f>
        <v>0</v>
      </c>
      <c r="AR476" s="81" t="s">
        <v>245</v>
      </c>
      <c r="AT476" s="81" t="s">
        <v>116</v>
      </c>
      <c r="AU476" s="81" t="s">
        <v>76</v>
      </c>
      <c r="AY476" s="81" t="s">
        <v>114</v>
      </c>
      <c r="BE476" s="190">
        <f>IF(N476="základní",J476,0)</f>
        <v>0</v>
      </c>
      <c r="BF476" s="190">
        <f>IF(N476="snížená",J476,0)</f>
        <v>0</v>
      </c>
      <c r="BG476" s="190">
        <f>IF(N476="zákl. přenesená",J476,0)</f>
        <v>0</v>
      </c>
      <c r="BH476" s="190">
        <f>IF(N476="sníž. přenesená",J476,0)</f>
        <v>0</v>
      </c>
      <c r="BI476" s="190">
        <f>IF(N476="nulová",J476,0)</f>
        <v>0</v>
      </c>
      <c r="BJ476" s="81" t="s">
        <v>73</v>
      </c>
      <c r="BK476" s="190">
        <f>ROUND(I476*H476,2)</f>
        <v>0</v>
      </c>
      <c r="BL476" s="81" t="s">
        <v>245</v>
      </c>
      <c r="BM476" s="81" t="s">
        <v>1293</v>
      </c>
    </row>
    <row r="477" spans="2:65" s="92" customFormat="1" ht="16.5" customHeight="1">
      <c r="B477" s="90"/>
      <c r="C477" s="178">
        <v>129</v>
      </c>
      <c r="D477" s="178" t="s">
        <v>116</v>
      </c>
      <c r="E477" s="179" t="s">
        <v>1290</v>
      </c>
      <c r="F477" s="180" t="s">
        <v>1548</v>
      </c>
      <c r="G477" s="181" t="s">
        <v>358</v>
      </c>
      <c r="H477" s="182">
        <v>1</v>
      </c>
      <c r="I477" s="69"/>
      <c r="J477" s="184">
        <f>ROUND(I477*H477,2)</f>
        <v>0</v>
      </c>
      <c r="K477" s="180" t="s">
        <v>1</v>
      </c>
      <c r="L477" s="90"/>
      <c r="M477" s="185" t="s">
        <v>1</v>
      </c>
      <c r="N477" s="186" t="s">
        <v>41</v>
      </c>
      <c r="O477" s="187"/>
      <c r="P477" s="188">
        <f>O477*H477</f>
        <v>0</v>
      </c>
      <c r="Q477" s="188">
        <v>0</v>
      </c>
      <c r="R477" s="188">
        <f>Q477*H477</f>
        <v>0</v>
      </c>
      <c r="S477" s="188">
        <v>0</v>
      </c>
      <c r="T477" s="189">
        <f>S477*H477</f>
        <v>0</v>
      </c>
      <c r="AR477" s="81" t="s">
        <v>245</v>
      </c>
      <c r="AT477" s="81" t="s">
        <v>116</v>
      </c>
      <c r="AU477" s="81" t="s">
        <v>76</v>
      </c>
      <c r="AY477" s="81" t="s">
        <v>114</v>
      </c>
      <c r="BE477" s="190">
        <f>IF(N477="základní",J477,0)</f>
        <v>0</v>
      </c>
      <c r="BF477" s="190">
        <f>IF(N477="snížená",J477,0)</f>
        <v>0</v>
      </c>
      <c r="BG477" s="190">
        <f>IF(N477="zákl. přenesená",J477,0)</f>
        <v>0</v>
      </c>
      <c r="BH477" s="190">
        <f>IF(N477="sníž. přenesená",J477,0)</f>
        <v>0</v>
      </c>
      <c r="BI477" s="190">
        <f>IF(N477="nulová",J477,0)</f>
        <v>0</v>
      </c>
      <c r="BJ477" s="81" t="s">
        <v>73</v>
      </c>
      <c r="BK477" s="190">
        <f>ROUND(I477*H477,2)</f>
        <v>0</v>
      </c>
      <c r="BL477" s="81" t="s">
        <v>245</v>
      </c>
      <c r="BM477" s="81" t="s">
        <v>1291</v>
      </c>
    </row>
    <row r="478" spans="2:65" s="92" customFormat="1" ht="16.5" customHeight="1">
      <c r="B478" s="90"/>
      <c r="C478" s="178">
        <v>130</v>
      </c>
      <c r="D478" s="178"/>
      <c r="E478" s="179"/>
      <c r="F478" s="368" t="s">
        <v>1555</v>
      </c>
      <c r="G478" s="369" t="s">
        <v>176</v>
      </c>
      <c r="H478" s="370">
        <v>1</v>
      </c>
      <c r="I478" s="69"/>
      <c r="J478" s="69">
        <f aca="true" t="shared" si="40" ref="J478:J480">ROUND(I478*H478,2)</f>
        <v>0</v>
      </c>
      <c r="K478" s="180"/>
      <c r="L478" s="90"/>
      <c r="M478" s="185"/>
      <c r="N478" s="186"/>
      <c r="O478" s="187"/>
      <c r="P478" s="188"/>
      <c r="Q478" s="188"/>
      <c r="R478" s="188"/>
      <c r="S478" s="188"/>
      <c r="T478" s="189"/>
      <c r="AR478" s="81"/>
      <c r="AT478" s="81"/>
      <c r="AU478" s="81"/>
      <c r="AY478" s="81"/>
      <c r="BE478" s="190"/>
      <c r="BF478" s="190"/>
      <c r="BG478" s="190"/>
      <c r="BH478" s="190"/>
      <c r="BI478" s="190"/>
      <c r="BJ478" s="81"/>
      <c r="BK478" s="190"/>
      <c r="BL478" s="81"/>
      <c r="BM478" s="81"/>
    </row>
    <row r="479" spans="2:65" s="92" customFormat="1" ht="16.5" customHeight="1">
      <c r="B479" s="90"/>
      <c r="C479" s="268" t="s">
        <v>785</v>
      </c>
      <c r="D479" s="178"/>
      <c r="E479" s="179"/>
      <c r="F479" s="368" t="s">
        <v>1556</v>
      </c>
      <c r="G479" s="369" t="s">
        <v>176</v>
      </c>
      <c r="H479" s="370">
        <v>1</v>
      </c>
      <c r="I479" s="69"/>
      <c r="J479" s="69">
        <f t="shared" si="40"/>
        <v>0</v>
      </c>
      <c r="K479" s="180"/>
      <c r="L479" s="90"/>
      <c r="M479" s="185"/>
      <c r="N479" s="186"/>
      <c r="O479" s="187"/>
      <c r="P479" s="188"/>
      <c r="Q479" s="188"/>
      <c r="R479" s="188"/>
      <c r="S479" s="188"/>
      <c r="T479" s="189"/>
      <c r="AR479" s="81"/>
      <c r="AT479" s="81"/>
      <c r="AU479" s="81"/>
      <c r="AY479" s="81"/>
      <c r="BE479" s="190"/>
      <c r="BF479" s="190"/>
      <c r="BG479" s="190"/>
      <c r="BH479" s="190"/>
      <c r="BI479" s="190"/>
      <c r="BJ479" s="81"/>
      <c r="BK479" s="190"/>
      <c r="BL479" s="81"/>
      <c r="BM479" s="81"/>
    </row>
    <row r="480" spans="2:65" s="92" customFormat="1" ht="16.5" customHeight="1">
      <c r="B480" s="90"/>
      <c r="C480" s="269">
        <v>132</v>
      </c>
      <c r="D480" s="178"/>
      <c r="E480" s="179"/>
      <c r="F480" s="368" t="s">
        <v>1557</v>
      </c>
      <c r="G480" s="369" t="s">
        <v>176</v>
      </c>
      <c r="H480" s="370">
        <v>1</v>
      </c>
      <c r="I480" s="69"/>
      <c r="J480" s="69">
        <f t="shared" si="40"/>
        <v>0</v>
      </c>
      <c r="K480" s="180"/>
      <c r="L480" s="90"/>
      <c r="M480" s="185"/>
      <c r="N480" s="186"/>
      <c r="O480" s="187"/>
      <c r="P480" s="188"/>
      <c r="Q480" s="188"/>
      <c r="R480" s="188"/>
      <c r="S480" s="188"/>
      <c r="T480" s="189"/>
      <c r="AR480" s="81"/>
      <c r="AT480" s="81"/>
      <c r="AU480" s="81"/>
      <c r="AY480" s="81"/>
      <c r="BE480" s="190"/>
      <c r="BF480" s="190"/>
      <c r="BG480" s="190"/>
      <c r="BH480" s="190"/>
      <c r="BI480" s="190"/>
      <c r="BJ480" s="81"/>
      <c r="BK480" s="190"/>
      <c r="BL480" s="81"/>
      <c r="BM480" s="81"/>
    </row>
    <row r="481" spans="2:65" s="93" customFormat="1" ht="16.5" customHeight="1">
      <c r="B481" s="270"/>
      <c r="C481" s="268" t="s">
        <v>794</v>
      </c>
      <c r="D481" s="269" t="s">
        <v>116</v>
      </c>
      <c r="E481" s="271" t="s">
        <v>578</v>
      </c>
      <c r="F481" s="232" t="s">
        <v>579</v>
      </c>
      <c r="G481" s="233" t="s">
        <v>176</v>
      </c>
      <c r="H481" s="234">
        <v>168</v>
      </c>
      <c r="I481" s="69"/>
      <c r="J481" s="183">
        <f>ROUND(I481*H481,2)</f>
        <v>0</v>
      </c>
      <c r="K481" s="232" t="s">
        <v>154</v>
      </c>
      <c r="L481" s="270"/>
      <c r="M481" s="272" t="s">
        <v>1</v>
      </c>
      <c r="N481" s="273" t="s">
        <v>41</v>
      </c>
      <c r="O481" s="274"/>
      <c r="P481" s="275">
        <f>O481*H481</f>
        <v>0</v>
      </c>
      <c r="Q481" s="275">
        <v>0</v>
      </c>
      <c r="R481" s="275">
        <f>Q481*H481</f>
        <v>0</v>
      </c>
      <c r="S481" s="275">
        <v>0</v>
      </c>
      <c r="T481" s="276">
        <f>S481*H481</f>
        <v>0</v>
      </c>
      <c r="AR481" s="277" t="s">
        <v>119</v>
      </c>
      <c r="AT481" s="277" t="s">
        <v>116</v>
      </c>
      <c r="AU481" s="277" t="s">
        <v>76</v>
      </c>
      <c r="AY481" s="277" t="s">
        <v>114</v>
      </c>
      <c r="BE481" s="278">
        <f>IF(N481="základní",J481,0)</f>
        <v>0</v>
      </c>
      <c r="BF481" s="278">
        <f>IF(N481="snížená",J481,0)</f>
        <v>0</v>
      </c>
      <c r="BG481" s="278">
        <f>IF(N481="zákl. přenesená",J481,0)</f>
        <v>0</v>
      </c>
      <c r="BH481" s="278">
        <f>IF(N481="sníž. přenesená",J481,0)</f>
        <v>0</v>
      </c>
      <c r="BI481" s="278">
        <f>IF(N481="nulová",J481,0)</f>
        <v>0</v>
      </c>
      <c r="BJ481" s="277" t="s">
        <v>73</v>
      </c>
      <c r="BK481" s="278">
        <f>ROUND(I481*H481,2)</f>
        <v>0</v>
      </c>
      <c r="BL481" s="277" t="s">
        <v>119</v>
      </c>
      <c r="BM481" s="277" t="s">
        <v>580</v>
      </c>
    </row>
    <row r="482" spans="2:65" s="93" customFormat="1" ht="16.5" customHeight="1">
      <c r="B482" s="270"/>
      <c r="C482" s="269">
        <v>134</v>
      </c>
      <c r="D482" s="269" t="s">
        <v>116</v>
      </c>
      <c r="E482" s="271" t="s">
        <v>1317</v>
      </c>
      <c r="F482" s="232" t="s">
        <v>1318</v>
      </c>
      <c r="G482" s="233" t="s">
        <v>176</v>
      </c>
      <c r="H482" s="234">
        <f>38+75.5</f>
        <v>113.5</v>
      </c>
      <c r="I482" s="69"/>
      <c r="J482" s="183">
        <f>ROUND(I482*H482,2)</f>
        <v>0</v>
      </c>
      <c r="K482" s="232" t="s">
        <v>154</v>
      </c>
      <c r="L482" s="270"/>
      <c r="M482" s="272" t="s">
        <v>1</v>
      </c>
      <c r="N482" s="273" t="s">
        <v>41</v>
      </c>
      <c r="O482" s="274"/>
      <c r="P482" s="275">
        <f>O482*H482</f>
        <v>0</v>
      </c>
      <c r="Q482" s="275">
        <v>0</v>
      </c>
      <c r="R482" s="275">
        <f>Q482*H482</f>
        <v>0</v>
      </c>
      <c r="S482" s="275">
        <v>0</v>
      </c>
      <c r="T482" s="276">
        <f>S482*H482</f>
        <v>0</v>
      </c>
      <c r="AR482" s="277" t="s">
        <v>119</v>
      </c>
      <c r="AT482" s="277" t="s">
        <v>116</v>
      </c>
      <c r="AU482" s="277" t="s">
        <v>76</v>
      </c>
      <c r="AY482" s="277" t="s">
        <v>114</v>
      </c>
      <c r="BE482" s="278">
        <f>IF(N482="základní",J482,0)</f>
        <v>0</v>
      </c>
      <c r="BF482" s="278">
        <f>IF(N482="snížená",J482,0)</f>
        <v>0</v>
      </c>
      <c r="BG482" s="278">
        <f>IF(N482="zákl. přenesená",J482,0)</f>
        <v>0</v>
      </c>
      <c r="BH482" s="278">
        <f>IF(N482="sníž. přenesená",J482,0)</f>
        <v>0</v>
      </c>
      <c r="BI482" s="278">
        <f>IF(N482="nulová",J482,0)</f>
        <v>0</v>
      </c>
      <c r="BJ482" s="277" t="s">
        <v>73</v>
      </c>
      <c r="BK482" s="278">
        <f>ROUND(I482*H482,2)</f>
        <v>0</v>
      </c>
      <c r="BL482" s="277" t="s">
        <v>119</v>
      </c>
      <c r="BM482" s="277" t="s">
        <v>1319</v>
      </c>
    </row>
    <row r="483" spans="2:65" s="93" customFormat="1" ht="16.5" customHeight="1">
      <c r="B483" s="270"/>
      <c r="C483" s="268" t="s">
        <v>1243</v>
      </c>
      <c r="D483" s="269" t="s">
        <v>116</v>
      </c>
      <c r="E483" s="271" t="s">
        <v>582</v>
      </c>
      <c r="F483" s="232" t="s">
        <v>583</v>
      </c>
      <c r="G483" s="233" t="s">
        <v>176</v>
      </c>
      <c r="H483" s="234">
        <v>168</v>
      </c>
      <c r="I483" s="69"/>
      <c r="J483" s="183">
        <f>ROUND(I483*H483,2)</f>
        <v>0</v>
      </c>
      <c r="K483" s="232" t="s">
        <v>154</v>
      </c>
      <c r="L483" s="270"/>
      <c r="M483" s="272" t="s">
        <v>1</v>
      </c>
      <c r="N483" s="273" t="s">
        <v>41</v>
      </c>
      <c r="O483" s="274"/>
      <c r="P483" s="275">
        <f>O483*H483</f>
        <v>0</v>
      </c>
      <c r="Q483" s="275">
        <v>0</v>
      </c>
      <c r="R483" s="275">
        <f>Q483*H483</f>
        <v>0</v>
      </c>
      <c r="S483" s="275">
        <v>0</v>
      </c>
      <c r="T483" s="276">
        <f>S483*H483</f>
        <v>0</v>
      </c>
      <c r="AR483" s="277" t="s">
        <v>119</v>
      </c>
      <c r="AT483" s="277" t="s">
        <v>116</v>
      </c>
      <c r="AU483" s="277" t="s">
        <v>76</v>
      </c>
      <c r="AY483" s="277" t="s">
        <v>114</v>
      </c>
      <c r="BE483" s="278">
        <f>IF(N483="základní",J483,0)</f>
        <v>0</v>
      </c>
      <c r="BF483" s="278">
        <f>IF(N483="snížená",J483,0)</f>
        <v>0</v>
      </c>
      <c r="BG483" s="278">
        <f>IF(N483="zákl. přenesená",J483,0)</f>
        <v>0</v>
      </c>
      <c r="BH483" s="278">
        <f>IF(N483="sníž. přenesená",J483,0)</f>
        <v>0</v>
      </c>
      <c r="BI483" s="278">
        <f>IF(N483="nulová",J483,0)</f>
        <v>0</v>
      </c>
      <c r="BJ483" s="277" t="s">
        <v>73</v>
      </c>
      <c r="BK483" s="278">
        <f>ROUND(I483*H483,2)</f>
        <v>0</v>
      </c>
      <c r="BL483" s="277" t="s">
        <v>119</v>
      </c>
      <c r="BM483" s="277" t="s">
        <v>584</v>
      </c>
    </row>
    <row r="484" spans="2:65" s="93" customFormat="1" ht="16.5" customHeight="1">
      <c r="B484" s="270"/>
      <c r="C484" s="269">
        <v>136</v>
      </c>
      <c r="D484" s="269" t="s">
        <v>116</v>
      </c>
      <c r="E484" s="271" t="s">
        <v>1321</v>
      </c>
      <c r="F484" s="232" t="s">
        <v>1322</v>
      </c>
      <c r="G484" s="233" t="s">
        <v>176</v>
      </c>
      <c r="H484" s="234">
        <f>H482</f>
        <v>113.5</v>
      </c>
      <c r="I484" s="69"/>
      <c r="J484" s="183">
        <f>ROUND(I484*H484,2)</f>
        <v>0</v>
      </c>
      <c r="K484" s="232" t="s">
        <v>154</v>
      </c>
      <c r="L484" s="270"/>
      <c r="M484" s="272" t="s">
        <v>1</v>
      </c>
      <c r="N484" s="273" t="s">
        <v>41</v>
      </c>
      <c r="O484" s="274"/>
      <c r="P484" s="275">
        <f>O484*H484</f>
        <v>0</v>
      </c>
      <c r="Q484" s="275">
        <v>0</v>
      </c>
      <c r="R484" s="275">
        <f>Q484*H484</f>
        <v>0</v>
      </c>
      <c r="S484" s="275">
        <v>0</v>
      </c>
      <c r="T484" s="276">
        <f>S484*H484</f>
        <v>0</v>
      </c>
      <c r="AR484" s="277" t="s">
        <v>119</v>
      </c>
      <c r="AT484" s="277" t="s">
        <v>116</v>
      </c>
      <c r="AU484" s="277" t="s">
        <v>76</v>
      </c>
      <c r="AY484" s="277" t="s">
        <v>114</v>
      </c>
      <c r="BE484" s="278">
        <f>IF(N484="základní",J484,0)</f>
        <v>0</v>
      </c>
      <c r="BF484" s="278">
        <f>IF(N484="snížená",J484,0)</f>
        <v>0</v>
      </c>
      <c r="BG484" s="278">
        <f>IF(N484="zákl. přenesená",J484,0)</f>
        <v>0</v>
      </c>
      <c r="BH484" s="278">
        <f>IF(N484="sníž. přenesená",J484,0)</f>
        <v>0</v>
      </c>
      <c r="BI484" s="278">
        <f>IF(N484="nulová",J484,0)</f>
        <v>0</v>
      </c>
      <c r="BJ484" s="277" t="s">
        <v>73</v>
      </c>
      <c r="BK484" s="278">
        <f>ROUND(I484*H484,2)</f>
        <v>0</v>
      </c>
      <c r="BL484" s="277" t="s">
        <v>119</v>
      </c>
      <c r="BM484" s="277" t="s">
        <v>1323</v>
      </c>
    </row>
    <row r="485" spans="2:65" s="93" customFormat="1" ht="16.5" customHeight="1">
      <c r="B485" s="270"/>
      <c r="C485" s="268" t="s">
        <v>1247</v>
      </c>
      <c r="D485" s="269" t="s">
        <v>116</v>
      </c>
      <c r="E485" s="271" t="s">
        <v>586</v>
      </c>
      <c r="F485" s="232" t="s">
        <v>587</v>
      </c>
      <c r="G485" s="233" t="s">
        <v>176</v>
      </c>
      <c r="H485" s="234">
        <f>H486</f>
        <v>281.5</v>
      </c>
      <c r="I485" s="69"/>
      <c r="J485" s="183">
        <f>ROUND(I485*H485,2)</f>
        <v>0</v>
      </c>
      <c r="K485" s="232" t="s">
        <v>1</v>
      </c>
      <c r="L485" s="270"/>
      <c r="M485" s="272" t="s">
        <v>1</v>
      </c>
      <c r="N485" s="273" t="s">
        <v>41</v>
      </c>
      <c r="O485" s="274"/>
      <c r="P485" s="275">
        <f>O485*H485</f>
        <v>0</v>
      </c>
      <c r="Q485" s="275">
        <v>0</v>
      </c>
      <c r="R485" s="275">
        <f>Q485*H485</f>
        <v>0</v>
      </c>
      <c r="S485" s="275">
        <v>0</v>
      </c>
      <c r="T485" s="276">
        <f>S485*H485</f>
        <v>0</v>
      </c>
      <c r="AR485" s="277" t="s">
        <v>119</v>
      </c>
      <c r="AT485" s="277" t="s">
        <v>116</v>
      </c>
      <c r="AU485" s="277" t="s">
        <v>76</v>
      </c>
      <c r="AY485" s="277" t="s">
        <v>114</v>
      </c>
      <c r="BE485" s="278">
        <f>IF(N485="základní",J485,0)</f>
        <v>0</v>
      </c>
      <c r="BF485" s="278">
        <f>IF(N485="snížená",J485,0)</f>
        <v>0</v>
      </c>
      <c r="BG485" s="278">
        <f>IF(N485="zákl. přenesená",J485,0)</f>
        <v>0</v>
      </c>
      <c r="BH485" s="278">
        <f>IF(N485="sníž. přenesená",J485,0)</f>
        <v>0</v>
      </c>
      <c r="BI485" s="278">
        <f>IF(N485="nulová",J485,0)</f>
        <v>0</v>
      </c>
      <c r="BJ485" s="277" t="s">
        <v>73</v>
      </c>
      <c r="BK485" s="278">
        <f>ROUND(I485*H485,2)</f>
        <v>0</v>
      </c>
      <c r="BL485" s="277" t="s">
        <v>119</v>
      </c>
      <c r="BM485" s="277" t="s">
        <v>589</v>
      </c>
    </row>
    <row r="486" spans="2:51" s="206" customFormat="1" ht="12">
      <c r="B486" s="279"/>
      <c r="C486" s="280"/>
      <c r="D486" s="281" t="s">
        <v>121</v>
      </c>
      <c r="E486" s="282" t="s">
        <v>1</v>
      </c>
      <c r="F486" s="205" t="s">
        <v>1508</v>
      </c>
      <c r="H486" s="207">
        <f>168+113.5</f>
        <v>281.5</v>
      </c>
      <c r="I486" s="70"/>
      <c r="L486" s="279"/>
      <c r="M486" s="283"/>
      <c r="N486" s="284"/>
      <c r="O486" s="284"/>
      <c r="P486" s="284"/>
      <c r="Q486" s="284"/>
      <c r="R486" s="284"/>
      <c r="S486" s="284"/>
      <c r="T486" s="285"/>
      <c r="AT486" s="282" t="s">
        <v>121</v>
      </c>
      <c r="AU486" s="282" t="s">
        <v>76</v>
      </c>
      <c r="AV486" s="206" t="s">
        <v>76</v>
      </c>
      <c r="AW486" s="206" t="s">
        <v>32</v>
      </c>
      <c r="AX486" s="206" t="s">
        <v>68</v>
      </c>
      <c r="AY486" s="282" t="s">
        <v>114</v>
      </c>
    </row>
    <row r="487" spans="2:65" s="93" customFormat="1" ht="16.5" customHeight="1">
      <c r="B487" s="270"/>
      <c r="C487" s="268" t="s">
        <v>1249</v>
      </c>
      <c r="D487" s="269" t="s">
        <v>116</v>
      </c>
      <c r="E487" s="271" t="s">
        <v>591</v>
      </c>
      <c r="F487" s="232" t="s">
        <v>592</v>
      </c>
      <c r="G487" s="233" t="s">
        <v>358</v>
      </c>
      <c r="H487" s="234">
        <v>1</v>
      </c>
      <c r="I487" s="69"/>
      <c r="J487" s="183">
        <f>ROUND(I487*H487,2)</f>
        <v>0</v>
      </c>
      <c r="K487" s="232" t="s">
        <v>1</v>
      </c>
      <c r="L487" s="270"/>
      <c r="M487" s="272" t="s">
        <v>1</v>
      </c>
      <c r="N487" s="273" t="s">
        <v>41</v>
      </c>
      <c r="O487" s="274"/>
      <c r="P487" s="275">
        <f>O487*H487</f>
        <v>0</v>
      </c>
      <c r="Q487" s="275">
        <v>21.74216</v>
      </c>
      <c r="R487" s="275">
        <f>Q487*H487</f>
        <v>21.74216</v>
      </c>
      <c r="S487" s="275">
        <v>0</v>
      </c>
      <c r="T487" s="276">
        <f>S487*H487</f>
        <v>0</v>
      </c>
      <c r="AR487" s="277" t="s">
        <v>119</v>
      </c>
      <c r="AT487" s="277" t="s">
        <v>116</v>
      </c>
      <c r="AU487" s="277" t="s">
        <v>76</v>
      </c>
      <c r="AY487" s="277" t="s">
        <v>114</v>
      </c>
      <c r="BE487" s="278">
        <f>IF(N487="základní",J487,0)</f>
        <v>0</v>
      </c>
      <c r="BF487" s="278">
        <f>IF(N487="snížená",J487,0)</f>
        <v>0</v>
      </c>
      <c r="BG487" s="278">
        <f>IF(N487="zákl. přenesená",J487,0)</f>
        <v>0</v>
      </c>
      <c r="BH487" s="278">
        <f>IF(N487="sníž. přenesená",J487,0)</f>
        <v>0</v>
      </c>
      <c r="BI487" s="278">
        <f>IF(N487="nulová",J487,0)</f>
        <v>0</v>
      </c>
      <c r="BJ487" s="277" t="s">
        <v>73</v>
      </c>
      <c r="BK487" s="278">
        <f>ROUND(I487*H487,2)</f>
        <v>0</v>
      </c>
      <c r="BL487" s="277" t="s">
        <v>119</v>
      </c>
      <c r="BM487" s="277" t="s">
        <v>593</v>
      </c>
    </row>
    <row r="488" spans="2:51" s="196" customFormat="1" ht="12">
      <c r="B488" s="286"/>
      <c r="C488" s="287"/>
      <c r="D488" s="281" t="s">
        <v>121</v>
      </c>
      <c r="E488" s="197" t="s">
        <v>1</v>
      </c>
      <c r="F488" s="195" t="s">
        <v>594</v>
      </c>
      <c r="H488" s="197" t="s">
        <v>1</v>
      </c>
      <c r="I488" s="71"/>
      <c r="L488" s="286"/>
      <c r="M488" s="288"/>
      <c r="N488" s="289"/>
      <c r="O488" s="289"/>
      <c r="P488" s="289"/>
      <c r="Q488" s="289"/>
      <c r="R488" s="289"/>
      <c r="S488" s="289"/>
      <c r="T488" s="290"/>
      <c r="AT488" s="197" t="s">
        <v>121</v>
      </c>
      <c r="AU488" s="197" t="s">
        <v>76</v>
      </c>
      <c r="AV488" s="196" t="s">
        <v>73</v>
      </c>
      <c r="AW488" s="196" t="s">
        <v>32</v>
      </c>
      <c r="AX488" s="196" t="s">
        <v>68</v>
      </c>
      <c r="AY488" s="197" t="s">
        <v>114</v>
      </c>
    </row>
    <row r="489" spans="2:51" s="196" customFormat="1" ht="12">
      <c r="B489" s="286"/>
      <c r="C489" s="287"/>
      <c r="D489" s="281" t="s">
        <v>121</v>
      </c>
      <c r="E489" s="197" t="s">
        <v>1</v>
      </c>
      <c r="F489" s="195" t="s">
        <v>595</v>
      </c>
      <c r="H489" s="197" t="s">
        <v>1</v>
      </c>
      <c r="I489" s="71"/>
      <c r="L489" s="286"/>
      <c r="M489" s="288"/>
      <c r="N489" s="289"/>
      <c r="O489" s="289"/>
      <c r="P489" s="289"/>
      <c r="Q489" s="289"/>
      <c r="R489" s="289"/>
      <c r="S489" s="289"/>
      <c r="T489" s="290"/>
      <c r="AT489" s="197" t="s">
        <v>121</v>
      </c>
      <c r="AU489" s="197" t="s">
        <v>76</v>
      </c>
      <c r="AV489" s="196" t="s">
        <v>73</v>
      </c>
      <c r="AW489" s="196" t="s">
        <v>32</v>
      </c>
      <c r="AX489" s="196" t="s">
        <v>68</v>
      </c>
      <c r="AY489" s="197" t="s">
        <v>114</v>
      </c>
    </row>
    <row r="490" spans="2:51" s="196" customFormat="1" ht="12">
      <c r="B490" s="286"/>
      <c r="C490" s="287"/>
      <c r="D490" s="281" t="s">
        <v>121</v>
      </c>
      <c r="E490" s="197" t="s">
        <v>1</v>
      </c>
      <c r="F490" s="195" t="s">
        <v>596</v>
      </c>
      <c r="H490" s="197" t="s">
        <v>1</v>
      </c>
      <c r="I490" s="71"/>
      <c r="L490" s="286"/>
      <c r="M490" s="288"/>
      <c r="N490" s="289"/>
      <c r="O490" s="289"/>
      <c r="P490" s="289"/>
      <c r="Q490" s="289"/>
      <c r="R490" s="289"/>
      <c r="S490" s="289"/>
      <c r="T490" s="290"/>
      <c r="AT490" s="197" t="s">
        <v>121</v>
      </c>
      <c r="AU490" s="197" t="s">
        <v>76</v>
      </c>
      <c r="AV490" s="196" t="s">
        <v>73</v>
      </c>
      <c r="AW490" s="196" t="s">
        <v>32</v>
      </c>
      <c r="AX490" s="196" t="s">
        <v>68</v>
      </c>
      <c r="AY490" s="197" t="s">
        <v>114</v>
      </c>
    </row>
    <row r="491" spans="2:51" s="196" customFormat="1" ht="12">
      <c r="B491" s="286"/>
      <c r="C491" s="287"/>
      <c r="D491" s="281" t="s">
        <v>121</v>
      </c>
      <c r="E491" s="197" t="s">
        <v>1</v>
      </c>
      <c r="F491" s="195" t="s">
        <v>597</v>
      </c>
      <c r="H491" s="197" t="s">
        <v>1</v>
      </c>
      <c r="I491" s="71"/>
      <c r="L491" s="286"/>
      <c r="M491" s="288"/>
      <c r="N491" s="289"/>
      <c r="O491" s="289"/>
      <c r="P491" s="289"/>
      <c r="Q491" s="289"/>
      <c r="R491" s="289"/>
      <c r="S491" s="289"/>
      <c r="T491" s="290"/>
      <c r="AT491" s="197" t="s">
        <v>121</v>
      </c>
      <c r="AU491" s="197" t="s">
        <v>76</v>
      </c>
      <c r="AV491" s="196" t="s">
        <v>73</v>
      </c>
      <c r="AW491" s="196" t="s">
        <v>32</v>
      </c>
      <c r="AX491" s="196" t="s">
        <v>68</v>
      </c>
      <c r="AY491" s="197" t="s">
        <v>114</v>
      </c>
    </row>
    <row r="492" spans="2:51" s="196" customFormat="1" ht="12">
      <c r="B492" s="286"/>
      <c r="C492" s="287"/>
      <c r="D492" s="281" t="s">
        <v>121</v>
      </c>
      <c r="E492" s="197" t="s">
        <v>1</v>
      </c>
      <c r="F492" s="195" t="s">
        <v>598</v>
      </c>
      <c r="H492" s="197" t="s">
        <v>1</v>
      </c>
      <c r="I492" s="71"/>
      <c r="L492" s="286"/>
      <c r="M492" s="288"/>
      <c r="N492" s="289"/>
      <c r="O492" s="289"/>
      <c r="P492" s="289"/>
      <c r="Q492" s="289"/>
      <c r="R492" s="289"/>
      <c r="S492" s="289"/>
      <c r="T492" s="290"/>
      <c r="AT492" s="197" t="s">
        <v>121</v>
      </c>
      <c r="AU492" s="197" t="s">
        <v>76</v>
      </c>
      <c r="AV492" s="196" t="s">
        <v>73</v>
      </c>
      <c r="AW492" s="196" t="s">
        <v>32</v>
      </c>
      <c r="AX492" s="196" t="s">
        <v>68</v>
      </c>
      <c r="AY492" s="197" t="s">
        <v>114</v>
      </c>
    </row>
    <row r="493" spans="2:51" s="206" customFormat="1" ht="12">
      <c r="B493" s="279"/>
      <c r="C493" s="280"/>
      <c r="D493" s="281" t="s">
        <v>121</v>
      </c>
      <c r="E493" s="282" t="s">
        <v>1</v>
      </c>
      <c r="F493" s="205" t="s">
        <v>73</v>
      </c>
      <c r="H493" s="207">
        <v>1</v>
      </c>
      <c r="I493" s="70"/>
      <c r="L493" s="279"/>
      <c r="M493" s="283"/>
      <c r="N493" s="284"/>
      <c r="O493" s="284"/>
      <c r="P493" s="284"/>
      <c r="Q493" s="284"/>
      <c r="R493" s="284"/>
      <c r="S493" s="284"/>
      <c r="T493" s="285"/>
      <c r="AT493" s="282" t="s">
        <v>121</v>
      </c>
      <c r="AU493" s="282" t="s">
        <v>76</v>
      </c>
      <c r="AV493" s="206" t="s">
        <v>76</v>
      </c>
      <c r="AW493" s="206" t="s">
        <v>32</v>
      </c>
      <c r="AX493" s="206" t="s">
        <v>68</v>
      </c>
      <c r="AY493" s="282" t="s">
        <v>114</v>
      </c>
    </row>
    <row r="494" spans="2:51" s="226" customFormat="1" ht="12">
      <c r="B494" s="291"/>
      <c r="C494" s="292"/>
      <c r="D494" s="281" t="s">
        <v>121</v>
      </c>
      <c r="E494" s="293" t="s">
        <v>1</v>
      </c>
      <c r="F494" s="225" t="s">
        <v>150</v>
      </c>
      <c r="H494" s="227">
        <v>1</v>
      </c>
      <c r="I494" s="72"/>
      <c r="L494" s="291"/>
      <c r="M494" s="294"/>
      <c r="N494" s="295"/>
      <c r="O494" s="295"/>
      <c r="P494" s="295"/>
      <c r="Q494" s="295"/>
      <c r="R494" s="295"/>
      <c r="S494" s="295"/>
      <c r="T494" s="296"/>
      <c r="AT494" s="293" t="s">
        <v>121</v>
      </c>
      <c r="AU494" s="293" t="s">
        <v>76</v>
      </c>
      <c r="AV494" s="226" t="s">
        <v>119</v>
      </c>
      <c r="AW494" s="226" t="s">
        <v>32</v>
      </c>
      <c r="AX494" s="226" t="s">
        <v>73</v>
      </c>
      <c r="AY494" s="293" t="s">
        <v>114</v>
      </c>
    </row>
    <row r="495" spans="2:65" s="93" customFormat="1" ht="16.5" customHeight="1">
      <c r="B495" s="270"/>
      <c r="C495" s="268" t="s">
        <v>1251</v>
      </c>
      <c r="D495" s="269" t="s">
        <v>116</v>
      </c>
      <c r="E495" s="271" t="s">
        <v>600</v>
      </c>
      <c r="F495" s="232" t="s">
        <v>601</v>
      </c>
      <c r="G495" s="233" t="s">
        <v>492</v>
      </c>
      <c r="H495" s="234">
        <v>1</v>
      </c>
      <c r="I495" s="69"/>
      <c r="J495" s="183">
        <f>ROUND(I495*H495,2)</f>
        <v>0</v>
      </c>
      <c r="K495" s="232" t="s">
        <v>1</v>
      </c>
      <c r="L495" s="270"/>
      <c r="M495" s="272" t="s">
        <v>1</v>
      </c>
      <c r="N495" s="273" t="s">
        <v>41</v>
      </c>
      <c r="O495" s="274"/>
      <c r="P495" s="275">
        <f>O495*H495</f>
        <v>0</v>
      </c>
      <c r="Q495" s="275">
        <v>0</v>
      </c>
      <c r="R495" s="275">
        <f>Q495*H495</f>
        <v>0</v>
      </c>
      <c r="S495" s="275">
        <v>0</v>
      </c>
      <c r="T495" s="276">
        <f>S495*H495</f>
        <v>0</v>
      </c>
      <c r="AR495" s="277" t="s">
        <v>119</v>
      </c>
      <c r="AT495" s="277" t="s">
        <v>116</v>
      </c>
      <c r="AU495" s="277" t="s">
        <v>76</v>
      </c>
      <c r="AY495" s="277" t="s">
        <v>114</v>
      </c>
      <c r="BE495" s="278">
        <f>IF(N495="základní",J495,0)</f>
        <v>0</v>
      </c>
      <c r="BF495" s="278">
        <f>IF(N495="snížená",J495,0)</f>
        <v>0</v>
      </c>
      <c r="BG495" s="278">
        <f>IF(N495="zákl. přenesená",J495,0)</f>
        <v>0</v>
      </c>
      <c r="BH495" s="278">
        <f>IF(N495="sníž. přenesená",J495,0)</f>
        <v>0</v>
      </c>
      <c r="BI495" s="278">
        <f>IF(N495="nulová",J495,0)</f>
        <v>0</v>
      </c>
      <c r="BJ495" s="277" t="s">
        <v>73</v>
      </c>
      <c r="BK495" s="278">
        <f>ROUND(I495*H495,2)</f>
        <v>0</v>
      </c>
      <c r="BL495" s="277" t="s">
        <v>119</v>
      </c>
      <c r="BM495" s="277" t="s">
        <v>602</v>
      </c>
    </row>
    <row r="496" spans="2:65" s="92" customFormat="1" ht="16.5" customHeight="1">
      <c r="B496" s="90"/>
      <c r="C496" s="177" t="s">
        <v>1253</v>
      </c>
      <c r="D496" s="178" t="s">
        <v>116</v>
      </c>
      <c r="E496" s="179" t="s">
        <v>604</v>
      </c>
      <c r="F496" s="232" t="s">
        <v>605</v>
      </c>
      <c r="G496" s="181" t="s">
        <v>358</v>
      </c>
      <c r="H496" s="182">
        <f>H497</f>
        <v>9</v>
      </c>
      <c r="I496" s="69"/>
      <c r="J496" s="184">
        <f>ROUND(I496*H496,2)</f>
        <v>0</v>
      </c>
      <c r="K496" s="180" t="s">
        <v>154</v>
      </c>
      <c r="L496" s="90"/>
      <c r="M496" s="185" t="s">
        <v>1</v>
      </c>
      <c r="N496" s="186" t="s">
        <v>41</v>
      </c>
      <c r="O496" s="187"/>
      <c r="P496" s="188">
        <f>O496*H496</f>
        <v>0</v>
      </c>
      <c r="Q496" s="188">
        <v>0.12303</v>
      </c>
      <c r="R496" s="188">
        <f>Q496*H496</f>
        <v>1.10727</v>
      </c>
      <c r="S496" s="188">
        <v>0</v>
      </c>
      <c r="T496" s="189">
        <f>S496*H496</f>
        <v>0</v>
      </c>
      <c r="AR496" s="81" t="s">
        <v>119</v>
      </c>
      <c r="AT496" s="81" t="s">
        <v>116</v>
      </c>
      <c r="AU496" s="81" t="s">
        <v>76</v>
      </c>
      <c r="AY496" s="81" t="s">
        <v>114</v>
      </c>
      <c r="BE496" s="190">
        <f>IF(N496="základní",J496,0)</f>
        <v>0</v>
      </c>
      <c r="BF496" s="190">
        <f>IF(N496="snížená",J496,0)</f>
        <v>0</v>
      </c>
      <c r="BG496" s="190">
        <f>IF(N496="zákl. přenesená",J496,0)</f>
        <v>0</v>
      </c>
      <c r="BH496" s="190">
        <f>IF(N496="sníž. přenesená",J496,0)</f>
        <v>0</v>
      </c>
      <c r="BI496" s="190">
        <f>IF(N496="nulová",J496,0)</f>
        <v>0</v>
      </c>
      <c r="BJ496" s="81" t="s">
        <v>73</v>
      </c>
      <c r="BK496" s="190">
        <f>ROUND(I496*H496,2)</f>
        <v>0</v>
      </c>
      <c r="BL496" s="81" t="s">
        <v>119</v>
      </c>
      <c r="BM496" s="81" t="s">
        <v>606</v>
      </c>
    </row>
    <row r="497" spans="2:65" s="92" customFormat="1" ht="16.5" customHeight="1">
      <c r="B497" s="90"/>
      <c r="C497" s="257" t="s">
        <v>1257</v>
      </c>
      <c r="D497" s="247" t="s">
        <v>319</v>
      </c>
      <c r="E497" s="248" t="s">
        <v>608</v>
      </c>
      <c r="F497" s="267" t="s">
        <v>609</v>
      </c>
      <c r="G497" s="262" t="s">
        <v>358</v>
      </c>
      <c r="H497" s="263">
        <f>7+2</f>
        <v>9</v>
      </c>
      <c r="I497" s="76"/>
      <c r="J497" s="252">
        <f>ROUND(I497*H497,2)</f>
        <v>0</v>
      </c>
      <c r="K497" s="253" t="s">
        <v>1</v>
      </c>
      <c r="L497" s="254"/>
      <c r="M497" s="255" t="s">
        <v>1</v>
      </c>
      <c r="N497" s="256" t="s">
        <v>41</v>
      </c>
      <c r="O497" s="187"/>
      <c r="P497" s="188">
        <f>O497*H497</f>
        <v>0</v>
      </c>
      <c r="Q497" s="188">
        <v>0.0069</v>
      </c>
      <c r="R497" s="188">
        <f>Q497*H497</f>
        <v>0.0621</v>
      </c>
      <c r="S497" s="188">
        <v>0</v>
      </c>
      <c r="T497" s="189">
        <f>S497*H497</f>
        <v>0</v>
      </c>
      <c r="AR497" s="81" t="s">
        <v>183</v>
      </c>
      <c r="AT497" s="81" t="s">
        <v>319</v>
      </c>
      <c r="AU497" s="81" t="s">
        <v>76</v>
      </c>
      <c r="AY497" s="81" t="s">
        <v>114</v>
      </c>
      <c r="BE497" s="190">
        <f>IF(N497="základní",J497,0)</f>
        <v>0</v>
      </c>
      <c r="BF497" s="190">
        <f>IF(N497="snížená",J497,0)</f>
        <v>0</v>
      </c>
      <c r="BG497" s="190">
        <f>IF(N497="zákl. přenesená",J497,0)</f>
        <v>0</v>
      </c>
      <c r="BH497" s="190">
        <f>IF(N497="sníž. přenesená",J497,0)</f>
        <v>0</v>
      </c>
      <c r="BI497" s="190">
        <f>IF(N497="nulová",J497,0)</f>
        <v>0</v>
      </c>
      <c r="BJ497" s="81" t="s">
        <v>73</v>
      </c>
      <c r="BK497" s="190">
        <f>ROUND(I497*H497,2)</f>
        <v>0</v>
      </c>
      <c r="BL497" s="81" t="s">
        <v>119</v>
      </c>
      <c r="BM497" s="81" t="s">
        <v>610</v>
      </c>
    </row>
    <row r="498" spans="2:65" s="92" customFormat="1" ht="16.5" customHeight="1">
      <c r="B498" s="90"/>
      <c r="C498" s="257"/>
      <c r="D498" s="247"/>
      <c r="E498" s="248"/>
      <c r="F498" s="249" t="s">
        <v>1502</v>
      </c>
      <c r="G498" s="262"/>
      <c r="H498" s="263"/>
      <c r="I498" s="76"/>
      <c r="J498" s="252"/>
      <c r="K498" s="253"/>
      <c r="L498" s="254"/>
      <c r="M498" s="255"/>
      <c r="N498" s="256"/>
      <c r="O498" s="187"/>
      <c r="P498" s="188"/>
      <c r="Q498" s="188"/>
      <c r="R498" s="188"/>
      <c r="S498" s="188"/>
      <c r="T498" s="189"/>
      <c r="AR498" s="81"/>
      <c r="AT498" s="81"/>
      <c r="AU498" s="81"/>
      <c r="AY498" s="81"/>
      <c r="BE498" s="190"/>
      <c r="BF498" s="190"/>
      <c r="BG498" s="190"/>
      <c r="BH498" s="190"/>
      <c r="BI498" s="190"/>
      <c r="BJ498" s="81"/>
      <c r="BK498" s="190"/>
      <c r="BL498" s="81"/>
      <c r="BM498" s="81"/>
    </row>
    <row r="499" spans="2:65" s="92" customFormat="1" ht="16.5" customHeight="1">
      <c r="B499" s="90"/>
      <c r="C499" s="177" t="s">
        <v>1261</v>
      </c>
      <c r="D499" s="178" t="s">
        <v>116</v>
      </c>
      <c r="E499" s="179" t="s">
        <v>612</v>
      </c>
      <c r="F499" s="232" t="s">
        <v>613</v>
      </c>
      <c r="G499" s="181" t="s">
        <v>358</v>
      </c>
      <c r="H499" s="182">
        <v>4</v>
      </c>
      <c r="I499" s="69"/>
      <c r="J499" s="184">
        <f>ROUND(I499*H499,2)</f>
        <v>0</v>
      </c>
      <c r="K499" s="180" t="s">
        <v>1</v>
      </c>
      <c r="L499" s="90"/>
      <c r="M499" s="185" t="s">
        <v>1</v>
      </c>
      <c r="N499" s="186" t="s">
        <v>41</v>
      </c>
      <c r="O499" s="187"/>
      <c r="P499" s="188">
        <f>O499*H499</f>
        <v>0</v>
      </c>
      <c r="Q499" s="188">
        <v>0</v>
      </c>
      <c r="R499" s="188">
        <f>Q499*H499</f>
        <v>0</v>
      </c>
      <c r="S499" s="188">
        <v>0</v>
      </c>
      <c r="T499" s="189">
        <f>S499*H499</f>
        <v>0</v>
      </c>
      <c r="AR499" s="81" t="s">
        <v>119</v>
      </c>
      <c r="AT499" s="81" t="s">
        <v>116</v>
      </c>
      <c r="AU499" s="81" t="s">
        <v>76</v>
      </c>
      <c r="AY499" s="81" t="s">
        <v>114</v>
      </c>
      <c r="BE499" s="190">
        <f>IF(N499="základní",J499,0)</f>
        <v>0</v>
      </c>
      <c r="BF499" s="190">
        <f>IF(N499="snížená",J499,0)</f>
        <v>0</v>
      </c>
      <c r="BG499" s="190">
        <f>IF(N499="zákl. přenesená",J499,0)</f>
        <v>0</v>
      </c>
      <c r="BH499" s="190">
        <f>IF(N499="sníž. přenesená",J499,0)</f>
        <v>0</v>
      </c>
      <c r="BI499" s="190">
        <f>IF(N499="nulová",J499,0)</f>
        <v>0</v>
      </c>
      <c r="BJ499" s="81" t="s">
        <v>73</v>
      </c>
      <c r="BK499" s="190">
        <f>ROUND(I499*H499,2)</f>
        <v>0</v>
      </c>
      <c r="BL499" s="81" t="s">
        <v>119</v>
      </c>
      <c r="BM499" s="81" t="s">
        <v>614</v>
      </c>
    </row>
    <row r="500" spans="2:65" s="92" customFormat="1" ht="16.5" customHeight="1">
      <c r="B500" s="90"/>
      <c r="C500" s="177" t="s">
        <v>1265</v>
      </c>
      <c r="D500" s="178" t="s">
        <v>116</v>
      </c>
      <c r="E500" s="179" t="s">
        <v>615</v>
      </c>
      <c r="F500" s="232" t="s">
        <v>616</v>
      </c>
      <c r="G500" s="181" t="s">
        <v>358</v>
      </c>
      <c r="H500" s="182">
        <v>2</v>
      </c>
      <c r="I500" s="69"/>
      <c r="J500" s="184">
        <f>ROUND(I500*H500,2)</f>
        <v>0</v>
      </c>
      <c r="K500" s="180" t="s">
        <v>154</v>
      </c>
      <c r="L500" s="90"/>
      <c r="M500" s="185" t="s">
        <v>1</v>
      </c>
      <c r="N500" s="186" t="s">
        <v>41</v>
      </c>
      <c r="O500" s="187"/>
      <c r="P500" s="188">
        <f>O500*H500</f>
        <v>0</v>
      </c>
      <c r="Q500" s="188">
        <v>0.32906</v>
      </c>
      <c r="R500" s="188">
        <f>Q500*H500</f>
        <v>0.65812</v>
      </c>
      <c r="S500" s="188">
        <v>0</v>
      </c>
      <c r="T500" s="189">
        <f>S500*H500</f>
        <v>0</v>
      </c>
      <c r="AR500" s="81" t="s">
        <v>119</v>
      </c>
      <c r="AT500" s="81" t="s">
        <v>116</v>
      </c>
      <c r="AU500" s="81" t="s">
        <v>76</v>
      </c>
      <c r="AY500" s="81" t="s">
        <v>114</v>
      </c>
      <c r="BE500" s="190">
        <f>IF(N500="základní",J500,0)</f>
        <v>0</v>
      </c>
      <c r="BF500" s="190">
        <f>IF(N500="snížená",J500,0)</f>
        <v>0</v>
      </c>
      <c r="BG500" s="190">
        <f>IF(N500="zákl. přenesená",J500,0)</f>
        <v>0</v>
      </c>
      <c r="BH500" s="190">
        <f>IF(N500="sníž. přenesená",J500,0)</f>
        <v>0</v>
      </c>
      <c r="BI500" s="190">
        <f>IF(N500="nulová",J500,0)</f>
        <v>0</v>
      </c>
      <c r="BJ500" s="81" t="s">
        <v>73</v>
      </c>
      <c r="BK500" s="190">
        <f>ROUND(I500*H500,2)</f>
        <v>0</v>
      </c>
      <c r="BL500" s="81" t="s">
        <v>119</v>
      </c>
      <c r="BM500" s="81" t="s">
        <v>617</v>
      </c>
    </row>
    <row r="501" spans="2:65" s="92" customFormat="1" ht="16.5" customHeight="1">
      <c r="B501" s="90"/>
      <c r="C501" s="257" t="s">
        <v>1269</v>
      </c>
      <c r="D501" s="247" t="s">
        <v>319</v>
      </c>
      <c r="E501" s="248" t="s">
        <v>619</v>
      </c>
      <c r="F501" s="249" t="s">
        <v>620</v>
      </c>
      <c r="G501" s="262" t="s">
        <v>358</v>
      </c>
      <c r="H501" s="263">
        <v>2</v>
      </c>
      <c r="I501" s="76"/>
      <c r="J501" s="252">
        <f>ROUND(I501*H501,2)</f>
        <v>0</v>
      </c>
      <c r="K501" s="253" t="s">
        <v>154</v>
      </c>
      <c r="L501" s="254"/>
      <c r="M501" s="255" t="s">
        <v>1</v>
      </c>
      <c r="N501" s="256" t="s">
        <v>41</v>
      </c>
      <c r="O501" s="187"/>
      <c r="P501" s="188">
        <f>O501*H501</f>
        <v>0</v>
      </c>
      <c r="Q501" s="188">
        <v>0.0295</v>
      </c>
      <c r="R501" s="188">
        <f>Q501*H501</f>
        <v>0.059</v>
      </c>
      <c r="S501" s="188">
        <v>0</v>
      </c>
      <c r="T501" s="189">
        <f>S501*H501</f>
        <v>0</v>
      </c>
      <c r="AR501" s="81" t="s">
        <v>183</v>
      </c>
      <c r="AT501" s="81" t="s">
        <v>319</v>
      </c>
      <c r="AU501" s="81" t="s">
        <v>76</v>
      </c>
      <c r="AY501" s="81" t="s">
        <v>114</v>
      </c>
      <c r="BE501" s="190">
        <f>IF(N501="základní",J501,0)</f>
        <v>0</v>
      </c>
      <c r="BF501" s="190">
        <f>IF(N501="snížená",J501,0)</f>
        <v>0</v>
      </c>
      <c r="BG501" s="190">
        <f>IF(N501="zákl. přenesená",J501,0)</f>
        <v>0</v>
      </c>
      <c r="BH501" s="190">
        <f>IF(N501="sníž. přenesená",J501,0)</f>
        <v>0</v>
      </c>
      <c r="BI501" s="190">
        <f>IF(N501="nulová",J501,0)</f>
        <v>0</v>
      </c>
      <c r="BJ501" s="81" t="s">
        <v>73</v>
      </c>
      <c r="BK501" s="190">
        <f>ROUND(I501*H501,2)</f>
        <v>0</v>
      </c>
      <c r="BL501" s="81" t="s">
        <v>119</v>
      </c>
      <c r="BM501" s="81" t="s">
        <v>621</v>
      </c>
    </row>
    <row r="502" spans="2:65" s="92" customFormat="1" ht="16.5" customHeight="1">
      <c r="B502" s="90"/>
      <c r="C502" s="257" t="s">
        <v>1273</v>
      </c>
      <c r="D502" s="247" t="s">
        <v>319</v>
      </c>
      <c r="E502" s="248" t="s">
        <v>623</v>
      </c>
      <c r="F502" s="249" t="s">
        <v>624</v>
      </c>
      <c r="G502" s="262" t="s">
        <v>358</v>
      </c>
      <c r="H502" s="263">
        <v>2</v>
      </c>
      <c r="I502" s="76"/>
      <c r="J502" s="252">
        <f>ROUND(I502*H502,2)</f>
        <v>0</v>
      </c>
      <c r="K502" s="253" t="s">
        <v>154</v>
      </c>
      <c r="L502" s="254"/>
      <c r="M502" s="255" t="s">
        <v>1</v>
      </c>
      <c r="N502" s="256" t="s">
        <v>41</v>
      </c>
      <c r="O502" s="187"/>
      <c r="P502" s="188">
        <f>O502*H502</f>
        <v>0</v>
      </c>
      <c r="Q502" s="188">
        <v>0.0019</v>
      </c>
      <c r="R502" s="188">
        <f>Q502*H502</f>
        <v>0.0038</v>
      </c>
      <c r="S502" s="188">
        <v>0</v>
      </c>
      <c r="T502" s="189">
        <f>S502*H502</f>
        <v>0</v>
      </c>
      <c r="AR502" s="81" t="s">
        <v>183</v>
      </c>
      <c r="AT502" s="81" t="s">
        <v>319</v>
      </c>
      <c r="AU502" s="81" t="s">
        <v>76</v>
      </c>
      <c r="AY502" s="81" t="s">
        <v>114</v>
      </c>
      <c r="BE502" s="190">
        <f>IF(N502="základní",J502,0)</f>
        <v>0</v>
      </c>
      <c r="BF502" s="190">
        <f>IF(N502="snížená",J502,0)</f>
        <v>0</v>
      </c>
      <c r="BG502" s="190">
        <f>IF(N502="zákl. přenesená",J502,0)</f>
        <v>0</v>
      </c>
      <c r="BH502" s="190">
        <f>IF(N502="sníž. přenesená",J502,0)</f>
        <v>0</v>
      </c>
      <c r="BI502" s="190">
        <f>IF(N502="nulová",J502,0)</f>
        <v>0</v>
      </c>
      <c r="BJ502" s="81" t="s">
        <v>73</v>
      </c>
      <c r="BK502" s="190">
        <f>ROUND(I502*H502,2)</f>
        <v>0</v>
      </c>
      <c r="BL502" s="81" t="s">
        <v>119</v>
      </c>
      <c r="BM502" s="81" t="s">
        <v>625</v>
      </c>
    </row>
    <row r="503" spans="2:65" s="92" customFormat="1" ht="16.5" customHeight="1">
      <c r="B503" s="90"/>
      <c r="C503" s="177" t="s">
        <v>1277</v>
      </c>
      <c r="D503" s="178" t="s">
        <v>116</v>
      </c>
      <c r="E503" s="179" t="s">
        <v>627</v>
      </c>
      <c r="F503" s="232" t="s">
        <v>628</v>
      </c>
      <c r="G503" s="181" t="s">
        <v>176</v>
      </c>
      <c r="H503" s="182">
        <f>H505</f>
        <v>295.575</v>
      </c>
      <c r="I503" s="69"/>
      <c r="J503" s="184">
        <f>ROUND(I503*H503,2)</f>
        <v>0</v>
      </c>
      <c r="K503" s="180" t="s">
        <v>154</v>
      </c>
      <c r="L503" s="90"/>
      <c r="M503" s="185" t="s">
        <v>1</v>
      </c>
      <c r="N503" s="186" t="s">
        <v>41</v>
      </c>
      <c r="O503" s="187"/>
      <c r="P503" s="188">
        <f>O503*H503</f>
        <v>0</v>
      </c>
      <c r="Q503" s="188">
        <v>0.00019</v>
      </c>
      <c r="R503" s="188">
        <f>Q503*H503</f>
        <v>0.05615925</v>
      </c>
      <c r="S503" s="188">
        <v>0</v>
      </c>
      <c r="T503" s="189">
        <f>S503*H503</f>
        <v>0</v>
      </c>
      <c r="AR503" s="81" t="s">
        <v>119</v>
      </c>
      <c r="AT503" s="81" t="s">
        <v>116</v>
      </c>
      <c r="AU503" s="81" t="s">
        <v>76</v>
      </c>
      <c r="AY503" s="81" t="s">
        <v>114</v>
      </c>
      <c r="BE503" s="190">
        <f>IF(N503="základní",J503,0)</f>
        <v>0</v>
      </c>
      <c r="BF503" s="190">
        <f>IF(N503="snížená",J503,0)</f>
        <v>0</v>
      </c>
      <c r="BG503" s="190">
        <f>IF(N503="zákl. přenesená",J503,0)</f>
        <v>0</v>
      </c>
      <c r="BH503" s="190">
        <f>IF(N503="sníž. přenesená",J503,0)</f>
        <v>0</v>
      </c>
      <c r="BI503" s="190">
        <f>IF(N503="nulová",J503,0)</f>
        <v>0</v>
      </c>
      <c r="BJ503" s="81" t="s">
        <v>73</v>
      </c>
      <c r="BK503" s="190">
        <f>ROUND(I503*H503,2)</f>
        <v>0</v>
      </c>
      <c r="BL503" s="81" t="s">
        <v>119</v>
      </c>
      <c r="BM503" s="81" t="s">
        <v>629</v>
      </c>
    </row>
    <row r="504" spans="2:51" s="208" customFormat="1" ht="12">
      <c r="B504" s="202"/>
      <c r="C504" s="203"/>
      <c r="D504" s="193" t="s">
        <v>121</v>
      </c>
      <c r="E504" s="204" t="s">
        <v>1</v>
      </c>
      <c r="F504" s="205" t="s">
        <v>1511</v>
      </c>
      <c r="H504" s="261">
        <f>(168+38+75.5)*1.05</f>
        <v>295.575</v>
      </c>
      <c r="I504" s="70"/>
      <c r="L504" s="202"/>
      <c r="M504" s="209"/>
      <c r="N504" s="210"/>
      <c r="O504" s="210"/>
      <c r="P504" s="210"/>
      <c r="Q504" s="210"/>
      <c r="R504" s="210"/>
      <c r="S504" s="210"/>
      <c r="T504" s="211"/>
      <c r="AT504" s="204" t="s">
        <v>121</v>
      </c>
      <c r="AU504" s="204" t="s">
        <v>76</v>
      </c>
      <c r="AV504" s="208" t="s">
        <v>76</v>
      </c>
      <c r="AW504" s="208" t="s">
        <v>32</v>
      </c>
      <c r="AX504" s="208" t="s">
        <v>68</v>
      </c>
      <c r="AY504" s="204" t="s">
        <v>114</v>
      </c>
    </row>
    <row r="505" spans="2:51" s="228" customFormat="1" ht="12">
      <c r="B505" s="222"/>
      <c r="C505" s="223"/>
      <c r="D505" s="193" t="s">
        <v>121</v>
      </c>
      <c r="E505" s="224" t="s">
        <v>1</v>
      </c>
      <c r="F505" s="225" t="s">
        <v>150</v>
      </c>
      <c r="H505" s="264">
        <f>H504</f>
        <v>295.575</v>
      </c>
      <c r="I505" s="72"/>
      <c r="L505" s="222"/>
      <c r="M505" s="229"/>
      <c r="N505" s="230"/>
      <c r="O505" s="230"/>
      <c r="P505" s="230"/>
      <c r="Q505" s="230"/>
      <c r="R505" s="230"/>
      <c r="S505" s="230"/>
      <c r="T505" s="231"/>
      <c r="AT505" s="224" t="s">
        <v>121</v>
      </c>
      <c r="AU505" s="224" t="s">
        <v>76</v>
      </c>
      <c r="AV505" s="228" t="s">
        <v>119</v>
      </c>
      <c r="AW505" s="228" t="s">
        <v>32</v>
      </c>
      <c r="AX505" s="228" t="s">
        <v>73</v>
      </c>
      <c r="AY505" s="224" t="s">
        <v>114</v>
      </c>
    </row>
    <row r="506" spans="2:65" s="92" customFormat="1" ht="16.5" customHeight="1">
      <c r="B506" s="90"/>
      <c r="C506" s="177" t="s">
        <v>1546</v>
      </c>
      <c r="D506" s="178" t="s">
        <v>116</v>
      </c>
      <c r="E506" s="179" t="s">
        <v>631</v>
      </c>
      <c r="F506" s="232" t="s">
        <v>632</v>
      </c>
      <c r="G506" s="181" t="s">
        <v>176</v>
      </c>
      <c r="H506" s="182">
        <f>168+38+75.5</f>
        <v>281.5</v>
      </c>
      <c r="I506" s="69"/>
      <c r="J506" s="184">
        <f>ROUND(I506*H506,2)</f>
        <v>0</v>
      </c>
      <c r="K506" s="180" t="s">
        <v>154</v>
      </c>
      <c r="L506" s="90"/>
      <c r="M506" s="185" t="s">
        <v>1</v>
      </c>
      <c r="N506" s="186" t="s">
        <v>41</v>
      </c>
      <c r="O506" s="187"/>
      <c r="P506" s="188">
        <f>O506*H506</f>
        <v>0</v>
      </c>
      <c r="Q506" s="188">
        <v>0.00013</v>
      </c>
      <c r="R506" s="188">
        <f>Q506*H506</f>
        <v>0.036594999999999996</v>
      </c>
      <c r="S506" s="188">
        <v>0</v>
      </c>
      <c r="T506" s="189">
        <f>S506*H506</f>
        <v>0</v>
      </c>
      <c r="AR506" s="81" t="s">
        <v>119</v>
      </c>
      <c r="AT506" s="81" t="s">
        <v>116</v>
      </c>
      <c r="AU506" s="81" t="s">
        <v>76</v>
      </c>
      <c r="AY506" s="81" t="s">
        <v>114</v>
      </c>
      <c r="BE506" s="190">
        <f>IF(N506="základní",J506,0)</f>
        <v>0</v>
      </c>
      <c r="BF506" s="190">
        <f>IF(N506="snížená",J506,0)</f>
        <v>0</v>
      </c>
      <c r="BG506" s="190">
        <f>IF(N506="zákl. přenesená",J506,0)</f>
        <v>0</v>
      </c>
      <c r="BH506" s="190">
        <f>IF(N506="sníž. přenesená",J506,0)</f>
        <v>0</v>
      </c>
      <c r="BI506" s="190">
        <f>IF(N506="nulová",J506,0)</f>
        <v>0</v>
      </c>
      <c r="BJ506" s="81" t="s">
        <v>73</v>
      </c>
      <c r="BK506" s="190">
        <f>ROUND(I506*H506,2)</f>
        <v>0</v>
      </c>
      <c r="BL506" s="81" t="s">
        <v>119</v>
      </c>
      <c r="BM506" s="81" t="s">
        <v>633</v>
      </c>
    </row>
    <row r="507" spans="2:65" s="92" customFormat="1" ht="16.5" customHeight="1">
      <c r="B507" s="90"/>
      <c r="C507" s="177"/>
      <c r="D507" s="178"/>
      <c r="E507" s="179"/>
      <c r="F507" s="232" t="s">
        <v>1510</v>
      </c>
      <c r="G507" s="181"/>
      <c r="H507" s="182"/>
      <c r="I507" s="69"/>
      <c r="J507" s="184"/>
      <c r="K507" s="180"/>
      <c r="L507" s="90"/>
      <c r="M507" s="185"/>
      <c r="N507" s="186"/>
      <c r="O507" s="187"/>
      <c r="P507" s="188"/>
      <c r="Q507" s="188"/>
      <c r="R507" s="188"/>
      <c r="S507" s="188"/>
      <c r="T507" s="189"/>
      <c r="AR507" s="81"/>
      <c r="AT507" s="81"/>
      <c r="AU507" s="81"/>
      <c r="AY507" s="81"/>
      <c r="BE507" s="190"/>
      <c r="BF507" s="190"/>
      <c r="BG507" s="190"/>
      <c r="BH507" s="190"/>
      <c r="BI507" s="190"/>
      <c r="BJ507" s="81"/>
      <c r="BK507" s="190"/>
      <c r="BL507" s="81"/>
      <c r="BM507" s="81"/>
    </row>
    <row r="508" spans="2:65" s="92" customFormat="1" ht="16.5" customHeight="1">
      <c r="B508" s="90"/>
      <c r="C508" s="177" t="s">
        <v>1284</v>
      </c>
      <c r="D508" s="178" t="s">
        <v>116</v>
      </c>
      <c r="E508" s="179" t="s">
        <v>635</v>
      </c>
      <c r="F508" s="232" t="s">
        <v>636</v>
      </c>
      <c r="G508" s="181" t="s">
        <v>492</v>
      </c>
      <c r="H508" s="182">
        <v>1</v>
      </c>
      <c r="I508" s="69"/>
      <c r="J508" s="184">
        <f aca="true" t="shared" si="41" ref="J508:J513">ROUND(I508*H508,2)</f>
        <v>0</v>
      </c>
      <c r="K508" s="180" t="s">
        <v>1</v>
      </c>
      <c r="L508" s="90"/>
      <c r="M508" s="185" t="s">
        <v>1</v>
      </c>
      <c r="N508" s="186" t="s">
        <v>41</v>
      </c>
      <c r="O508" s="187"/>
      <c r="P508" s="188">
        <f aca="true" t="shared" si="42" ref="P508:P513">O508*H508</f>
        <v>0</v>
      </c>
      <c r="Q508" s="188">
        <v>0</v>
      </c>
      <c r="R508" s="188">
        <f>Q508*H508</f>
        <v>0</v>
      </c>
      <c r="S508" s="188">
        <v>0</v>
      </c>
      <c r="T508" s="189">
        <f>S508*H508</f>
        <v>0</v>
      </c>
      <c r="AR508" s="81" t="s">
        <v>119</v>
      </c>
      <c r="AT508" s="81" t="s">
        <v>116</v>
      </c>
      <c r="AU508" s="81" t="s">
        <v>76</v>
      </c>
      <c r="AY508" s="81" t="s">
        <v>114</v>
      </c>
      <c r="BE508" s="190">
        <f>IF(N508="základní",J508,0)</f>
        <v>0</v>
      </c>
      <c r="BF508" s="190">
        <f>IF(N508="snížená",J508,0)</f>
        <v>0</v>
      </c>
      <c r="BG508" s="190">
        <f>IF(N508="zákl. přenesená",J508,0)</f>
        <v>0</v>
      </c>
      <c r="BH508" s="190">
        <f>IF(N508="sníž. přenesená",J508,0)</f>
        <v>0</v>
      </c>
      <c r="BI508" s="190">
        <f>IF(N508="nulová",J508,0)</f>
        <v>0</v>
      </c>
      <c r="BJ508" s="81" t="s">
        <v>73</v>
      </c>
      <c r="BK508" s="190">
        <f aca="true" t="shared" si="43" ref="BK508:BK513">ROUND(I508*H508,2)</f>
        <v>0</v>
      </c>
      <c r="BL508" s="81" t="s">
        <v>119</v>
      </c>
      <c r="BM508" s="81" t="s">
        <v>637</v>
      </c>
    </row>
    <row r="509" spans="2:65" s="92" customFormat="1" ht="16.5" customHeight="1">
      <c r="B509" s="90"/>
      <c r="C509" s="178">
        <v>149</v>
      </c>
      <c r="D509" s="178" t="s">
        <v>116</v>
      </c>
      <c r="E509" s="179" t="s">
        <v>1343</v>
      </c>
      <c r="F509" s="180" t="s">
        <v>1344</v>
      </c>
      <c r="G509" s="181" t="s">
        <v>492</v>
      </c>
      <c r="H509" s="182">
        <v>3</v>
      </c>
      <c r="I509" s="69"/>
      <c r="J509" s="184">
        <f t="shared" si="41"/>
        <v>0</v>
      </c>
      <c r="K509" s="180" t="s">
        <v>1</v>
      </c>
      <c r="L509" s="90"/>
      <c r="M509" s="185" t="s">
        <v>1</v>
      </c>
      <c r="N509" s="186" t="s">
        <v>41</v>
      </c>
      <c r="O509" s="187"/>
      <c r="P509" s="188">
        <f t="shared" si="42"/>
        <v>0</v>
      </c>
      <c r="Q509" s="188">
        <v>0</v>
      </c>
      <c r="R509" s="188">
        <f>Q509*H509</f>
        <v>0</v>
      </c>
      <c r="S509" s="188">
        <v>0</v>
      </c>
      <c r="T509" s="189">
        <f>S509*H509</f>
        <v>0</v>
      </c>
      <c r="AR509" s="81" t="s">
        <v>119</v>
      </c>
      <c r="AT509" s="81" t="s">
        <v>116</v>
      </c>
      <c r="AU509" s="81" t="s">
        <v>76</v>
      </c>
      <c r="AY509" s="81" t="s">
        <v>114</v>
      </c>
      <c r="BE509" s="190">
        <f>IF(N509="základní",J509,0)</f>
        <v>0</v>
      </c>
      <c r="BF509" s="190">
        <f>IF(N509="snížená",J509,0)</f>
        <v>0</v>
      </c>
      <c r="BG509" s="190">
        <f>IF(N509="zákl. přenesená",J509,0)</f>
        <v>0</v>
      </c>
      <c r="BH509" s="190">
        <f>IF(N509="sníž. přenesená",J509,0)</f>
        <v>0</v>
      </c>
      <c r="BI509" s="190">
        <f>IF(N509="nulová",J509,0)</f>
        <v>0</v>
      </c>
      <c r="BJ509" s="81" t="s">
        <v>73</v>
      </c>
      <c r="BK509" s="190">
        <f t="shared" si="43"/>
        <v>0</v>
      </c>
      <c r="BL509" s="81" t="s">
        <v>119</v>
      </c>
      <c r="BM509" s="81" t="s">
        <v>1345</v>
      </c>
    </row>
    <row r="510" spans="2:65" s="92" customFormat="1" ht="16.5" customHeight="1">
      <c r="B510" s="90"/>
      <c r="C510" s="178">
        <v>150</v>
      </c>
      <c r="D510" s="178" t="s">
        <v>116</v>
      </c>
      <c r="E510" s="179" t="s">
        <v>1357</v>
      </c>
      <c r="F510" s="180" t="s">
        <v>1358</v>
      </c>
      <c r="G510" s="181" t="s">
        <v>358</v>
      </c>
      <c r="H510" s="182">
        <v>2</v>
      </c>
      <c r="I510" s="69"/>
      <c r="J510" s="184">
        <f t="shared" si="41"/>
        <v>0</v>
      </c>
      <c r="K510" s="180" t="s">
        <v>154</v>
      </c>
      <c r="L510" s="90"/>
      <c r="M510" s="185" t="s">
        <v>1</v>
      </c>
      <c r="N510" s="186" t="s">
        <v>41</v>
      </c>
      <c r="O510" s="187"/>
      <c r="P510" s="188">
        <f t="shared" si="42"/>
        <v>0</v>
      </c>
      <c r="Q510" s="188">
        <v>0.00212</v>
      </c>
      <c r="R510" s="188">
        <f>Q510*H510</f>
        <v>0.00424</v>
      </c>
      <c r="S510" s="188">
        <v>0</v>
      </c>
      <c r="T510" s="189">
        <f>S510*H510</f>
        <v>0</v>
      </c>
      <c r="AR510" s="81" t="s">
        <v>119</v>
      </c>
      <c r="AT510" s="81" t="s">
        <v>116</v>
      </c>
      <c r="AU510" s="81" t="s">
        <v>76</v>
      </c>
      <c r="AY510" s="81" t="s">
        <v>114</v>
      </c>
      <c r="BE510" s="190">
        <f>IF(N510="základní",J510,0)</f>
        <v>0</v>
      </c>
      <c r="BF510" s="190">
        <f>IF(N510="snížená",J510,0)</f>
        <v>0</v>
      </c>
      <c r="BG510" s="190">
        <f>IF(N510="zákl. přenesená",J510,0)</f>
        <v>0</v>
      </c>
      <c r="BH510" s="190">
        <f>IF(N510="sníž. přenesená",J510,0)</f>
        <v>0</v>
      </c>
      <c r="BI510" s="190">
        <f>IF(N510="nulová",J510,0)</f>
        <v>0</v>
      </c>
      <c r="BJ510" s="81" t="s">
        <v>73</v>
      </c>
      <c r="BK510" s="190">
        <f t="shared" si="43"/>
        <v>0</v>
      </c>
      <c r="BL510" s="81" t="s">
        <v>119</v>
      </c>
      <c r="BM510" s="81" t="s">
        <v>1359</v>
      </c>
    </row>
    <row r="511" spans="2:65" s="92" customFormat="1" ht="16.5" customHeight="1">
      <c r="B511" s="90"/>
      <c r="C511" s="178">
        <v>151</v>
      </c>
      <c r="D511" s="178" t="s">
        <v>116</v>
      </c>
      <c r="E511" s="179" t="s">
        <v>1353</v>
      </c>
      <c r="F511" s="180" t="s">
        <v>1354</v>
      </c>
      <c r="G511" s="181" t="s">
        <v>358</v>
      </c>
      <c r="H511" s="182">
        <v>2</v>
      </c>
      <c r="I511" s="69"/>
      <c r="J511" s="184">
        <f t="shared" si="41"/>
        <v>0</v>
      </c>
      <c r="K511" s="180" t="s">
        <v>154</v>
      </c>
      <c r="L511" s="90"/>
      <c r="M511" s="185" t="s">
        <v>1</v>
      </c>
      <c r="N511" s="186" t="s">
        <v>41</v>
      </c>
      <c r="O511" s="187"/>
      <c r="P511" s="188">
        <f t="shared" si="42"/>
        <v>0</v>
      </c>
      <c r="Q511" s="188">
        <v>0.0012</v>
      </c>
      <c r="R511" s="188">
        <f>Q511*H511</f>
        <v>0.0024</v>
      </c>
      <c r="S511" s="188">
        <v>0</v>
      </c>
      <c r="T511" s="189">
        <f>S511*H511</f>
        <v>0</v>
      </c>
      <c r="AR511" s="81" t="s">
        <v>119</v>
      </c>
      <c r="AT511" s="81" t="s">
        <v>116</v>
      </c>
      <c r="AU511" s="81" t="s">
        <v>76</v>
      </c>
      <c r="AY511" s="81" t="s">
        <v>114</v>
      </c>
      <c r="BE511" s="190">
        <f>IF(N511="základní",J511,0)</f>
        <v>0</v>
      </c>
      <c r="BF511" s="190">
        <f>IF(N511="snížená",J511,0)</f>
        <v>0</v>
      </c>
      <c r="BG511" s="190">
        <f>IF(N511="zákl. přenesená",J511,0)</f>
        <v>0</v>
      </c>
      <c r="BH511" s="190">
        <f>IF(N511="sníž. přenesená",J511,0)</f>
        <v>0</v>
      </c>
      <c r="BI511" s="190">
        <f>IF(N511="nulová",J511,0)</f>
        <v>0</v>
      </c>
      <c r="BJ511" s="81" t="s">
        <v>73</v>
      </c>
      <c r="BK511" s="190">
        <f t="shared" si="43"/>
        <v>0</v>
      </c>
      <c r="BL511" s="81" t="s">
        <v>119</v>
      </c>
      <c r="BM511" s="81" t="s">
        <v>1355</v>
      </c>
    </row>
    <row r="512" spans="2:65" s="92" customFormat="1" ht="16.5" customHeight="1">
      <c r="B512" s="90"/>
      <c r="C512" s="297" t="s">
        <v>1294</v>
      </c>
      <c r="D512" s="298"/>
      <c r="E512" s="299"/>
      <c r="F512" s="300" t="s">
        <v>1513</v>
      </c>
      <c r="G512" s="301" t="s">
        <v>358</v>
      </c>
      <c r="H512" s="302">
        <v>12</v>
      </c>
      <c r="I512" s="77"/>
      <c r="J512" s="303">
        <f t="shared" si="41"/>
        <v>0</v>
      </c>
      <c r="K512" s="304"/>
      <c r="L512" s="90"/>
      <c r="M512" s="185"/>
      <c r="N512" s="186"/>
      <c r="O512" s="187"/>
      <c r="P512" s="188">
        <f t="shared" si="42"/>
        <v>0</v>
      </c>
      <c r="Q512" s="188"/>
      <c r="R512" s="188"/>
      <c r="S512" s="188"/>
      <c r="T512" s="189"/>
      <c r="AR512" s="81"/>
      <c r="AT512" s="81"/>
      <c r="AU512" s="81"/>
      <c r="AY512" s="81"/>
      <c r="BE512" s="190"/>
      <c r="BF512" s="190"/>
      <c r="BG512" s="190"/>
      <c r="BH512" s="190"/>
      <c r="BI512" s="190"/>
      <c r="BJ512" s="81"/>
      <c r="BK512" s="190">
        <f t="shared" si="43"/>
        <v>0</v>
      </c>
      <c r="BL512" s="81"/>
      <c r="BM512" s="81"/>
    </row>
    <row r="513" spans="2:65" s="92" customFormat="1" ht="16.5" customHeight="1">
      <c r="B513" s="90"/>
      <c r="C513" s="297" t="s">
        <v>1297</v>
      </c>
      <c r="D513" s="298"/>
      <c r="E513" s="299"/>
      <c r="F513" s="300" t="s">
        <v>1514</v>
      </c>
      <c r="G513" s="301" t="s">
        <v>358</v>
      </c>
      <c r="H513" s="302">
        <v>20</v>
      </c>
      <c r="I513" s="77"/>
      <c r="J513" s="303">
        <f t="shared" si="41"/>
        <v>0</v>
      </c>
      <c r="K513" s="304"/>
      <c r="L513" s="90"/>
      <c r="M513" s="185"/>
      <c r="N513" s="186"/>
      <c r="O513" s="187"/>
      <c r="P513" s="188">
        <f t="shared" si="42"/>
        <v>0</v>
      </c>
      <c r="Q513" s="188"/>
      <c r="R513" s="188"/>
      <c r="S513" s="188"/>
      <c r="T513" s="189"/>
      <c r="AR513" s="81"/>
      <c r="AT513" s="81"/>
      <c r="AU513" s="81"/>
      <c r="AY513" s="81"/>
      <c r="BE513" s="190"/>
      <c r="BF513" s="190"/>
      <c r="BG513" s="190"/>
      <c r="BH513" s="190"/>
      <c r="BI513" s="190"/>
      <c r="BJ513" s="81"/>
      <c r="BK513" s="190">
        <f t="shared" si="43"/>
        <v>0</v>
      </c>
      <c r="BL513" s="81"/>
      <c r="BM513" s="81"/>
    </row>
    <row r="514" spans="2:63" s="166" customFormat="1" ht="22.9" customHeight="1">
      <c r="B514" s="162"/>
      <c r="C514" s="163"/>
      <c r="D514" s="164" t="s">
        <v>67</v>
      </c>
      <c r="E514" s="175" t="s">
        <v>188</v>
      </c>
      <c r="F514" s="258" t="s">
        <v>638</v>
      </c>
      <c r="I514" s="74"/>
      <c r="J514" s="176">
        <f>SUM(J515:J523)</f>
        <v>0</v>
      </c>
      <c r="L514" s="162"/>
      <c r="M514" s="169"/>
      <c r="N514" s="170"/>
      <c r="O514" s="170"/>
      <c r="P514" s="171">
        <f>SUM(P515:P522)</f>
        <v>0</v>
      </c>
      <c r="Q514" s="170"/>
      <c r="R514" s="171">
        <f>SUM(R515:R522)</f>
        <v>0</v>
      </c>
      <c r="S514" s="170"/>
      <c r="T514" s="172">
        <f>SUM(T515:T522)</f>
        <v>0</v>
      </c>
      <c r="AR514" s="164" t="s">
        <v>73</v>
      </c>
      <c r="AT514" s="173" t="s">
        <v>67</v>
      </c>
      <c r="AU514" s="173" t="s">
        <v>73</v>
      </c>
      <c r="AY514" s="164" t="s">
        <v>114</v>
      </c>
      <c r="BK514" s="174">
        <f>SUM(BK515:BK522)</f>
        <v>0</v>
      </c>
    </row>
    <row r="515" spans="2:65" s="92" customFormat="1" ht="16.5" customHeight="1">
      <c r="B515" s="90"/>
      <c r="C515" s="177" t="s">
        <v>1298</v>
      </c>
      <c r="D515" s="178" t="s">
        <v>116</v>
      </c>
      <c r="E515" s="179"/>
      <c r="F515" s="180" t="s">
        <v>1533</v>
      </c>
      <c r="G515" s="181" t="s">
        <v>300</v>
      </c>
      <c r="H515" s="182">
        <f>H516</f>
        <v>24.32</v>
      </c>
      <c r="I515" s="69"/>
      <c r="J515" s="184">
        <f>ROUND(I515*H515,2)</f>
        <v>0</v>
      </c>
      <c r="K515" s="180" t="s">
        <v>154</v>
      </c>
      <c r="L515" s="90"/>
      <c r="M515" s="185" t="s">
        <v>1</v>
      </c>
      <c r="N515" s="186" t="s">
        <v>41</v>
      </c>
      <c r="O515" s="187"/>
      <c r="P515" s="188">
        <f>O515*H515</f>
        <v>0</v>
      </c>
      <c r="Q515" s="188">
        <v>0</v>
      </c>
      <c r="R515" s="188">
        <f>Q515*H515</f>
        <v>0</v>
      </c>
      <c r="S515" s="188">
        <v>0</v>
      </c>
      <c r="T515" s="189">
        <f>S515*H515</f>
        <v>0</v>
      </c>
      <c r="AR515" s="81" t="s">
        <v>119</v>
      </c>
      <c r="AT515" s="81" t="s">
        <v>116</v>
      </c>
      <c r="AU515" s="81" t="s">
        <v>76</v>
      </c>
      <c r="AY515" s="81" t="s">
        <v>114</v>
      </c>
      <c r="BE515" s="190">
        <f>IF(N515="základní",J515,0)</f>
        <v>0</v>
      </c>
      <c r="BF515" s="190">
        <f>IF(N515="snížená",J515,0)</f>
        <v>0</v>
      </c>
      <c r="BG515" s="190">
        <f>IF(N515="zákl. přenesená",J515,0)</f>
        <v>0</v>
      </c>
      <c r="BH515" s="190">
        <f>IF(N515="sníž. přenesená",J515,0)</f>
        <v>0</v>
      </c>
      <c r="BI515" s="190">
        <f>IF(N515="nulová",J515,0)</f>
        <v>0</v>
      </c>
      <c r="BJ515" s="81" t="s">
        <v>73</v>
      </c>
      <c r="BK515" s="190">
        <f>ROUND(I515*H515,2)</f>
        <v>0</v>
      </c>
      <c r="BL515" s="81" t="s">
        <v>119</v>
      </c>
      <c r="BM515" s="81" t="s">
        <v>642</v>
      </c>
    </row>
    <row r="516" spans="2:51" s="208" customFormat="1" ht="12">
      <c r="B516" s="202"/>
      <c r="C516" s="203"/>
      <c r="D516" s="193" t="s">
        <v>121</v>
      </c>
      <c r="E516" s="204" t="s">
        <v>1</v>
      </c>
      <c r="F516" s="260" t="s">
        <v>1524</v>
      </c>
      <c r="H516" s="261">
        <f>((80-55)*1+55*3)*0.128</f>
        <v>24.32</v>
      </c>
      <c r="I516" s="70"/>
      <c r="L516" s="202"/>
      <c r="M516" s="209"/>
      <c r="N516" s="210"/>
      <c r="O516" s="210"/>
      <c r="P516" s="210"/>
      <c r="Q516" s="210"/>
      <c r="R516" s="210"/>
      <c r="S516" s="210"/>
      <c r="T516" s="211"/>
      <c r="AT516" s="204" t="s">
        <v>121</v>
      </c>
      <c r="AU516" s="204" t="s">
        <v>76</v>
      </c>
      <c r="AV516" s="208" t="s">
        <v>76</v>
      </c>
      <c r="AW516" s="208" t="s">
        <v>32</v>
      </c>
      <c r="AX516" s="208" t="s">
        <v>68</v>
      </c>
      <c r="AY516" s="204" t="s">
        <v>114</v>
      </c>
    </row>
    <row r="517" spans="2:51" s="208" customFormat="1" ht="12">
      <c r="B517" s="202"/>
      <c r="C517" s="177" t="s">
        <v>1302</v>
      </c>
      <c r="D517" s="178" t="s">
        <v>116</v>
      </c>
      <c r="E517" s="204"/>
      <c r="F517" s="305" t="s">
        <v>1523</v>
      </c>
      <c r="G517" s="306" t="s">
        <v>300</v>
      </c>
      <c r="H517" s="261">
        <f>H518+H519</f>
        <v>41.92</v>
      </c>
      <c r="I517" s="69"/>
      <c r="J517" s="184">
        <f>ROUND(I517*H517,2)</f>
        <v>0</v>
      </c>
      <c r="K517" s="180" t="s">
        <v>154</v>
      </c>
      <c r="L517" s="90"/>
      <c r="M517" s="185" t="s">
        <v>1</v>
      </c>
      <c r="N517" s="186" t="s">
        <v>41</v>
      </c>
      <c r="O517" s="187"/>
      <c r="P517" s="188">
        <f>O517*H517</f>
        <v>0</v>
      </c>
      <c r="Q517" s="188">
        <v>0</v>
      </c>
      <c r="R517" s="188">
        <f>Q517*H517</f>
        <v>0</v>
      </c>
      <c r="S517" s="188">
        <v>0</v>
      </c>
      <c r="T517" s="189">
        <f>S517*H517</f>
        <v>0</v>
      </c>
      <c r="U517" s="92"/>
      <c r="V517" s="92"/>
      <c r="W517" s="92"/>
      <c r="AT517" s="204"/>
      <c r="AU517" s="204"/>
      <c r="AY517" s="204"/>
    </row>
    <row r="518" spans="2:51" s="208" customFormat="1" ht="12">
      <c r="B518" s="202"/>
      <c r="C518" s="203"/>
      <c r="D518" s="193"/>
      <c r="E518" s="204"/>
      <c r="F518" s="260" t="s">
        <v>1525</v>
      </c>
      <c r="H518" s="261">
        <f>((80-55)*1+55*3)*0.128</f>
        <v>24.32</v>
      </c>
      <c r="I518" s="70"/>
      <c r="L518" s="202"/>
      <c r="M518" s="209"/>
      <c r="N518" s="210"/>
      <c r="O518" s="210"/>
      <c r="P518" s="210"/>
      <c r="Q518" s="210"/>
      <c r="R518" s="210"/>
      <c r="S518" s="210"/>
      <c r="T518" s="211"/>
      <c r="AT518" s="204"/>
      <c r="AU518" s="204"/>
      <c r="AY518" s="204"/>
    </row>
    <row r="519" spans="2:51" s="208" customFormat="1" ht="12">
      <c r="B519" s="202"/>
      <c r="C519" s="203"/>
      <c r="D519" s="193"/>
      <c r="E519" s="204"/>
      <c r="F519" s="260" t="s">
        <v>1526</v>
      </c>
      <c r="H519" s="261">
        <f>80*0.22</f>
        <v>17.6</v>
      </c>
      <c r="I519" s="70"/>
      <c r="L519" s="202"/>
      <c r="M519" s="209"/>
      <c r="N519" s="210"/>
      <c r="O519" s="210"/>
      <c r="P519" s="210"/>
      <c r="Q519" s="210"/>
      <c r="R519" s="210"/>
      <c r="S519" s="210"/>
      <c r="T519" s="211"/>
      <c r="AT519" s="204"/>
      <c r="AU519" s="204"/>
      <c r="AY519" s="204"/>
    </row>
    <row r="520" spans="2:65" s="92" customFormat="1" ht="16.5" customHeight="1">
      <c r="B520" s="90"/>
      <c r="C520" s="177" t="s">
        <v>1306</v>
      </c>
      <c r="D520" s="178" t="s">
        <v>116</v>
      </c>
      <c r="E520" s="179" t="s">
        <v>644</v>
      </c>
      <c r="F520" s="180" t="s">
        <v>645</v>
      </c>
      <c r="G520" s="181" t="s">
        <v>176</v>
      </c>
      <c r="H520" s="182">
        <f>H521</f>
        <v>160</v>
      </c>
      <c r="I520" s="69"/>
      <c r="J520" s="184">
        <f>ROUND(I520*H520,2)</f>
        <v>0</v>
      </c>
      <c r="K520" s="180" t="s">
        <v>154</v>
      </c>
      <c r="L520" s="90"/>
      <c r="M520" s="185" t="s">
        <v>1</v>
      </c>
      <c r="N520" s="186" t="s">
        <v>41</v>
      </c>
      <c r="O520" s="187"/>
      <c r="P520" s="188">
        <f>O520*H520</f>
        <v>0</v>
      </c>
      <c r="Q520" s="188">
        <v>0</v>
      </c>
      <c r="R520" s="188">
        <f>Q520*H520</f>
        <v>0</v>
      </c>
      <c r="S520" s="188">
        <v>0</v>
      </c>
      <c r="T520" s="189">
        <f>S520*H520</f>
        <v>0</v>
      </c>
      <c r="AR520" s="81" t="s">
        <v>119</v>
      </c>
      <c r="AT520" s="81" t="s">
        <v>116</v>
      </c>
      <c r="AU520" s="81" t="s">
        <v>76</v>
      </c>
      <c r="AY520" s="81" t="s">
        <v>114</v>
      </c>
      <c r="BE520" s="190">
        <f>IF(N520="základní",J520,0)</f>
        <v>0</v>
      </c>
      <c r="BF520" s="190">
        <f>IF(N520="snížená",J520,0)</f>
        <v>0</v>
      </c>
      <c r="BG520" s="190">
        <f>IF(N520="zákl. přenesená",J520,0)</f>
        <v>0</v>
      </c>
      <c r="BH520" s="190">
        <f>IF(N520="sníž. přenesená",J520,0)</f>
        <v>0</v>
      </c>
      <c r="BI520" s="190">
        <f>IF(N520="nulová",J520,0)</f>
        <v>0</v>
      </c>
      <c r="BJ520" s="81" t="s">
        <v>73</v>
      </c>
      <c r="BK520" s="190">
        <f>ROUND(I520*H520,2)</f>
        <v>0</v>
      </c>
      <c r="BL520" s="81" t="s">
        <v>119</v>
      </c>
      <c r="BM520" s="81" t="s">
        <v>646</v>
      </c>
    </row>
    <row r="521" spans="2:51" s="208" customFormat="1" ht="12">
      <c r="B521" s="202"/>
      <c r="C521" s="203"/>
      <c r="D521" s="193" t="s">
        <v>121</v>
      </c>
      <c r="E521" s="204" t="s">
        <v>1</v>
      </c>
      <c r="F521" s="260" t="s">
        <v>1519</v>
      </c>
      <c r="H521" s="261">
        <f>80*2</f>
        <v>160</v>
      </c>
      <c r="I521" s="70"/>
      <c r="L521" s="202"/>
      <c r="M521" s="209"/>
      <c r="N521" s="210"/>
      <c r="O521" s="210"/>
      <c r="P521" s="210"/>
      <c r="Q521" s="210"/>
      <c r="R521" s="210"/>
      <c r="S521" s="210"/>
      <c r="T521" s="211"/>
      <c r="AT521" s="204" t="s">
        <v>121</v>
      </c>
      <c r="AU521" s="204" t="s">
        <v>76</v>
      </c>
      <c r="AV521" s="208" t="s">
        <v>76</v>
      </c>
      <c r="AW521" s="208" t="s">
        <v>32</v>
      </c>
      <c r="AX521" s="208" t="s">
        <v>68</v>
      </c>
      <c r="AY521" s="204" t="s">
        <v>114</v>
      </c>
    </row>
    <row r="522" spans="2:65" s="92" customFormat="1" ht="16.5" customHeight="1">
      <c r="B522" s="90"/>
      <c r="C522" s="177" t="s">
        <v>1308</v>
      </c>
      <c r="D522" s="178" t="s">
        <v>116</v>
      </c>
      <c r="E522" s="179" t="s">
        <v>648</v>
      </c>
      <c r="F522" s="180" t="s">
        <v>649</v>
      </c>
      <c r="G522" s="181" t="s">
        <v>176</v>
      </c>
      <c r="H522" s="182">
        <v>80</v>
      </c>
      <c r="I522" s="69"/>
      <c r="J522" s="184">
        <f>ROUND(I522*H522,2)</f>
        <v>0</v>
      </c>
      <c r="K522" s="180" t="s">
        <v>1</v>
      </c>
      <c r="L522" s="90"/>
      <c r="M522" s="185" t="s">
        <v>1</v>
      </c>
      <c r="N522" s="186" t="s">
        <v>41</v>
      </c>
      <c r="O522" s="187"/>
      <c r="P522" s="188">
        <f>O522*H522</f>
        <v>0</v>
      </c>
      <c r="Q522" s="188">
        <v>0</v>
      </c>
      <c r="R522" s="188">
        <f>Q522*H522</f>
        <v>0</v>
      </c>
      <c r="S522" s="188">
        <v>0</v>
      </c>
      <c r="T522" s="189">
        <f>S522*H522</f>
        <v>0</v>
      </c>
      <c r="AR522" s="81" t="s">
        <v>119</v>
      </c>
      <c r="AT522" s="81" t="s">
        <v>116</v>
      </c>
      <c r="AU522" s="81" t="s">
        <v>76</v>
      </c>
      <c r="AY522" s="81" t="s">
        <v>114</v>
      </c>
      <c r="BE522" s="190">
        <f>IF(N522="základní",J522,0)</f>
        <v>0</v>
      </c>
      <c r="BF522" s="190">
        <f>IF(N522="snížená",J522,0)</f>
        <v>0</v>
      </c>
      <c r="BG522" s="190">
        <f>IF(N522="zákl. přenesená",J522,0)</f>
        <v>0</v>
      </c>
      <c r="BH522" s="190">
        <f>IF(N522="sníž. přenesená",J522,0)</f>
        <v>0</v>
      </c>
      <c r="BI522" s="190">
        <f>IF(N522="nulová",J522,0)</f>
        <v>0</v>
      </c>
      <c r="BJ522" s="81" t="s">
        <v>73</v>
      </c>
      <c r="BK522" s="190">
        <f>ROUND(I522*H522,2)</f>
        <v>0</v>
      </c>
      <c r="BL522" s="81" t="s">
        <v>119</v>
      </c>
      <c r="BM522" s="81" t="s">
        <v>650</v>
      </c>
    </row>
    <row r="523" spans="2:65" s="92" customFormat="1" ht="16.5" customHeight="1">
      <c r="B523" s="90"/>
      <c r="C523" s="178">
        <v>158</v>
      </c>
      <c r="D523" s="178" t="s">
        <v>116</v>
      </c>
      <c r="E523" s="179" t="s">
        <v>1389</v>
      </c>
      <c r="F523" s="180" t="s">
        <v>1390</v>
      </c>
      <c r="G523" s="181" t="s">
        <v>176</v>
      </c>
      <c r="H523" s="182">
        <f>113+168</f>
        <v>281</v>
      </c>
      <c r="I523" s="69"/>
      <c r="J523" s="184">
        <f>ROUND(I523*H523,2)</f>
        <v>0</v>
      </c>
      <c r="K523" s="180" t="s">
        <v>1</v>
      </c>
      <c r="L523" s="90"/>
      <c r="M523" s="185" t="s">
        <v>1</v>
      </c>
      <c r="N523" s="186" t="s">
        <v>41</v>
      </c>
      <c r="O523" s="187"/>
      <c r="P523" s="188">
        <f>O523*H523</f>
        <v>0</v>
      </c>
      <c r="Q523" s="188">
        <v>0</v>
      </c>
      <c r="R523" s="188">
        <f>Q523*H523</f>
        <v>0</v>
      </c>
      <c r="S523" s="188">
        <v>0.063</v>
      </c>
      <c r="T523" s="189">
        <f>S523*H523</f>
        <v>17.703</v>
      </c>
      <c r="AR523" s="81" t="s">
        <v>119</v>
      </c>
      <c r="AT523" s="81" t="s">
        <v>116</v>
      </c>
      <c r="AU523" s="81" t="s">
        <v>76</v>
      </c>
      <c r="AY523" s="81" t="s">
        <v>114</v>
      </c>
      <c r="BE523" s="190">
        <f>IF(N523="základní",J523,0)</f>
        <v>0</v>
      </c>
      <c r="BF523" s="190">
        <f>IF(N523="snížená",J523,0)</f>
        <v>0</v>
      </c>
      <c r="BG523" s="190">
        <f>IF(N523="zákl. přenesená",J523,0)</f>
        <v>0</v>
      </c>
      <c r="BH523" s="190">
        <f>IF(N523="sníž. přenesená",J523,0)</f>
        <v>0</v>
      </c>
      <c r="BI523" s="190">
        <f>IF(N523="nulová",J523,0)</f>
        <v>0</v>
      </c>
      <c r="BJ523" s="81" t="s">
        <v>73</v>
      </c>
      <c r="BK523" s="190">
        <f>ROUND(I523*H523,2)</f>
        <v>0</v>
      </c>
      <c r="BL523" s="81" t="s">
        <v>119</v>
      </c>
      <c r="BM523" s="81" t="s">
        <v>1391</v>
      </c>
    </row>
    <row r="524" spans="2:51" s="198" customFormat="1" ht="12">
      <c r="B524" s="191"/>
      <c r="D524" s="193" t="s">
        <v>121</v>
      </c>
      <c r="E524" s="194" t="s">
        <v>1</v>
      </c>
      <c r="F524" s="259" t="s">
        <v>1392</v>
      </c>
      <c r="H524" s="194" t="s">
        <v>1</v>
      </c>
      <c r="I524" s="71"/>
      <c r="L524" s="191"/>
      <c r="M524" s="199"/>
      <c r="N524" s="200"/>
      <c r="O524" s="200"/>
      <c r="P524" s="200"/>
      <c r="Q524" s="200"/>
      <c r="R524" s="200"/>
      <c r="S524" s="200"/>
      <c r="T524" s="201"/>
      <c r="AT524" s="194" t="s">
        <v>121</v>
      </c>
      <c r="AU524" s="194" t="s">
        <v>76</v>
      </c>
      <c r="AV524" s="198" t="s">
        <v>73</v>
      </c>
      <c r="AW524" s="198" t="s">
        <v>32</v>
      </c>
      <c r="AX524" s="198" t="s">
        <v>68</v>
      </c>
      <c r="AY524" s="194" t="s">
        <v>114</v>
      </c>
    </row>
    <row r="525" spans="2:63" s="166" customFormat="1" ht="22.9" customHeight="1">
      <c r="B525" s="162"/>
      <c r="C525" s="163"/>
      <c r="D525" s="164" t="s">
        <v>67</v>
      </c>
      <c r="E525" s="175" t="s">
        <v>651</v>
      </c>
      <c r="F525" s="175" t="s">
        <v>652</v>
      </c>
      <c r="I525" s="74"/>
      <c r="J525" s="176">
        <f>J526</f>
        <v>0</v>
      </c>
      <c r="L525" s="162"/>
      <c r="M525" s="169"/>
      <c r="N525" s="170"/>
      <c r="O525" s="170"/>
      <c r="P525" s="171">
        <f>P526</f>
        <v>0</v>
      </c>
      <c r="Q525" s="170"/>
      <c r="R525" s="171">
        <f>R526</f>
        <v>0</v>
      </c>
      <c r="S525" s="170"/>
      <c r="T525" s="172">
        <f>T526</f>
        <v>0</v>
      </c>
      <c r="AR525" s="164" t="s">
        <v>73</v>
      </c>
      <c r="AT525" s="173" t="s">
        <v>67</v>
      </c>
      <c r="AU525" s="173" t="s">
        <v>73</v>
      </c>
      <c r="AY525" s="164" t="s">
        <v>114</v>
      </c>
      <c r="BK525" s="174">
        <f>BK526</f>
        <v>0</v>
      </c>
    </row>
    <row r="526" spans="2:65" s="92" customFormat="1" ht="16.5" customHeight="1">
      <c r="B526" s="90"/>
      <c r="C526" s="177" t="s">
        <v>1312</v>
      </c>
      <c r="D526" s="178" t="s">
        <v>116</v>
      </c>
      <c r="E526" s="179" t="s">
        <v>654</v>
      </c>
      <c r="F526" s="180" t="s">
        <v>655</v>
      </c>
      <c r="G526" s="181" t="s">
        <v>300</v>
      </c>
      <c r="H526" s="182">
        <v>225.261</v>
      </c>
      <c r="I526" s="69"/>
      <c r="J526" s="184">
        <f>ROUND(I526*H526,2)</f>
        <v>0</v>
      </c>
      <c r="K526" s="180" t="s">
        <v>154</v>
      </c>
      <c r="L526" s="90"/>
      <c r="M526" s="185" t="s">
        <v>1</v>
      </c>
      <c r="N526" s="186" t="s">
        <v>41</v>
      </c>
      <c r="O526" s="187"/>
      <c r="P526" s="188">
        <f>O526*H526</f>
        <v>0</v>
      </c>
      <c r="Q526" s="188">
        <v>0</v>
      </c>
      <c r="R526" s="188">
        <f>Q526*H526</f>
        <v>0</v>
      </c>
      <c r="S526" s="188">
        <v>0</v>
      </c>
      <c r="T526" s="189">
        <f>S526*H526</f>
        <v>0</v>
      </c>
      <c r="AR526" s="81" t="s">
        <v>119</v>
      </c>
      <c r="AT526" s="81" t="s">
        <v>116</v>
      </c>
      <c r="AU526" s="81" t="s">
        <v>76</v>
      </c>
      <c r="AY526" s="81" t="s">
        <v>114</v>
      </c>
      <c r="BE526" s="190">
        <f>IF(N526="základní",J526,0)</f>
        <v>0</v>
      </c>
      <c r="BF526" s="190">
        <f>IF(N526="snížená",J526,0)</f>
        <v>0</v>
      </c>
      <c r="BG526" s="190">
        <f>IF(N526="zákl. přenesená",J526,0)</f>
        <v>0</v>
      </c>
      <c r="BH526" s="190">
        <f>IF(N526="sníž. přenesená",J526,0)</f>
        <v>0</v>
      </c>
      <c r="BI526" s="190">
        <f>IF(N526="nulová",J526,0)</f>
        <v>0</v>
      </c>
      <c r="BJ526" s="81" t="s">
        <v>73</v>
      </c>
      <c r="BK526" s="190">
        <f>ROUND(I526*H526,2)</f>
        <v>0</v>
      </c>
      <c r="BL526" s="81" t="s">
        <v>119</v>
      </c>
      <c r="BM526" s="81" t="s">
        <v>656</v>
      </c>
    </row>
    <row r="527" spans="2:63" s="166" customFormat="1" ht="25.9" customHeight="1">
      <c r="B527" s="162"/>
      <c r="C527" s="163"/>
      <c r="D527" s="164" t="s">
        <v>67</v>
      </c>
      <c r="E527" s="165" t="s">
        <v>657</v>
      </c>
      <c r="F527" s="165" t="s">
        <v>658</v>
      </c>
      <c r="I527" s="74"/>
      <c r="J527" s="168">
        <f>BK527</f>
        <v>0</v>
      </c>
      <c r="L527" s="162"/>
      <c r="M527" s="169"/>
      <c r="N527" s="170"/>
      <c r="O527" s="170"/>
      <c r="P527" s="171">
        <f>P528+P551+P556</f>
        <v>0</v>
      </c>
      <c r="Q527" s="170"/>
      <c r="R527" s="171">
        <f>R528+R551+R556</f>
        <v>0.13849460000000002</v>
      </c>
      <c r="S527" s="170"/>
      <c r="T527" s="172">
        <f>T528+T551+T556</f>
        <v>0</v>
      </c>
      <c r="AR527" s="164" t="s">
        <v>76</v>
      </c>
      <c r="AT527" s="173" t="s">
        <v>67</v>
      </c>
      <c r="AU527" s="173" t="s">
        <v>68</v>
      </c>
      <c r="AY527" s="164" t="s">
        <v>114</v>
      </c>
      <c r="BK527" s="174">
        <f>BK528+BK551+BK556</f>
        <v>0</v>
      </c>
    </row>
    <row r="528" spans="2:63" s="166" customFormat="1" ht="22.9" customHeight="1">
      <c r="B528" s="162"/>
      <c r="C528" s="163"/>
      <c r="D528" s="164" t="s">
        <v>67</v>
      </c>
      <c r="E528" s="175" t="s">
        <v>659</v>
      </c>
      <c r="F528" s="175" t="s">
        <v>660</v>
      </c>
      <c r="I528" s="74"/>
      <c r="J528" s="176">
        <f>SUM(J529:J550)</f>
        <v>0</v>
      </c>
      <c r="L528" s="162"/>
      <c r="M528" s="169"/>
      <c r="N528" s="170"/>
      <c r="O528" s="170"/>
      <c r="P528" s="171">
        <f>SUM(P529:P550)</f>
        <v>0</v>
      </c>
      <c r="Q528" s="170"/>
      <c r="R528" s="171">
        <f>SUM(R529:R550)</f>
        <v>0.023632599999999997</v>
      </c>
      <c r="S528" s="170"/>
      <c r="T528" s="172">
        <f>SUM(T529:T550)</f>
        <v>0</v>
      </c>
      <c r="AR528" s="164" t="s">
        <v>76</v>
      </c>
      <c r="AT528" s="173" t="s">
        <v>67</v>
      </c>
      <c r="AU528" s="173" t="s">
        <v>73</v>
      </c>
      <c r="AY528" s="164" t="s">
        <v>114</v>
      </c>
      <c r="BK528" s="174">
        <f>SUM(BK529:BK550)</f>
        <v>0</v>
      </c>
    </row>
    <row r="529" spans="2:65" s="92" customFormat="1" ht="16.5" customHeight="1">
      <c r="B529" s="90"/>
      <c r="C529" s="177" t="s">
        <v>1314</v>
      </c>
      <c r="D529" s="178" t="s">
        <v>116</v>
      </c>
      <c r="E529" s="179" t="s">
        <v>662</v>
      </c>
      <c r="F529" s="180" t="s">
        <v>663</v>
      </c>
      <c r="G529" s="181" t="s">
        <v>153</v>
      </c>
      <c r="H529" s="182">
        <v>10.075</v>
      </c>
      <c r="I529" s="69"/>
      <c r="J529" s="184">
        <f>ROUND(I529*H529,2)</f>
        <v>0</v>
      </c>
      <c r="K529" s="180" t="s">
        <v>154</v>
      </c>
      <c r="L529" s="90"/>
      <c r="M529" s="185" t="s">
        <v>1</v>
      </c>
      <c r="N529" s="186" t="s">
        <v>41</v>
      </c>
      <c r="O529" s="187"/>
      <c r="P529" s="188">
        <f>O529*H529</f>
        <v>0</v>
      </c>
      <c r="Q529" s="188">
        <v>0</v>
      </c>
      <c r="R529" s="188">
        <f>Q529*H529</f>
        <v>0</v>
      </c>
      <c r="S529" s="188">
        <v>0</v>
      </c>
      <c r="T529" s="189">
        <f>S529*H529</f>
        <v>0</v>
      </c>
      <c r="AR529" s="81" t="s">
        <v>245</v>
      </c>
      <c r="AT529" s="81" t="s">
        <v>116</v>
      </c>
      <c r="AU529" s="81" t="s">
        <v>76</v>
      </c>
      <c r="AY529" s="81" t="s">
        <v>114</v>
      </c>
      <c r="BE529" s="190">
        <f>IF(N529="základní",J529,0)</f>
        <v>0</v>
      </c>
      <c r="BF529" s="190">
        <f>IF(N529="snížená",J529,0)</f>
        <v>0</v>
      </c>
      <c r="BG529" s="190">
        <f>IF(N529="zákl. přenesená",J529,0)</f>
        <v>0</v>
      </c>
      <c r="BH529" s="190">
        <f>IF(N529="sníž. přenesená",J529,0)</f>
        <v>0</v>
      </c>
      <c r="BI529" s="190">
        <f>IF(N529="nulová",J529,0)</f>
        <v>0</v>
      </c>
      <c r="BJ529" s="81" t="s">
        <v>73</v>
      </c>
      <c r="BK529" s="190">
        <f>ROUND(I529*H529,2)</f>
        <v>0</v>
      </c>
      <c r="BL529" s="81" t="s">
        <v>245</v>
      </c>
      <c r="BM529" s="81" t="s">
        <v>664</v>
      </c>
    </row>
    <row r="530" spans="2:51" s="198" customFormat="1" ht="12">
      <c r="B530" s="191"/>
      <c r="C530" s="192"/>
      <c r="D530" s="193" t="s">
        <v>121</v>
      </c>
      <c r="E530" s="194" t="s">
        <v>1</v>
      </c>
      <c r="F530" s="259" t="s">
        <v>665</v>
      </c>
      <c r="H530" s="194" t="s">
        <v>1</v>
      </c>
      <c r="I530" s="69"/>
      <c r="L530" s="191"/>
      <c r="M530" s="199"/>
      <c r="N530" s="200"/>
      <c r="O530" s="200"/>
      <c r="P530" s="200"/>
      <c r="Q530" s="200"/>
      <c r="R530" s="200"/>
      <c r="S530" s="200"/>
      <c r="T530" s="201"/>
      <c r="AT530" s="194" t="s">
        <v>121</v>
      </c>
      <c r="AU530" s="194" t="s">
        <v>76</v>
      </c>
      <c r="AV530" s="198" t="s">
        <v>73</v>
      </c>
      <c r="AW530" s="198" t="s">
        <v>32</v>
      </c>
      <c r="AX530" s="198" t="s">
        <v>68</v>
      </c>
      <c r="AY530" s="194" t="s">
        <v>114</v>
      </c>
    </row>
    <row r="531" spans="2:51" s="208" customFormat="1" ht="12">
      <c r="B531" s="202"/>
      <c r="C531" s="203"/>
      <c r="D531" s="193" t="s">
        <v>121</v>
      </c>
      <c r="E531" s="204" t="s">
        <v>1</v>
      </c>
      <c r="F531" s="260" t="s">
        <v>666</v>
      </c>
      <c r="H531" s="261">
        <v>4.495</v>
      </c>
      <c r="I531" s="69"/>
      <c r="L531" s="202"/>
      <c r="M531" s="209"/>
      <c r="N531" s="210"/>
      <c r="O531" s="210"/>
      <c r="P531" s="210"/>
      <c r="Q531" s="210"/>
      <c r="R531" s="210"/>
      <c r="S531" s="210"/>
      <c r="T531" s="211"/>
      <c r="AT531" s="204" t="s">
        <v>121</v>
      </c>
      <c r="AU531" s="204" t="s">
        <v>76</v>
      </c>
      <c r="AV531" s="208" t="s">
        <v>76</v>
      </c>
      <c r="AW531" s="208" t="s">
        <v>32</v>
      </c>
      <c r="AX531" s="208" t="s">
        <v>68</v>
      </c>
      <c r="AY531" s="204" t="s">
        <v>114</v>
      </c>
    </row>
    <row r="532" spans="2:51" s="208" customFormat="1" ht="12">
      <c r="B532" s="202"/>
      <c r="C532" s="203"/>
      <c r="D532" s="193" t="s">
        <v>121</v>
      </c>
      <c r="E532" s="204" t="s">
        <v>1</v>
      </c>
      <c r="F532" s="260" t="s">
        <v>667</v>
      </c>
      <c r="H532" s="261">
        <v>-0.63</v>
      </c>
      <c r="I532" s="69"/>
      <c r="L532" s="202"/>
      <c r="M532" s="209"/>
      <c r="N532" s="210"/>
      <c r="O532" s="210"/>
      <c r="P532" s="210"/>
      <c r="Q532" s="210"/>
      <c r="R532" s="210"/>
      <c r="S532" s="210"/>
      <c r="T532" s="211"/>
      <c r="AT532" s="204" t="s">
        <v>121</v>
      </c>
      <c r="AU532" s="204" t="s">
        <v>76</v>
      </c>
      <c r="AV532" s="208" t="s">
        <v>76</v>
      </c>
      <c r="AW532" s="208" t="s">
        <v>32</v>
      </c>
      <c r="AX532" s="208" t="s">
        <v>68</v>
      </c>
      <c r="AY532" s="204" t="s">
        <v>114</v>
      </c>
    </row>
    <row r="533" spans="2:51" s="208" customFormat="1" ht="12">
      <c r="B533" s="202"/>
      <c r="C533" s="203"/>
      <c r="D533" s="193" t="s">
        <v>121</v>
      </c>
      <c r="E533" s="204" t="s">
        <v>1</v>
      </c>
      <c r="F533" s="260" t="s">
        <v>668</v>
      </c>
      <c r="H533" s="261">
        <v>4.45</v>
      </c>
      <c r="I533" s="69"/>
      <c r="L533" s="202"/>
      <c r="M533" s="209"/>
      <c r="N533" s="210"/>
      <c r="O533" s="210"/>
      <c r="P533" s="210"/>
      <c r="Q533" s="210"/>
      <c r="R533" s="210"/>
      <c r="S533" s="210"/>
      <c r="T533" s="211"/>
      <c r="AT533" s="204" t="s">
        <v>121</v>
      </c>
      <c r="AU533" s="204" t="s">
        <v>76</v>
      </c>
      <c r="AV533" s="208" t="s">
        <v>76</v>
      </c>
      <c r="AW533" s="208" t="s">
        <v>32</v>
      </c>
      <c r="AX533" s="208" t="s">
        <v>68</v>
      </c>
      <c r="AY533" s="204" t="s">
        <v>114</v>
      </c>
    </row>
    <row r="534" spans="2:51" s="208" customFormat="1" ht="12">
      <c r="B534" s="202"/>
      <c r="C534" s="203"/>
      <c r="D534" s="193" t="s">
        <v>121</v>
      </c>
      <c r="E534" s="204" t="s">
        <v>1</v>
      </c>
      <c r="F534" s="260" t="s">
        <v>669</v>
      </c>
      <c r="H534" s="261">
        <v>1.76</v>
      </c>
      <c r="I534" s="69"/>
      <c r="L534" s="202"/>
      <c r="M534" s="209"/>
      <c r="N534" s="210"/>
      <c r="O534" s="210"/>
      <c r="P534" s="210"/>
      <c r="Q534" s="210"/>
      <c r="R534" s="210"/>
      <c r="S534" s="210"/>
      <c r="T534" s="211"/>
      <c r="AT534" s="204" t="s">
        <v>121</v>
      </c>
      <c r="AU534" s="204" t="s">
        <v>76</v>
      </c>
      <c r="AV534" s="208" t="s">
        <v>76</v>
      </c>
      <c r="AW534" s="208" t="s">
        <v>32</v>
      </c>
      <c r="AX534" s="208" t="s">
        <v>68</v>
      </c>
      <c r="AY534" s="204" t="s">
        <v>114</v>
      </c>
    </row>
    <row r="535" spans="2:51" s="228" customFormat="1" ht="12">
      <c r="B535" s="222"/>
      <c r="C535" s="223"/>
      <c r="D535" s="193" t="s">
        <v>121</v>
      </c>
      <c r="E535" s="224" t="s">
        <v>1</v>
      </c>
      <c r="F535" s="266" t="s">
        <v>150</v>
      </c>
      <c r="H535" s="264">
        <v>10.075000000000001</v>
      </c>
      <c r="I535" s="69"/>
      <c r="L535" s="222"/>
      <c r="M535" s="229"/>
      <c r="N535" s="230"/>
      <c r="O535" s="230"/>
      <c r="P535" s="230"/>
      <c r="Q535" s="230"/>
      <c r="R535" s="230"/>
      <c r="S535" s="230"/>
      <c r="T535" s="231"/>
      <c r="AT535" s="224" t="s">
        <v>121</v>
      </c>
      <c r="AU535" s="224" t="s">
        <v>76</v>
      </c>
      <c r="AV535" s="228" t="s">
        <v>119</v>
      </c>
      <c r="AW535" s="228" t="s">
        <v>32</v>
      </c>
      <c r="AX535" s="228" t="s">
        <v>73</v>
      </c>
      <c r="AY535" s="224" t="s">
        <v>114</v>
      </c>
    </row>
    <row r="536" spans="2:65" s="92" customFormat="1" ht="16.5" customHeight="1">
      <c r="B536" s="90"/>
      <c r="C536" s="257" t="s">
        <v>1316</v>
      </c>
      <c r="D536" s="247" t="s">
        <v>319</v>
      </c>
      <c r="E536" s="248" t="s">
        <v>671</v>
      </c>
      <c r="F536" s="253" t="s">
        <v>672</v>
      </c>
      <c r="G536" s="262" t="s">
        <v>300</v>
      </c>
      <c r="H536" s="263">
        <v>0.004</v>
      </c>
      <c r="I536" s="69"/>
      <c r="J536" s="252">
        <f>ROUND(I536*H536,2)</f>
        <v>0</v>
      </c>
      <c r="K536" s="253" t="s">
        <v>154</v>
      </c>
      <c r="L536" s="254"/>
      <c r="M536" s="255" t="s">
        <v>1</v>
      </c>
      <c r="N536" s="256" t="s">
        <v>41</v>
      </c>
      <c r="O536" s="187"/>
      <c r="P536" s="188">
        <f>O536*H536</f>
        <v>0</v>
      </c>
      <c r="Q536" s="188">
        <v>1</v>
      </c>
      <c r="R536" s="188">
        <f>Q536*H536</f>
        <v>0.004</v>
      </c>
      <c r="S536" s="188">
        <v>0</v>
      </c>
      <c r="T536" s="189">
        <f>S536*H536</f>
        <v>0</v>
      </c>
      <c r="AR536" s="81" t="s">
        <v>343</v>
      </c>
      <c r="AT536" s="81" t="s">
        <v>319</v>
      </c>
      <c r="AU536" s="81" t="s">
        <v>76</v>
      </c>
      <c r="AY536" s="81" t="s">
        <v>114</v>
      </c>
      <c r="BE536" s="190">
        <f>IF(N536="základní",J536,0)</f>
        <v>0</v>
      </c>
      <c r="BF536" s="190">
        <f>IF(N536="snížená",J536,0)</f>
        <v>0</v>
      </c>
      <c r="BG536" s="190">
        <f>IF(N536="zákl. přenesená",J536,0)</f>
        <v>0</v>
      </c>
      <c r="BH536" s="190">
        <f>IF(N536="sníž. přenesená",J536,0)</f>
        <v>0</v>
      </c>
      <c r="BI536" s="190">
        <f>IF(N536="nulová",J536,0)</f>
        <v>0</v>
      </c>
      <c r="BJ536" s="81" t="s">
        <v>73</v>
      </c>
      <c r="BK536" s="190">
        <f>ROUND(I536*H536,2)</f>
        <v>0</v>
      </c>
      <c r="BL536" s="81" t="s">
        <v>245</v>
      </c>
      <c r="BM536" s="81" t="s">
        <v>673</v>
      </c>
    </row>
    <row r="537" spans="2:51" s="208" customFormat="1" ht="12">
      <c r="B537" s="202"/>
      <c r="C537" s="203"/>
      <c r="D537" s="193" t="s">
        <v>121</v>
      </c>
      <c r="F537" s="260" t="s">
        <v>674</v>
      </c>
      <c r="H537" s="261">
        <v>0.004</v>
      </c>
      <c r="I537" s="69"/>
      <c r="L537" s="202"/>
      <c r="M537" s="209"/>
      <c r="N537" s="210"/>
      <c r="O537" s="210"/>
      <c r="P537" s="210"/>
      <c r="Q537" s="210"/>
      <c r="R537" s="210"/>
      <c r="S537" s="210"/>
      <c r="T537" s="211"/>
      <c r="AT537" s="204" t="s">
        <v>121</v>
      </c>
      <c r="AU537" s="204" t="s">
        <v>76</v>
      </c>
      <c r="AV537" s="208" t="s">
        <v>76</v>
      </c>
      <c r="AW537" s="208" t="s">
        <v>3</v>
      </c>
      <c r="AX537" s="208" t="s">
        <v>73</v>
      </c>
      <c r="AY537" s="204" t="s">
        <v>114</v>
      </c>
    </row>
    <row r="538" spans="2:65" s="92" customFormat="1" ht="16.5" customHeight="1">
      <c r="B538" s="90"/>
      <c r="C538" s="177" t="s">
        <v>1320</v>
      </c>
      <c r="D538" s="178" t="s">
        <v>116</v>
      </c>
      <c r="E538" s="179" t="s">
        <v>676</v>
      </c>
      <c r="F538" s="180" t="s">
        <v>677</v>
      </c>
      <c r="G538" s="181" t="s">
        <v>153</v>
      </c>
      <c r="H538" s="182">
        <v>10.075</v>
      </c>
      <c r="I538" s="69"/>
      <c r="J538" s="184">
        <f>ROUND(I538*H538,2)</f>
        <v>0</v>
      </c>
      <c r="K538" s="180" t="s">
        <v>154</v>
      </c>
      <c r="L538" s="90"/>
      <c r="M538" s="185" t="s">
        <v>1</v>
      </c>
      <c r="N538" s="186" t="s">
        <v>41</v>
      </c>
      <c r="O538" s="187"/>
      <c r="P538" s="188">
        <f>O538*H538</f>
        <v>0</v>
      </c>
      <c r="Q538" s="188">
        <v>0</v>
      </c>
      <c r="R538" s="188">
        <f>Q538*H538</f>
        <v>0</v>
      </c>
      <c r="S538" s="188">
        <v>0</v>
      </c>
      <c r="T538" s="189">
        <f>S538*H538</f>
        <v>0</v>
      </c>
      <c r="AR538" s="81" t="s">
        <v>245</v>
      </c>
      <c r="AT538" s="81" t="s">
        <v>116</v>
      </c>
      <c r="AU538" s="81" t="s">
        <v>76</v>
      </c>
      <c r="AY538" s="81" t="s">
        <v>114</v>
      </c>
      <c r="BE538" s="190">
        <f>IF(N538="základní",J538,0)</f>
        <v>0</v>
      </c>
      <c r="BF538" s="190">
        <f>IF(N538="snížená",J538,0)</f>
        <v>0</v>
      </c>
      <c r="BG538" s="190">
        <f>IF(N538="zákl. přenesená",J538,0)</f>
        <v>0</v>
      </c>
      <c r="BH538" s="190">
        <f>IF(N538="sníž. přenesená",J538,0)</f>
        <v>0</v>
      </c>
      <c r="BI538" s="190">
        <f>IF(N538="nulová",J538,0)</f>
        <v>0</v>
      </c>
      <c r="BJ538" s="81" t="s">
        <v>73</v>
      </c>
      <c r="BK538" s="190">
        <f>ROUND(I538*H538,2)</f>
        <v>0</v>
      </c>
      <c r="BL538" s="81" t="s">
        <v>245</v>
      </c>
      <c r="BM538" s="81" t="s">
        <v>678</v>
      </c>
    </row>
    <row r="539" spans="2:65" s="92" customFormat="1" ht="16.5" customHeight="1">
      <c r="B539" s="90"/>
      <c r="C539" s="257" t="s">
        <v>1324</v>
      </c>
      <c r="D539" s="247" t="s">
        <v>319</v>
      </c>
      <c r="E539" s="248" t="s">
        <v>680</v>
      </c>
      <c r="F539" s="253" t="s">
        <v>681</v>
      </c>
      <c r="G539" s="262" t="s">
        <v>300</v>
      </c>
      <c r="H539" s="263">
        <v>0.011</v>
      </c>
      <c r="I539" s="69"/>
      <c r="J539" s="252">
        <f>ROUND(I539*H539,2)</f>
        <v>0</v>
      </c>
      <c r="K539" s="253" t="s">
        <v>154</v>
      </c>
      <c r="L539" s="254"/>
      <c r="M539" s="255" t="s">
        <v>1</v>
      </c>
      <c r="N539" s="256" t="s">
        <v>41</v>
      </c>
      <c r="O539" s="187"/>
      <c r="P539" s="188">
        <f>O539*H539</f>
        <v>0</v>
      </c>
      <c r="Q539" s="188">
        <v>1</v>
      </c>
      <c r="R539" s="188">
        <f>Q539*H539</f>
        <v>0.011</v>
      </c>
      <c r="S539" s="188">
        <v>0</v>
      </c>
      <c r="T539" s="189">
        <f>S539*H539</f>
        <v>0</v>
      </c>
      <c r="AR539" s="81" t="s">
        <v>343</v>
      </c>
      <c r="AT539" s="81" t="s">
        <v>319</v>
      </c>
      <c r="AU539" s="81" t="s">
        <v>76</v>
      </c>
      <c r="AY539" s="81" t="s">
        <v>114</v>
      </c>
      <c r="BE539" s="190">
        <f>IF(N539="základní",J539,0)</f>
        <v>0</v>
      </c>
      <c r="BF539" s="190">
        <f>IF(N539="snížená",J539,0)</f>
        <v>0</v>
      </c>
      <c r="BG539" s="190">
        <f>IF(N539="zákl. přenesená",J539,0)</f>
        <v>0</v>
      </c>
      <c r="BH539" s="190">
        <f>IF(N539="sníž. přenesená",J539,0)</f>
        <v>0</v>
      </c>
      <c r="BI539" s="190">
        <f>IF(N539="nulová",J539,0)</f>
        <v>0</v>
      </c>
      <c r="BJ539" s="81" t="s">
        <v>73</v>
      </c>
      <c r="BK539" s="190">
        <f>ROUND(I539*H539,2)</f>
        <v>0</v>
      </c>
      <c r="BL539" s="81" t="s">
        <v>245</v>
      </c>
      <c r="BM539" s="81" t="s">
        <v>682</v>
      </c>
    </row>
    <row r="540" spans="2:51" s="208" customFormat="1" ht="12">
      <c r="B540" s="202"/>
      <c r="C540" s="203"/>
      <c r="D540" s="193" t="s">
        <v>121</v>
      </c>
      <c r="F540" s="260" t="s">
        <v>683</v>
      </c>
      <c r="H540" s="261">
        <v>0.011</v>
      </c>
      <c r="I540" s="69"/>
      <c r="L540" s="202"/>
      <c r="M540" s="209"/>
      <c r="N540" s="210"/>
      <c r="O540" s="210"/>
      <c r="P540" s="210"/>
      <c r="Q540" s="210"/>
      <c r="R540" s="210"/>
      <c r="S540" s="210"/>
      <c r="T540" s="211"/>
      <c r="AT540" s="204" t="s">
        <v>121</v>
      </c>
      <c r="AU540" s="204" t="s">
        <v>76</v>
      </c>
      <c r="AV540" s="208" t="s">
        <v>76</v>
      </c>
      <c r="AW540" s="208" t="s">
        <v>3</v>
      </c>
      <c r="AX540" s="208" t="s">
        <v>73</v>
      </c>
      <c r="AY540" s="204" t="s">
        <v>114</v>
      </c>
    </row>
    <row r="541" spans="2:65" s="92" customFormat="1" ht="16.5" customHeight="1">
      <c r="B541" s="90"/>
      <c r="C541" s="177" t="s">
        <v>1326</v>
      </c>
      <c r="D541" s="178" t="s">
        <v>116</v>
      </c>
      <c r="E541" s="179" t="s">
        <v>685</v>
      </c>
      <c r="F541" s="180" t="s">
        <v>686</v>
      </c>
      <c r="G541" s="181" t="s">
        <v>153</v>
      </c>
      <c r="H541" s="182">
        <v>12.695</v>
      </c>
      <c r="I541" s="69"/>
      <c r="J541" s="184">
        <f>ROUND(I541*H541,2)</f>
        <v>0</v>
      </c>
      <c r="K541" s="180" t="s">
        <v>154</v>
      </c>
      <c r="L541" s="90"/>
      <c r="M541" s="185" t="s">
        <v>1</v>
      </c>
      <c r="N541" s="186" t="s">
        <v>41</v>
      </c>
      <c r="O541" s="187"/>
      <c r="P541" s="188">
        <f>O541*H541</f>
        <v>0</v>
      </c>
      <c r="Q541" s="188">
        <v>8E-05</v>
      </c>
      <c r="R541" s="188">
        <f>Q541*H541</f>
        <v>0.0010156000000000002</v>
      </c>
      <c r="S541" s="188">
        <v>0</v>
      </c>
      <c r="T541" s="189">
        <f>S541*H541</f>
        <v>0</v>
      </c>
      <c r="AR541" s="81" t="s">
        <v>245</v>
      </c>
      <c r="AT541" s="81" t="s">
        <v>116</v>
      </c>
      <c r="AU541" s="81" t="s">
        <v>76</v>
      </c>
      <c r="AY541" s="81" t="s">
        <v>114</v>
      </c>
      <c r="BE541" s="190">
        <f>IF(N541="základní",J541,0)</f>
        <v>0</v>
      </c>
      <c r="BF541" s="190">
        <f>IF(N541="snížená",J541,0)</f>
        <v>0</v>
      </c>
      <c r="BG541" s="190">
        <f>IF(N541="zákl. přenesená",J541,0)</f>
        <v>0</v>
      </c>
      <c r="BH541" s="190">
        <f>IF(N541="sníž. přenesená",J541,0)</f>
        <v>0</v>
      </c>
      <c r="BI541" s="190">
        <f>IF(N541="nulová",J541,0)</f>
        <v>0</v>
      </c>
      <c r="BJ541" s="81" t="s">
        <v>73</v>
      </c>
      <c r="BK541" s="190">
        <f>ROUND(I541*H541,2)</f>
        <v>0</v>
      </c>
      <c r="BL541" s="81" t="s">
        <v>245</v>
      </c>
      <c r="BM541" s="81" t="s">
        <v>687</v>
      </c>
    </row>
    <row r="542" spans="2:51" s="198" customFormat="1" ht="12">
      <c r="B542" s="191"/>
      <c r="C542" s="192"/>
      <c r="D542" s="193" t="s">
        <v>121</v>
      </c>
      <c r="E542" s="194" t="s">
        <v>1</v>
      </c>
      <c r="F542" s="259" t="s">
        <v>665</v>
      </c>
      <c r="H542" s="194" t="s">
        <v>1</v>
      </c>
      <c r="I542" s="69"/>
      <c r="L542" s="191"/>
      <c r="M542" s="199"/>
      <c r="N542" s="200"/>
      <c r="O542" s="200"/>
      <c r="P542" s="200"/>
      <c r="Q542" s="200"/>
      <c r="R542" s="200"/>
      <c r="S542" s="200"/>
      <c r="T542" s="201"/>
      <c r="AT542" s="194" t="s">
        <v>121</v>
      </c>
      <c r="AU542" s="194" t="s">
        <v>76</v>
      </c>
      <c r="AV542" s="198" t="s">
        <v>73</v>
      </c>
      <c r="AW542" s="198" t="s">
        <v>32</v>
      </c>
      <c r="AX542" s="198" t="s">
        <v>68</v>
      </c>
      <c r="AY542" s="194" t="s">
        <v>114</v>
      </c>
    </row>
    <row r="543" spans="2:51" s="208" customFormat="1" ht="12">
      <c r="B543" s="202"/>
      <c r="C543" s="203"/>
      <c r="D543" s="193" t="s">
        <v>121</v>
      </c>
      <c r="E543" s="204" t="s">
        <v>1</v>
      </c>
      <c r="F543" s="260" t="s">
        <v>688</v>
      </c>
      <c r="H543" s="261">
        <v>5.425</v>
      </c>
      <c r="I543" s="69"/>
      <c r="L543" s="202"/>
      <c r="M543" s="209"/>
      <c r="N543" s="210"/>
      <c r="O543" s="210"/>
      <c r="P543" s="210"/>
      <c r="Q543" s="210"/>
      <c r="R543" s="210"/>
      <c r="S543" s="210"/>
      <c r="T543" s="211"/>
      <c r="AT543" s="204" t="s">
        <v>121</v>
      </c>
      <c r="AU543" s="204" t="s">
        <v>76</v>
      </c>
      <c r="AV543" s="208" t="s">
        <v>76</v>
      </c>
      <c r="AW543" s="208" t="s">
        <v>32</v>
      </c>
      <c r="AX543" s="208" t="s">
        <v>68</v>
      </c>
      <c r="AY543" s="204" t="s">
        <v>114</v>
      </c>
    </row>
    <row r="544" spans="2:51" s="208" customFormat="1" ht="12">
      <c r="B544" s="202"/>
      <c r="C544" s="203"/>
      <c r="D544" s="193" t="s">
        <v>121</v>
      </c>
      <c r="E544" s="204" t="s">
        <v>1</v>
      </c>
      <c r="F544" s="260" t="s">
        <v>667</v>
      </c>
      <c r="H544" s="261">
        <v>-0.63</v>
      </c>
      <c r="I544" s="69"/>
      <c r="L544" s="202"/>
      <c r="M544" s="209"/>
      <c r="N544" s="210"/>
      <c r="O544" s="210"/>
      <c r="P544" s="210"/>
      <c r="Q544" s="210"/>
      <c r="R544" s="210"/>
      <c r="S544" s="210"/>
      <c r="T544" s="211"/>
      <c r="AT544" s="204" t="s">
        <v>121</v>
      </c>
      <c r="AU544" s="204" t="s">
        <v>76</v>
      </c>
      <c r="AV544" s="208" t="s">
        <v>76</v>
      </c>
      <c r="AW544" s="208" t="s">
        <v>32</v>
      </c>
      <c r="AX544" s="208" t="s">
        <v>68</v>
      </c>
      <c r="AY544" s="204" t="s">
        <v>114</v>
      </c>
    </row>
    <row r="545" spans="2:51" s="208" customFormat="1" ht="12">
      <c r="B545" s="202"/>
      <c r="C545" s="203"/>
      <c r="D545" s="193" t="s">
        <v>121</v>
      </c>
      <c r="E545" s="204" t="s">
        <v>1</v>
      </c>
      <c r="F545" s="260" t="s">
        <v>689</v>
      </c>
      <c r="H545" s="261">
        <v>5.82</v>
      </c>
      <c r="I545" s="69"/>
      <c r="L545" s="202"/>
      <c r="M545" s="209"/>
      <c r="N545" s="210"/>
      <c r="O545" s="210"/>
      <c r="P545" s="210"/>
      <c r="Q545" s="210"/>
      <c r="R545" s="210"/>
      <c r="S545" s="210"/>
      <c r="T545" s="211"/>
      <c r="AT545" s="204" t="s">
        <v>121</v>
      </c>
      <c r="AU545" s="204" t="s">
        <v>76</v>
      </c>
      <c r="AV545" s="208" t="s">
        <v>76</v>
      </c>
      <c r="AW545" s="208" t="s">
        <v>32</v>
      </c>
      <c r="AX545" s="208" t="s">
        <v>68</v>
      </c>
      <c r="AY545" s="204" t="s">
        <v>114</v>
      </c>
    </row>
    <row r="546" spans="2:51" s="208" customFormat="1" ht="12">
      <c r="B546" s="202"/>
      <c r="C546" s="203"/>
      <c r="D546" s="193" t="s">
        <v>121</v>
      </c>
      <c r="E546" s="204" t="s">
        <v>1</v>
      </c>
      <c r="F546" s="260" t="s">
        <v>690</v>
      </c>
      <c r="H546" s="261">
        <v>2.08</v>
      </c>
      <c r="I546" s="69"/>
      <c r="L546" s="202"/>
      <c r="M546" s="209"/>
      <c r="N546" s="210"/>
      <c r="O546" s="210"/>
      <c r="P546" s="210"/>
      <c r="Q546" s="210"/>
      <c r="R546" s="210"/>
      <c r="S546" s="210"/>
      <c r="T546" s="211"/>
      <c r="AT546" s="204" t="s">
        <v>121</v>
      </c>
      <c r="AU546" s="204" t="s">
        <v>76</v>
      </c>
      <c r="AV546" s="208" t="s">
        <v>76</v>
      </c>
      <c r="AW546" s="208" t="s">
        <v>32</v>
      </c>
      <c r="AX546" s="208" t="s">
        <v>68</v>
      </c>
      <c r="AY546" s="204" t="s">
        <v>114</v>
      </c>
    </row>
    <row r="547" spans="2:51" s="228" customFormat="1" ht="12">
      <c r="B547" s="222"/>
      <c r="C547" s="223"/>
      <c r="D547" s="193" t="s">
        <v>121</v>
      </c>
      <c r="E547" s="224" t="s">
        <v>1</v>
      </c>
      <c r="F547" s="266" t="s">
        <v>150</v>
      </c>
      <c r="H547" s="264">
        <v>12.695</v>
      </c>
      <c r="I547" s="69"/>
      <c r="L547" s="222"/>
      <c r="M547" s="229"/>
      <c r="N547" s="230"/>
      <c r="O547" s="230"/>
      <c r="P547" s="230"/>
      <c r="Q547" s="230"/>
      <c r="R547" s="230"/>
      <c r="S547" s="230"/>
      <c r="T547" s="231"/>
      <c r="AT547" s="224" t="s">
        <v>121</v>
      </c>
      <c r="AU547" s="224" t="s">
        <v>76</v>
      </c>
      <c r="AV547" s="228" t="s">
        <v>119</v>
      </c>
      <c r="AW547" s="228" t="s">
        <v>32</v>
      </c>
      <c r="AX547" s="228" t="s">
        <v>73</v>
      </c>
      <c r="AY547" s="224" t="s">
        <v>114</v>
      </c>
    </row>
    <row r="548" spans="2:65" s="92" customFormat="1" ht="16.5" customHeight="1">
      <c r="B548" s="90"/>
      <c r="C548" s="257" t="s">
        <v>1328</v>
      </c>
      <c r="D548" s="247" t="s">
        <v>319</v>
      </c>
      <c r="E548" s="248" t="s">
        <v>692</v>
      </c>
      <c r="F548" s="253" t="s">
        <v>693</v>
      </c>
      <c r="G548" s="262" t="s">
        <v>153</v>
      </c>
      <c r="H548" s="263">
        <v>15.234</v>
      </c>
      <c r="I548" s="69"/>
      <c r="J548" s="252">
        <f>ROUND(I548*H548,2)</f>
        <v>0</v>
      </c>
      <c r="K548" s="253" t="s">
        <v>154</v>
      </c>
      <c r="L548" s="254"/>
      <c r="M548" s="255" t="s">
        <v>1</v>
      </c>
      <c r="N548" s="256" t="s">
        <v>41</v>
      </c>
      <c r="O548" s="187"/>
      <c r="P548" s="188">
        <f>O548*H548</f>
        <v>0</v>
      </c>
      <c r="Q548" s="188">
        <v>0.0005</v>
      </c>
      <c r="R548" s="188">
        <f>Q548*H548</f>
        <v>0.0076170000000000005</v>
      </c>
      <c r="S548" s="188">
        <v>0</v>
      </c>
      <c r="T548" s="189">
        <f>S548*H548</f>
        <v>0</v>
      </c>
      <c r="AR548" s="81" t="s">
        <v>343</v>
      </c>
      <c r="AT548" s="81" t="s">
        <v>319</v>
      </c>
      <c r="AU548" s="81" t="s">
        <v>76</v>
      </c>
      <c r="AY548" s="81" t="s">
        <v>114</v>
      </c>
      <c r="BE548" s="190">
        <f>IF(N548="základní",J548,0)</f>
        <v>0</v>
      </c>
      <c r="BF548" s="190">
        <f>IF(N548="snížená",J548,0)</f>
        <v>0</v>
      </c>
      <c r="BG548" s="190">
        <f>IF(N548="zákl. přenesená",J548,0)</f>
        <v>0</v>
      </c>
      <c r="BH548" s="190">
        <f>IF(N548="sníž. přenesená",J548,0)</f>
        <v>0</v>
      </c>
      <c r="BI548" s="190">
        <f>IF(N548="nulová",J548,0)</f>
        <v>0</v>
      </c>
      <c r="BJ548" s="81" t="s">
        <v>73</v>
      </c>
      <c r="BK548" s="190">
        <f>ROUND(I548*H548,2)</f>
        <v>0</v>
      </c>
      <c r="BL548" s="81" t="s">
        <v>245</v>
      </c>
      <c r="BM548" s="81" t="s">
        <v>694</v>
      </c>
    </row>
    <row r="549" spans="2:51" s="208" customFormat="1" ht="12">
      <c r="B549" s="202"/>
      <c r="C549" s="203"/>
      <c r="D549" s="193" t="s">
        <v>121</v>
      </c>
      <c r="F549" s="260" t="s">
        <v>695</v>
      </c>
      <c r="H549" s="261">
        <v>15.234</v>
      </c>
      <c r="I549" s="70"/>
      <c r="L549" s="202"/>
      <c r="M549" s="209"/>
      <c r="N549" s="210"/>
      <c r="O549" s="210"/>
      <c r="P549" s="210"/>
      <c r="Q549" s="210"/>
      <c r="R549" s="210"/>
      <c r="S549" s="210"/>
      <c r="T549" s="211"/>
      <c r="AT549" s="204" t="s">
        <v>121</v>
      </c>
      <c r="AU549" s="204" t="s">
        <v>76</v>
      </c>
      <c r="AV549" s="208" t="s">
        <v>76</v>
      </c>
      <c r="AW549" s="208" t="s">
        <v>3</v>
      </c>
      <c r="AX549" s="208" t="s">
        <v>73</v>
      </c>
      <c r="AY549" s="204" t="s">
        <v>114</v>
      </c>
    </row>
    <row r="550" spans="2:65" s="92" customFormat="1" ht="16.5" customHeight="1">
      <c r="B550" s="90"/>
      <c r="C550" s="177" t="s">
        <v>1330</v>
      </c>
      <c r="D550" s="178" t="s">
        <v>116</v>
      </c>
      <c r="E550" s="179" t="s">
        <v>697</v>
      </c>
      <c r="F550" s="180" t="s">
        <v>698</v>
      </c>
      <c r="G550" s="181" t="s">
        <v>699</v>
      </c>
      <c r="H550" s="307">
        <f>SUM(J529:J548)</f>
        <v>0</v>
      </c>
      <c r="I550" s="69"/>
      <c r="J550" s="184">
        <f>ROUND(I550*H550/100,2)</f>
        <v>0</v>
      </c>
      <c r="K550" s="180" t="s">
        <v>154</v>
      </c>
      <c r="L550" s="90"/>
      <c r="M550" s="185" t="s">
        <v>1</v>
      </c>
      <c r="N550" s="186" t="s">
        <v>41</v>
      </c>
      <c r="O550" s="187"/>
      <c r="P550" s="188">
        <f>O550*H550</f>
        <v>0</v>
      </c>
      <c r="Q550" s="188">
        <v>0</v>
      </c>
      <c r="R550" s="188">
        <f>Q550*H550</f>
        <v>0</v>
      </c>
      <c r="S550" s="188">
        <v>0</v>
      </c>
      <c r="T550" s="189">
        <f>S550*H550</f>
        <v>0</v>
      </c>
      <c r="AR550" s="81" t="s">
        <v>245</v>
      </c>
      <c r="AT550" s="81" t="s">
        <v>116</v>
      </c>
      <c r="AU550" s="81" t="s">
        <v>76</v>
      </c>
      <c r="AY550" s="81" t="s">
        <v>114</v>
      </c>
      <c r="BE550" s="190">
        <f>IF(N550="základní",J550,0)</f>
        <v>0</v>
      </c>
      <c r="BF550" s="190">
        <f>IF(N550="snížená",J550,0)</f>
        <v>0</v>
      </c>
      <c r="BG550" s="190">
        <f>IF(N550="zákl. přenesená",J550,0)</f>
        <v>0</v>
      </c>
      <c r="BH550" s="190">
        <f>IF(N550="sníž. přenesená",J550,0)</f>
        <v>0</v>
      </c>
      <c r="BI550" s="190">
        <f>IF(N550="nulová",J550,0)</f>
        <v>0</v>
      </c>
      <c r="BJ550" s="81" t="s">
        <v>73</v>
      </c>
      <c r="BK550" s="190">
        <f>ROUND(I550*H550,2)</f>
        <v>0</v>
      </c>
      <c r="BL550" s="81" t="s">
        <v>245</v>
      </c>
      <c r="BM550" s="81" t="s">
        <v>700</v>
      </c>
    </row>
    <row r="551" spans="2:63" s="166" customFormat="1" ht="22.9" customHeight="1">
      <c r="B551" s="162"/>
      <c r="C551" s="163"/>
      <c r="D551" s="164" t="s">
        <v>67</v>
      </c>
      <c r="E551" s="175" t="s">
        <v>701</v>
      </c>
      <c r="F551" s="175" t="s">
        <v>702</v>
      </c>
      <c r="I551" s="74"/>
      <c r="J551" s="176">
        <f>SUM(J552:J555)</f>
        <v>0</v>
      </c>
      <c r="L551" s="162"/>
      <c r="M551" s="169"/>
      <c r="N551" s="170"/>
      <c r="O551" s="170"/>
      <c r="P551" s="171">
        <f>SUM(P552:P555)</f>
        <v>0</v>
      </c>
      <c r="Q551" s="170"/>
      <c r="R551" s="171">
        <f>SUM(R552:R555)</f>
        <v>0.10816200000000001</v>
      </c>
      <c r="S551" s="170"/>
      <c r="T551" s="172">
        <f>SUM(T552:T555)</f>
        <v>0</v>
      </c>
      <c r="AR551" s="164" t="s">
        <v>76</v>
      </c>
      <c r="AT551" s="173" t="s">
        <v>67</v>
      </c>
      <c r="AU551" s="173" t="s">
        <v>73</v>
      </c>
      <c r="AY551" s="164" t="s">
        <v>114</v>
      </c>
      <c r="BK551" s="174">
        <f>SUM(BK552:BK555)</f>
        <v>0</v>
      </c>
    </row>
    <row r="552" spans="2:65" s="92" customFormat="1" ht="16.5" customHeight="1">
      <c r="B552" s="90"/>
      <c r="C552" s="177" t="s">
        <v>1332</v>
      </c>
      <c r="D552" s="178" t="s">
        <v>116</v>
      </c>
      <c r="E552" s="179" t="s">
        <v>704</v>
      </c>
      <c r="F552" s="180" t="s">
        <v>705</v>
      </c>
      <c r="G552" s="181" t="s">
        <v>153</v>
      </c>
      <c r="H552" s="182">
        <v>12.695</v>
      </c>
      <c r="I552" s="69"/>
      <c r="J552" s="184">
        <f>ROUND(I552*H552,2)</f>
        <v>0</v>
      </c>
      <c r="K552" s="180" t="s">
        <v>154</v>
      </c>
      <c r="L552" s="90"/>
      <c r="M552" s="185" t="s">
        <v>1</v>
      </c>
      <c r="N552" s="186" t="s">
        <v>41</v>
      </c>
      <c r="O552" s="187"/>
      <c r="P552" s="188">
        <f>O552*H552</f>
        <v>0</v>
      </c>
      <c r="Q552" s="188">
        <v>0.006</v>
      </c>
      <c r="R552" s="188">
        <f>Q552*H552</f>
        <v>0.07617</v>
      </c>
      <c r="S552" s="188">
        <v>0</v>
      </c>
      <c r="T552" s="189">
        <f>S552*H552</f>
        <v>0</v>
      </c>
      <c r="AR552" s="81" t="s">
        <v>245</v>
      </c>
      <c r="AT552" s="81" t="s">
        <v>116</v>
      </c>
      <c r="AU552" s="81" t="s">
        <v>76</v>
      </c>
      <c r="AY552" s="81" t="s">
        <v>114</v>
      </c>
      <c r="BE552" s="190">
        <f>IF(N552="základní",J552,0)</f>
        <v>0</v>
      </c>
      <c r="BF552" s="190">
        <f>IF(N552="snížená",J552,0)</f>
        <v>0</v>
      </c>
      <c r="BG552" s="190">
        <f>IF(N552="zákl. přenesená",J552,0)</f>
        <v>0</v>
      </c>
      <c r="BH552" s="190">
        <f>IF(N552="sníž. přenesená",J552,0)</f>
        <v>0</v>
      </c>
      <c r="BI552" s="190">
        <f>IF(N552="nulová",J552,0)</f>
        <v>0</v>
      </c>
      <c r="BJ552" s="81" t="s">
        <v>73</v>
      </c>
      <c r="BK552" s="190">
        <f>ROUND(I552*H552,2)</f>
        <v>0</v>
      </c>
      <c r="BL552" s="81" t="s">
        <v>245</v>
      </c>
      <c r="BM552" s="81" t="s">
        <v>706</v>
      </c>
    </row>
    <row r="553" spans="2:65" s="92" customFormat="1" ht="16.5" customHeight="1">
      <c r="B553" s="90"/>
      <c r="C553" s="257" t="s">
        <v>1334</v>
      </c>
      <c r="D553" s="247" t="s">
        <v>319</v>
      </c>
      <c r="E553" s="248" t="s">
        <v>708</v>
      </c>
      <c r="F553" s="253" t="s">
        <v>709</v>
      </c>
      <c r="G553" s="262" t="s">
        <v>153</v>
      </c>
      <c r="H553" s="263">
        <v>13.33</v>
      </c>
      <c r="I553" s="69"/>
      <c r="J553" s="252">
        <f>ROUND(I553*H553,2)</f>
        <v>0</v>
      </c>
      <c r="K553" s="253" t="s">
        <v>154</v>
      </c>
      <c r="L553" s="254"/>
      <c r="M553" s="255" t="s">
        <v>1</v>
      </c>
      <c r="N553" s="256" t="s">
        <v>41</v>
      </c>
      <c r="O553" s="187"/>
      <c r="P553" s="188">
        <f>O553*H553</f>
        <v>0</v>
      </c>
      <c r="Q553" s="188">
        <v>0.0024</v>
      </c>
      <c r="R553" s="188">
        <f>Q553*H553</f>
        <v>0.031992</v>
      </c>
      <c r="S553" s="188">
        <v>0</v>
      </c>
      <c r="T553" s="189">
        <f>S553*H553</f>
        <v>0</v>
      </c>
      <c r="AR553" s="81" t="s">
        <v>343</v>
      </c>
      <c r="AT553" s="81" t="s">
        <v>319</v>
      </c>
      <c r="AU553" s="81" t="s">
        <v>76</v>
      </c>
      <c r="AY553" s="81" t="s">
        <v>114</v>
      </c>
      <c r="BE553" s="190">
        <f>IF(N553="základní",J553,0)</f>
        <v>0</v>
      </c>
      <c r="BF553" s="190">
        <f>IF(N553="snížená",J553,0)</f>
        <v>0</v>
      </c>
      <c r="BG553" s="190">
        <f>IF(N553="zákl. přenesená",J553,0)</f>
        <v>0</v>
      </c>
      <c r="BH553" s="190">
        <f>IF(N553="sníž. přenesená",J553,0)</f>
        <v>0</v>
      </c>
      <c r="BI553" s="190">
        <f>IF(N553="nulová",J553,0)</f>
        <v>0</v>
      </c>
      <c r="BJ553" s="81" t="s">
        <v>73</v>
      </c>
      <c r="BK553" s="190">
        <f>ROUND(I553*H553,2)</f>
        <v>0</v>
      </c>
      <c r="BL553" s="81" t="s">
        <v>245</v>
      </c>
      <c r="BM553" s="81" t="s">
        <v>710</v>
      </c>
    </row>
    <row r="554" spans="2:51" s="208" customFormat="1" ht="12">
      <c r="B554" s="202"/>
      <c r="C554" s="203"/>
      <c r="D554" s="193" t="s">
        <v>121</v>
      </c>
      <c r="F554" s="260" t="s">
        <v>711</v>
      </c>
      <c r="H554" s="261">
        <v>13.33</v>
      </c>
      <c r="I554" s="70"/>
      <c r="L554" s="202"/>
      <c r="M554" s="209"/>
      <c r="N554" s="210"/>
      <c r="O554" s="210"/>
      <c r="P554" s="210"/>
      <c r="Q554" s="210"/>
      <c r="R554" s="210"/>
      <c r="S554" s="210"/>
      <c r="T554" s="211"/>
      <c r="AT554" s="204" t="s">
        <v>121</v>
      </c>
      <c r="AU554" s="204" t="s">
        <v>76</v>
      </c>
      <c r="AV554" s="208" t="s">
        <v>76</v>
      </c>
      <c r="AW554" s="208" t="s">
        <v>3</v>
      </c>
      <c r="AX554" s="208" t="s">
        <v>73</v>
      </c>
      <c r="AY554" s="204" t="s">
        <v>114</v>
      </c>
    </row>
    <row r="555" spans="2:65" s="92" customFormat="1" ht="16.5" customHeight="1">
      <c r="B555" s="90"/>
      <c r="C555" s="177" t="s">
        <v>1336</v>
      </c>
      <c r="D555" s="178" t="s">
        <v>116</v>
      </c>
      <c r="E555" s="179" t="s">
        <v>713</v>
      </c>
      <c r="F555" s="180" t="s">
        <v>714</v>
      </c>
      <c r="G555" s="181" t="s">
        <v>699</v>
      </c>
      <c r="H555" s="307">
        <f>SUM(J552:J553)</f>
        <v>0</v>
      </c>
      <c r="I555" s="69"/>
      <c r="J555" s="184">
        <f>ROUND(I555*H555/100,2)</f>
        <v>0</v>
      </c>
      <c r="K555" s="180" t="s">
        <v>154</v>
      </c>
      <c r="L555" s="90"/>
      <c r="M555" s="185" t="s">
        <v>1</v>
      </c>
      <c r="N555" s="186" t="s">
        <v>41</v>
      </c>
      <c r="O555" s="187"/>
      <c r="P555" s="188">
        <f>O555*H555</f>
        <v>0</v>
      </c>
      <c r="Q555" s="188">
        <v>0</v>
      </c>
      <c r="R555" s="188">
        <f>Q555*H555</f>
        <v>0</v>
      </c>
      <c r="S555" s="188">
        <v>0</v>
      </c>
      <c r="T555" s="189">
        <f>S555*H555</f>
        <v>0</v>
      </c>
      <c r="AR555" s="81" t="s">
        <v>245</v>
      </c>
      <c r="AT555" s="81" t="s">
        <v>116</v>
      </c>
      <c r="AU555" s="81" t="s">
        <v>76</v>
      </c>
      <c r="AY555" s="81" t="s">
        <v>114</v>
      </c>
      <c r="BE555" s="190">
        <f>IF(N555="základní",J555,0)</f>
        <v>0</v>
      </c>
      <c r="BF555" s="190">
        <f>IF(N555="snížená",J555,0)</f>
        <v>0</v>
      </c>
      <c r="BG555" s="190">
        <f>IF(N555="zákl. přenesená",J555,0)</f>
        <v>0</v>
      </c>
      <c r="BH555" s="190">
        <f>IF(N555="sníž. přenesená",J555,0)</f>
        <v>0</v>
      </c>
      <c r="BI555" s="190">
        <f>IF(N555="nulová",J555,0)</f>
        <v>0</v>
      </c>
      <c r="BJ555" s="81" t="s">
        <v>73</v>
      </c>
      <c r="BK555" s="190">
        <f>ROUND(I555*H555,2)</f>
        <v>0</v>
      </c>
      <c r="BL555" s="81" t="s">
        <v>245</v>
      </c>
      <c r="BM555" s="81" t="s">
        <v>715</v>
      </c>
    </row>
    <row r="556" spans="2:63" s="166" customFormat="1" ht="22.9" customHeight="1">
      <c r="B556" s="162"/>
      <c r="C556" s="163"/>
      <c r="D556" s="164" t="s">
        <v>67</v>
      </c>
      <c r="E556" s="175" t="s">
        <v>716</v>
      </c>
      <c r="F556" s="175" t="s">
        <v>717</v>
      </c>
      <c r="I556" s="74"/>
      <c r="J556" s="176">
        <f>SUM(J557:J559)</f>
        <v>0</v>
      </c>
      <c r="L556" s="162"/>
      <c r="M556" s="169"/>
      <c r="N556" s="170"/>
      <c r="O556" s="170"/>
      <c r="P556" s="171">
        <f>SUM(P557:P559)</f>
        <v>0</v>
      </c>
      <c r="Q556" s="170"/>
      <c r="R556" s="171">
        <f>SUM(R557:R559)</f>
        <v>0.0067</v>
      </c>
      <c r="S556" s="170"/>
      <c r="T556" s="172">
        <f>SUM(T557:T559)</f>
        <v>0</v>
      </c>
      <c r="AR556" s="164" t="s">
        <v>76</v>
      </c>
      <c r="AT556" s="173" t="s">
        <v>67</v>
      </c>
      <c r="AU556" s="173" t="s">
        <v>73</v>
      </c>
      <c r="AY556" s="164" t="s">
        <v>114</v>
      </c>
      <c r="BK556" s="174">
        <f>SUM(BK557:BK559)</f>
        <v>0</v>
      </c>
    </row>
    <row r="557" spans="2:65" s="92" customFormat="1" ht="16.5" customHeight="1">
      <c r="B557" s="90"/>
      <c r="C557" s="177" t="s">
        <v>1338</v>
      </c>
      <c r="D557" s="178" t="s">
        <v>116</v>
      </c>
      <c r="E557" s="179" t="s">
        <v>719</v>
      </c>
      <c r="F557" s="180" t="s">
        <v>720</v>
      </c>
      <c r="G557" s="181" t="s">
        <v>358</v>
      </c>
      <c r="H557" s="182">
        <v>1</v>
      </c>
      <c r="I557" s="69"/>
      <c r="J557" s="184">
        <f>ROUND(I557*H557,2)</f>
        <v>0</v>
      </c>
      <c r="K557" s="180" t="s">
        <v>154</v>
      </c>
      <c r="L557" s="90"/>
      <c r="M557" s="185" t="s">
        <v>1</v>
      </c>
      <c r="N557" s="186" t="s">
        <v>41</v>
      </c>
      <c r="O557" s="187"/>
      <c r="P557" s="188">
        <f>O557*H557</f>
        <v>0</v>
      </c>
      <c r="Q557" s="188">
        <v>0</v>
      </c>
      <c r="R557" s="188">
        <f>Q557*H557</f>
        <v>0</v>
      </c>
      <c r="S557" s="188">
        <v>0</v>
      </c>
      <c r="T557" s="189">
        <f>S557*H557</f>
        <v>0</v>
      </c>
      <c r="AR557" s="81" t="s">
        <v>245</v>
      </c>
      <c r="AT557" s="81" t="s">
        <v>116</v>
      </c>
      <c r="AU557" s="81" t="s">
        <v>76</v>
      </c>
      <c r="AY557" s="81" t="s">
        <v>114</v>
      </c>
      <c r="BE557" s="190">
        <f>IF(N557="základní",J557,0)</f>
        <v>0</v>
      </c>
      <c r="BF557" s="190">
        <f>IF(N557="snížená",J557,0)</f>
        <v>0</v>
      </c>
      <c r="BG557" s="190">
        <f>IF(N557="zákl. přenesená",J557,0)</f>
        <v>0</v>
      </c>
      <c r="BH557" s="190">
        <f>IF(N557="sníž. přenesená",J557,0)</f>
        <v>0</v>
      </c>
      <c r="BI557" s="190">
        <f>IF(N557="nulová",J557,0)</f>
        <v>0</v>
      </c>
      <c r="BJ557" s="81" t="s">
        <v>73</v>
      </c>
      <c r="BK557" s="190">
        <f>ROUND(I557*H557,2)</f>
        <v>0</v>
      </c>
      <c r="BL557" s="81" t="s">
        <v>245</v>
      </c>
      <c r="BM557" s="81" t="s">
        <v>721</v>
      </c>
    </row>
    <row r="558" spans="2:65" s="92" customFormat="1" ht="16.5" customHeight="1">
      <c r="B558" s="90"/>
      <c r="C558" s="257" t="s">
        <v>1340</v>
      </c>
      <c r="D558" s="247" t="s">
        <v>319</v>
      </c>
      <c r="E558" s="248" t="s">
        <v>723</v>
      </c>
      <c r="F558" s="253" t="s">
        <v>724</v>
      </c>
      <c r="G558" s="262" t="s">
        <v>358</v>
      </c>
      <c r="H558" s="263">
        <v>1</v>
      </c>
      <c r="I558" s="76"/>
      <c r="J558" s="252">
        <f>ROUND(I558*H558,2)</f>
        <v>0</v>
      </c>
      <c r="K558" s="253" t="s">
        <v>154</v>
      </c>
      <c r="L558" s="254"/>
      <c r="M558" s="255" t="s">
        <v>1</v>
      </c>
      <c r="N558" s="256" t="s">
        <v>41</v>
      </c>
      <c r="O558" s="187"/>
      <c r="P558" s="188">
        <f>O558*H558</f>
        <v>0</v>
      </c>
      <c r="Q558" s="188">
        <v>0.0067</v>
      </c>
      <c r="R558" s="188">
        <f>Q558*H558</f>
        <v>0.0067</v>
      </c>
      <c r="S558" s="188">
        <v>0</v>
      </c>
      <c r="T558" s="189">
        <f>S558*H558</f>
        <v>0</v>
      </c>
      <c r="AR558" s="81" t="s">
        <v>343</v>
      </c>
      <c r="AT558" s="81" t="s">
        <v>319</v>
      </c>
      <c r="AU558" s="81" t="s">
        <v>76</v>
      </c>
      <c r="AY558" s="81" t="s">
        <v>114</v>
      </c>
      <c r="BE558" s="190">
        <f>IF(N558="základní",J558,0)</f>
        <v>0</v>
      </c>
      <c r="BF558" s="190">
        <f>IF(N558="snížená",J558,0)</f>
        <v>0</v>
      </c>
      <c r="BG558" s="190">
        <f>IF(N558="zákl. přenesená",J558,0)</f>
        <v>0</v>
      </c>
      <c r="BH558" s="190">
        <f>IF(N558="sníž. přenesená",J558,0)</f>
        <v>0</v>
      </c>
      <c r="BI558" s="190">
        <f>IF(N558="nulová",J558,0)</f>
        <v>0</v>
      </c>
      <c r="BJ558" s="81" t="s">
        <v>73</v>
      </c>
      <c r="BK558" s="190">
        <f>ROUND(I558*H558,2)</f>
        <v>0</v>
      </c>
      <c r="BL558" s="81" t="s">
        <v>245</v>
      </c>
      <c r="BM558" s="81" t="s">
        <v>725</v>
      </c>
    </row>
    <row r="559" spans="2:65" s="92" customFormat="1" ht="16.5" customHeight="1">
      <c r="B559" s="90"/>
      <c r="C559" s="177" t="s">
        <v>1342</v>
      </c>
      <c r="D559" s="178" t="s">
        <v>116</v>
      </c>
      <c r="E559" s="179" t="s">
        <v>726</v>
      </c>
      <c r="F559" s="180" t="s">
        <v>727</v>
      </c>
      <c r="G559" s="181" t="s">
        <v>699</v>
      </c>
      <c r="H559" s="307">
        <f>SUM(J557:J558)</f>
        <v>0</v>
      </c>
      <c r="I559" s="69"/>
      <c r="J559" s="184">
        <f>ROUND(I559*H559/100,2)</f>
        <v>0</v>
      </c>
      <c r="K559" s="180" t="s">
        <v>154</v>
      </c>
      <c r="L559" s="90"/>
      <c r="M559" s="185" t="s">
        <v>1</v>
      </c>
      <c r="N559" s="186" t="s">
        <v>41</v>
      </c>
      <c r="O559" s="187"/>
      <c r="P559" s="188">
        <f>O559*H559</f>
        <v>0</v>
      </c>
      <c r="Q559" s="188">
        <v>0</v>
      </c>
      <c r="R559" s="188">
        <f>Q559*H559</f>
        <v>0</v>
      </c>
      <c r="S559" s="188">
        <v>0</v>
      </c>
      <c r="T559" s="189">
        <f>S559*H559</f>
        <v>0</v>
      </c>
      <c r="AR559" s="81" t="s">
        <v>245</v>
      </c>
      <c r="AT559" s="81" t="s">
        <v>116</v>
      </c>
      <c r="AU559" s="81" t="s">
        <v>76</v>
      </c>
      <c r="AY559" s="81" t="s">
        <v>114</v>
      </c>
      <c r="BE559" s="190">
        <f>IF(N559="základní",J559,0)</f>
        <v>0</v>
      </c>
      <c r="BF559" s="190">
        <f>IF(N559="snížená",J559,0)</f>
        <v>0</v>
      </c>
      <c r="BG559" s="190">
        <f>IF(N559="zákl. přenesená",J559,0)</f>
        <v>0</v>
      </c>
      <c r="BH559" s="190">
        <f>IF(N559="sníž. přenesená",J559,0)</f>
        <v>0</v>
      </c>
      <c r="BI559" s="190">
        <f>IF(N559="nulová",J559,0)</f>
        <v>0</v>
      </c>
      <c r="BJ559" s="81" t="s">
        <v>73</v>
      </c>
      <c r="BK559" s="190">
        <f>ROUND(I559*H559,2)</f>
        <v>0</v>
      </c>
      <c r="BL559" s="81" t="s">
        <v>245</v>
      </c>
      <c r="BM559" s="81" t="s">
        <v>728</v>
      </c>
    </row>
    <row r="560" spans="2:63" s="166" customFormat="1" ht="25.9" customHeight="1">
      <c r="B560" s="162"/>
      <c r="C560" s="163"/>
      <c r="D560" s="164" t="s">
        <v>67</v>
      </c>
      <c r="E560" s="165" t="s">
        <v>729</v>
      </c>
      <c r="F560" s="165" t="s">
        <v>730</v>
      </c>
      <c r="I560" s="74"/>
      <c r="J560" s="168">
        <f>SUM(J562:J583)</f>
        <v>0</v>
      </c>
      <c r="L560" s="162"/>
      <c r="M560" s="169"/>
      <c r="N560" s="170"/>
      <c r="O560" s="170"/>
      <c r="P560" s="171">
        <f>P561+P574+P577+P581</f>
        <v>0</v>
      </c>
      <c r="Q560" s="170"/>
      <c r="R560" s="171">
        <f>R561+R574+R577+R581</f>
        <v>0</v>
      </c>
      <c r="S560" s="170"/>
      <c r="T560" s="172">
        <f>T561+T574+T577+T581</f>
        <v>0</v>
      </c>
      <c r="AR560" s="164" t="s">
        <v>167</v>
      </c>
      <c r="AT560" s="173" t="s">
        <v>67</v>
      </c>
      <c r="AU560" s="173" t="s">
        <v>68</v>
      </c>
      <c r="AY560" s="164" t="s">
        <v>114</v>
      </c>
      <c r="BK560" s="174">
        <f>BK561+BK574+BK577+BK581</f>
        <v>0</v>
      </c>
    </row>
    <row r="561" spans="2:63" s="166" customFormat="1" ht="22.9" customHeight="1">
      <c r="B561" s="162"/>
      <c r="C561" s="163"/>
      <c r="D561" s="164" t="s">
        <v>67</v>
      </c>
      <c r="E561" s="175" t="s">
        <v>731</v>
      </c>
      <c r="F561" s="175" t="s">
        <v>732</v>
      </c>
      <c r="I561" s="74"/>
      <c r="J561" s="176"/>
      <c r="L561" s="162"/>
      <c r="M561" s="169"/>
      <c r="N561" s="170"/>
      <c r="O561" s="170"/>
      <c r="P561" s="171">
        <f>SUM(P562:P573)</f>
        <v>0</v>
      </c>
      <c r="Q561" s="170"/>
      <c r="R561" s="171">
        <f>SUM(R562:R573)</f>
        <v>0</v>
      </c>
      <c r="S561" s="170"/>
      <c r="T561" s="172">
        <f>SUM(T562:T573)</f>
        <v>0</v>
      </c>
      <c r="AR561" s="164" t="s">
        <v>167</v>
      </c>
      <c r="AT561" s="173" t="s">
        <v>67</v>
      </c>
      <c r="AU561" s="173" t="s">
        <v>73</v>
      </c>
      <c r="AY561" s="164" t="s">
        <v>114</v>
      </c>
      <c r="BK561" s="174">
        <f>SUM(BK562:BK573)</f>
        <v>0</v>
      </c>
    </row>
    <row r="562" spans="2:65" s="92" customFormat="1" ht="22.5" customHeight="1">
      <c r="B562" s="90"/>
      <c r="C562" s="177" t="s">
        <v>1346</v>
      </c>
      <c r="D562" s="178" t="s">
        <v>116</v>
      </c>
      <c r="E562" s="179" t="s">
        <v>733</v>
      </c>
      <c r="F562" s="180" t="s">
        <v>734</v>
      </c>
      <c r="G562" s="181" t="s">
        <v>492</v>
      </c>
      <c r="H562" s="182">
        <v>1</v>
      </c>
      <c r="I562" s="69"/>
      <c r="J562" s="184">
        <f aca="true" t="shared" si="44" ref="J562:J567">ROUND(I562*H562,2)</f>
        <v>0</v>
      </c>
      <c r="K562" s="180" t="s">
        <v>154</v>
      </c>
      <c r="L562" s="90"/>
      <c r="M562" s="185" t="s">
        <v>1</v>
      </c>
      <c r="N562" s="186" t="s">
        <v>41</v>
      </c>
      <c r="O562" s="187"/>
      <c r="P562" s="188">
        <f aca="true" t="shared" si="45" ref="P562:P567">O562*H562</f>
        <v>0</v>
      </c>
      <c r="Q562" s="188">
        <v>0</v>
      </c>
      <c r="R562" s="188">
        <f aca="true" t="shared" si="46" ref="R562:R567">Q562*H562</f>
        <v>0</v>
      </c>
      <c r="S562" s="188">
        <v>0</v>
      </c>
      <c r="T562" s="189">
        <f aca="true" t="shared" si="47" ref="T562:T567">S562*H562</f>
        <v>0</v>
      </c>
      <c r="AR562" s="81" t="s">
        <v>735</v>
      </c>
      <c r="AT562" s="81" t="s">
        <v>116</v>
      </c>
      <c r="AU562" s="81" t="s">
        <v>76</v>
      </c>
      <c r="AY562" s="81" t="s">
        <v>114</v>
      </c>
      <c r="BE562" s="190">
        <f aca="true" t="shared" si="48" ref="BE562:BE567">IF(N562="základní",J562,0)</f>
        <v>0</v>
      </c>
      <c r="BF562" s="190">
        <f aca="true" t="shared" si="49" ref="BF562:BF567">IF(N562="snížená",J562,0)</f>
        <v>0</v>
      </c>
      <c r="BG562" s="190">
        <f aca="true" t="shared" si="50" ref="BG562:BG567">IF(N562="zákl. přenesená",J562,0)</f>
        <v>0</v>
      </c>
      <c r="BH562" s="190">
        <f aca="true" t="shared" si="51" ref="BH562:BH567">IF(N562="sníž. přenesená",J562,0)</f>
        <v>0</v>
      </c>
      <c r="BI562" s="190">
        <f aca="true" t="shared" si="52" ref="BI562:BI567">IF(N562="nulová",J562,0)</f>
        <v>0</v>
      </c>
      <c r="BJ562" s="81" t="s">
        <v>73</v>
      </c>
      <c r="BK562" s="190">
        <f aca="true" t="shared" si="53" ref="BK562:BK567">ROUND(I562*H562,2)</f>
        <v>0</v>
      </c>
      <c r="BL562" s="81" t="s">
        <v>735</v>
      </c>
      <c r="BM562" s="81" t="s">
        <v>736</v>
      </c>
    </row>
    <row r="563" spans="2:65" s="92" customFormat="1" ht="22.5" customHeight="1">
      <c r="B563" s="90"/>
      <c r="C563" s="177" t="s">
        <v>1347</v>
      </c>
      <c r="D563" s="178" t="s">
        <v>116</v>
      </c>
      <c r="E563" s="179" t="s">
        <v>738</v>
      </c>
      <c r="F563" s="180" t="s">
        <v>739</v>
      </c>
      <c r="G563" s="181" t="s">
        <v>492</v>
      </c>
      <c r="H563" s="182">
        <v>1</v>
      </c>
      <c r="I563" s="69"/>
      <c r="J563" s="184">
        <f t="shared" si="44"/>
        <v>0</v>
      </c>
      <c r="K563" s="180" t="s">
        <v>154</v>
      </c>
      <c r="L563" s="90"/>
      <c r="M563" s="185" t="s">
        <v>1</v>
      </c>
      <c r="N563" s="186" t="s">
        <v>41</v>
      </c>
      <c r="O563" s="187"/>
      <c r="P563" s="188">
        <f t="shared" si="45"/>
        <v>0</v>
      </c>
      <c r="Q563" s="188">
        <v>0</v>
      </c>
      <c r="R563" s="188">
        <f t="shared" si="46"/>
        <v>0</v>
      </c>
      <c r="S563" s="188">
        <v>0</v>
      </c>
      <c r="T563" s="189">
        <f t="shared" si="47"/>
        <v>0</v>
      </c>
      <c r="AR563" s="81" t="s">
        <v>735</v>
      </c>
      <c r="AT563" s="81" t="s">
        <v>116</v>
      </c>
      <c r="AU563" s="81" t="s">
        <v>76</v>
      </c>
      <c r="AY563" s="81" t="s">
        <v>114</v>
      </c>
      <c r="BE563" s="190">
        <f t="shared" si="48"/>
        <v>0</v>
      </c>
      <c r="BF563" s="190">
        <f t="shared" si="49"/>
        <v>0</v>
      </c>
      <c r="BG563" s="190">
        <f t="shared" si="50"/>
        <v>0</v>
      </c>
      <c r="BH563" s="190">
        <f t="shared" si="51"/>
        <v>0</v>
      </c>
      <c r="BI563" s="190">
        <f t="shared" si="52"/>
        <v>0</v>
      </c>
      <c r="BJ563" s="81" t="s">
        <v>73</v>
      </c>
      <c r="BK563" s="190">
        <f t="shared" si="53"/>
        <v>0</v>
      </c>
      <c r="BL563" s="81" t="s">
        <v>735</v>
      </c>
      <c r="BM563" s="81" t="s">
        <v>740</v>
      </c>
    </row>
    <row r="564" spans="2:65" s="92" customFormat="1" ht="16.5" customHeight="1">
      <c r="B564" s="90"/>
      <c r="C564" s="177" t="s">
        <v>1351</v>
      </c>
      <c r="D564" s="178" t="s">
        <v>116</v>
      </c>
      <c r="E564" s="179" t="s">
        <v>742</v>
      </c>
      <c r="F564" s="180" t="s">
        <v>743</v>
      </c>
      <c r="G564" s="181" t="s">
        <v>492</v>
      </c>
      <c r="H564" s="182">
        <v>1</v>
      </c>
      <c r="I564" s="69"/>
      <c r="J564" s="184">
        <f t="shared" si="44"/>
        <v>0</v>
      </c>
      <c r="K564" s="180" t="s">
        <v>1</v>
      </c>
      <c r="L564" s="90"/>
      <c r="M564" s="185" t="s">
        <v>1</v>
      </c>
      <c r="N564" s="186" t="s">
        <v>41</v>
      </c>
      <c r="O564" s="187"/>
      <c r="P564" s="188">
        <f t="shared" si="45"/>
        <v>0</v>
      </c>
      <c r="Q564" s="188">
        <v>0</v>
      </c>
      <c r="R564" s="188">
        <f t="shared" si="46"/>
        <v>0</v>
      </c>
      <c r="S564" s="188">
        <v>0</v>
      </c>
      <c r="T564" s="189">
        <f t="shared" si="47"/>
        <v>0</v>
      </c>
      <c r="AR564" s="81" t="s">
        <v>735</v>
      </c>
      <c r="AT564" s="81" t="s">
        <v>116</v>
      </c>
      <c r="AU564" s="81" t="s">
        <v>76</v>
      </c>
      <c r="AY564" s="81" t="s">
        <v>114</v>
      </c>
      <c r="BE564" s="190">
        <f t="shared" si="48"/>
        <v>0</v>
      </c>
      <c r="BF564" s="190">
        <f t="shared" si="49"/>
        <v>0</v>
      </c>
      <c r="BG564" s="190">
        <f t="shared" si="50"/>
        <v>0</v>
      </c>
      <c r="BH564" s="190">
        <f t="shared" si="51"/>
        <v>0</v>
      </c>
      <c r="BI564" s="190">
        <f t="shared" si="52"/>
        <v>0</v>
      </c>
      <c r="BJ564" s="81" t="s">
        <v>73</v>
      </c>
      <c r="BK564" s="190">
        <f t="shared" si="53"/>
        <v>0</v>
      </c>
      <c r="BL564" s="81" t="s">
        <v>735</v>
      </c>
      <c r="BM564" s="81" t="s">
        <v>744</v>
      </c>
    </row>
    <row r="565" spans="2:65" s="92" customFormat="1" ht="16.5" customHeight="1">
      <c r="B565" s="90"/>
      <c r="C565" s="177" t="s">
        <v>1352</v>
      </c>
      <c r="D565" s="178" t="s">
        <v>116</v>
      </c>
      <c r="E565" s="179" t="s">
        <v>745</v>
      </c>
      <c r="F565" s="180" t="s">
        <v>746</v>
      </c>
      <c r="G565" s="181" t="s">
        <v>492</v>
      </c>
      <c r="H565" s="182">
        <v>1</v>
      </c>
      <c r="I565" s="69"/>
      <c r="J565" s="184">
        <f t="shared" si="44"/>
        <v>0</v>
      </c>
      <c r="K565" s="180" t="s">
        <v>154</v>
      </c>
      <c r="L565" s="90"/>
      <c r="M565" s="185" t="s">
        <v>1</v>
      </c>
      <c r="N565" s="186" t="s">
        <v>41</v>
      </c>
      <c r="O565" s="187"/>
      <c r="P565" s="188">
        <f t="shared" si="45"/>
        <v>0</v>
      </c>
      <c r="Q565" s="188">
        <v>0</v>
      </c>
      <c r="R565" s="188">
        <f t="shared" si="46"/>
        <v>0</v>
      </c>
      <c r="S565" s="188">
        <v>0</v>
      </c>
      <c r="T565" s="189">
        <f t="shared" si="47"/>
        <v>0</v>
      </c>
      <c r="AR565" s="81" t="s">
        <v>735</v>
      </c>
      <c r="AT565" s="81" t="s">
        <v>116</v>
      </c>
      <c r="AU565" s="81" t="s">
        <v>76</v>
      </c>
      <c r="AY565" s="81" t="s">
        <v>114</v>
      </c>
      <c r="BE565" s="190">
        <f t="shared" si="48"/>
        <v>0</v>
      </c>
      <c r="BF565" s="190">
        <f t="shared" si="49"/>
        <v>0</v>
      </c>
      <c r="BG565" s="190">
        <f t="shared" si="50"/>
        <v>0</v>
      </c>
      <c r="BH565" s="190">
        <f t="shared" si="51"/>
        <v>0</v>
      </c>
      <c r="BI565" s="190">
        <f t="shared" si="52"/>
        <v>0</v>
      </c>
      <c r="BJ565" s="81" t="s">
        <v>73</v>
      </c>
      <c r="BK565" s="190">
        <f t="shared" si="53"/>
        <v>0</v>
      </c>
      <c r="BL565" s="81" t="s">
        <v>735</v>
      </c>
      <c r="BM565" s="81" t="s">
        <v>747</v>
      </c>
    </row>
    <row r="566" spans="2:65" s="92" customFormat="1" ht="16.5" customHeight="1">
      <c r="B566" s="90"/>
      <c r="C566" s="177" t="s">
        <v>1356</v>
      </c>
      <c r="D566" s="178" t="s">
        <v>116</v>
      </c>
      <c r="E566" s="179" t="s">
        <v>748</v>
      </c>
      <c r="F566" s="180" t="s">
        <v>749</v>
      </c>
      <c r="G566" s="181" t="s">
        <v>492</v>
      </c>
      <c r="H566" s="182">
        <v>1</v>
      </c>
      <c r="I566" s="69"/>
      <c r="J566" s="184">
        <f t="shared" si="44"/>
        <v>0</v>
      </c>
      <c r="K566" s="180" t="s">
        <v>1</v>
      </c>
      <c r="L566" s="90"/>
      <c r="M566" s="185" t="s">
        <v>1</v>
      </c>
      <c r="N566" s="186" t="s">
        <v>41</v>
      </c>
      <c r="O566" s="187"/>
      <c r="P566" s="188">
        <f t="shared" si="45"/>
        <v>0</v>
      </c>
      <c r="Q566" s="188">
        <v>0</v>
      </c>
      <c r="R566" s="188">
        <f t="shared" si="46"/>
        <v>0</v>
      </c>
      <c r="S566" s="188">
        <v>0</v>
      </c>
      <c r="T566" s="189">
        <f t="shared" si="47"/>
        <v>0</v>
      </c>
      <c r="AR566" s="81" t="s">
        <v>735</v>
      </c>
      <c r="AT566" s="81" t="s">
        <v>116</v>
      </c>
      <c r="AU566" s="81" t="s">
        <v>76</v>
      </c>
      <c r="AY566" s="81" t="s">
        <v>114</v>
      </c>
      <c r="BE566" s="190">
        <f t="shared" si="48"/>
        <v>0</v>
      </c>
      <c r="BF566" s="190">
        <f t="shared" si="49"/>
        <v>0</v>
      </c>
      <c r="BG566" s="190">
        <f t="shared" si="50"/>
        <v>0</v>
      </c>
      <c r="BH566" s="190">
        <f t="shared" si="51"/>
        <v>0</v>
      </c>
      <c r="BI566" s="190">
        <f t="shared" si="52"/>
        <v>0</v>
      </c>
      <c r="BJ566" s="81" t="s">
        <v>73</v>
      </c>
      <c r="BK566" s="190">
        <f t="shared" si="53"/>
        <v>0</v>
      </c>
      <c r="BL566" s="81" t="s">
        <v>735</v>
      </c>
      <c r="BM566" s="81" t="s">
        <v>750</v>
      </c>
    </row>
    <row r="567" spans="2:65" s="92" customFormat="1" ht="22.5" customHeight="1">
      <c r="B567" s="90"/>
      <c r="C567" s="177" t="s">
        <v>1360</v>
      </c>
      <c r="D567" s="178" t="s">
        <v>116</v>
      </c>
      <c r="E567" s="179" t="s">
        <v>751</v>
      </c>
      <c r="F567" s="180" t="s">
        <v>752</v>
      </c>
      <c r="G567" s="181" t="s">
        <v>492</v>
      </c>
      <c r="H567" s="182">
        <v>1</v>
      </c>
      <c r="I567" s="69"/>
      <c r="J567" s="184">
        <f t="shared" si="44"/>
        <v>0</v>
      </c>
      <c r="K567" s="180" t="s">
        <v>1</v>
      </c>
      <c r="L567" s="90"/>
      <c r="M567" s="185" t="s">
        <v>1</v>
      </c>
      <c r="N567" s="186" t="s">
        <v>41</v>
      </c>
      <c r="O567" s="187"/>
      <c r="P567" s="188">
        <f t="shared" si="45"/>
        <v>0</v>
      </c>
      <c r="Q567" s="188">
        <v>0</v>
      </c>
      <c r="R567" s="188">
        <f t="shared" si="46"/>
        <v>0</v>
      </c>
      <c r="S567" s="188">
        <v>0</v>
      </c>
      <c r="T567" s="189">
        <f t="shared" si="47"/>
        <v>0</v>
      </c>
      <c r="AR567" s="81" t="s">
        <v>735</v>
      </c>
      <c r="AT567" s="81" t="s">
        <v>116</v>
      </c>
      <c r="AU567" s="81" t="s">
        <v>76</v>
      </c>
      <c r="AY567" s="81" t="s">
        <v>114</v>
      </c>
      <c r="BE567" s="190">
        <f t="shared" si="48"/>
        <v>0</v>
      </c>
      <c r="BF567" s="190">
        <f t="shared" si="49"/>
        <v>0</v>
      </c>
      <c r="BG567" s="190">
        <f t="shared" si="50"/>
        <v>0</v>
      </c>
      <c r="BH567" s="190">
        <f t="shared" si="51"/>
        <v>0</v>
      </c>
      <c r="BI567" s="190">
        <f t="shared" si="52"/>
        <v>0</v>
      </c>
      <c r="BJ567" s="81" t="s">
        <v>73</v>
      </c>
      <c r="BK567" s="190">
        <f t="shared" si="53"/>
        <v>0</v>
      </c>
      <c r="BL567" s="81" t="s">
        <v>735</v>
      </c>
      <c r="BM567" s="81" t="s">
        <v>753</v>
      </c>
    </row>
    <row r="568" spans="2:51" s="198" customFormat="1" ht="12">
      <c r="B568" s="191"/>
      <c r="C568" s="192"/>
      <c r="D568" s="193" t="s">
        <v>121</v>
      </c>
      <c r="E568" s="194" t="s">
        <v>1</v>
      </c>
      <c r="F568" s="259" t="s">
        <v>754</v>
      </c>
      <c r="H568" s="194" t="s">
        <v>1</v>
      </c>
      <c r="I568" s="71"/>
      <c r="L568" s="191"/>
      <c r="M568" s="199"/>
      <c r="N568" s="200"/>
      <c r="O568" s="200"/>
      <c r="P568" s="200"/>
      <c r="Q568" s="200"/>
      <c r="R568" s="200"/>
      <c r="S568" s="200"/>
      <c r="T568" s="201"/>
      <c r="AT568" s="194" t="s">
        <v>121</v>
      </c>
      <c r="AU568" s="194" t="s">
        <v>76</v>
      </c>
      <c r="AV568" s="198" t="s">
        <v>73</v>
      </c>
      <c r="AW568" s="198" t="s">
        <v>32</v>
      </c>
      <c r="AX568" s="198" t="s">
        <v>68</v>
      </c>
      <c r="AY568" s="194" t="s">
        <v>114</v>
      </c>
    </row>
    <row r="569" spans="2:51" s="198" customFormat="1" ht="12">
      <c r="B569" s="191"/>
      <c r="C569" s="192"/>
      <c r="D569" s="193" t="s">
        <v>121</v>
      </c>
      <c r="E569" s="194" t="s">
        <v>1</v>
      </c>
      <c r="F569" s="259" t="s">
        <v>755</v>
      </c>
      <c r="H569" s="194" t="s">
        <v>1</v>
      </c>
      <c r="I569" s="71"/>
      <c r="L569" s="191"/>
      <c r="M569" s="199"/>
      <c r="N569" s="200"/>
      <c r="O569" s="200"/>
      <c r="P569" s="200"/>
      <c r="Q569" s="200"/>
      <c r="R569" s="200"/>
      <c r="S569" s="200"/>
      <c r="T569" s="201"/>
      <c r="AT569" s="194" t="s">
        <v>121</v>
      </c>
      <c r="AU569" s="194" t="s">
        <v>76</v>
      </c>
      <c r="AV569" s="198" t="s">
        <v>73</v>
      </c>
      <c r="AW569" s="198" t="s">
        <v>32</v>
      </c>
      <c r="AX569" s="198" t="s">
        <v>68</v>
      </c>
      <c r="AY569" s="194" t="s">
        <v>114</v>
      </c>
    </row>
    <row r="570" spans="2:51" s="208" customFormat="1" ht="12">
      <c r="B570" s="202"/>
      <c r="C570" s="203"/>
      <c r="D570" s="193" t="s">
        <v>121</v>
      </c>
      <c r="E570" s="204" t="s">
        <v>1</v>
      </c>
      <c r="F570" s="260" t="s">
        <v>167</v>
      </c>
      <c r="H570" s="261">
        <v>5</v>
      </c>
      <c r="I570" s="70"/>
      <c r="L570" s="202"/>
      <c r="M570" s="209"/>
      <c r="N570" s="210"/>
      <c r="O570" s="210"/>
      <c r="P570" s="210"/>
      <c r="Q570" s="210"/>
      <c r="R570" s="210"/>
      <c r="S570" s="210"/>
      <c r="T570" s="211"/>
      <c r="AT570" s="204" t="s">
        <v>121</v>
      </c>
      <c r="AU570" s="204" t="s">
        <v>76</v>
      </c>
      <c r="AV570" s="208" t="s">
        <v>76</v>
      </c>
      <c r="AW570" s="208" t="s">
        <v>32</v>
      </c>
      <c r="AX570" s="208" t="s">
        <v>68</v>
      </c>
      <c r="AY570" s="204" t="s">
        <v>114</v>
      </c>
    </row>
    <row r="571" spans="2:51" s="228" customFormat="1" ht="12">
      <c r="B571" s="222"/>
      <c r="C571" s="223"/>
      <c r="D571" s="193" t="s">
        <v>121</v>
      </c>
      <c r="E571" s="224" t="s">
        <v>1</v>
      </c>
      <c r="F571" s="266" t="s">
        <v>150</v>
      </c>
      <c r="H571" s="264">
        <v>5</v>
      </c>
      <c r="I571" s="72"/>
      <c r="L571" s="222"/>
      <c r="M571" s="229"/>
      <c r="N571" s="230"/>
      <c r="O571" s="230"/>
      <c r="P571" s="230"/>
      <c r="Q571" s="230"/>
      <c r="R571" s="230"/>
      <c r="S571" s="230"/>
      <c r="T571" s="231"/>
      <c r="AT571" s="224" t="s">
        <v>121</v>
      </c>
      <c r="AU571" s="224" t="s">
        <v>76</v>
      </c>
      <c r="AV571" s="228" t="s">
        <v>119</v>
      </c>
      <c r="AW571" s="228" t="s">
        <v>32</v>
      </c>
      <c r="AX571" s="228" t="s">
        <v>73</v>
      </c>
      <c r="AY571" s="224" t="s">
        <v>114</v>
      </c>
    </row>
    <row r="572" spans="2:65" s="92" customFormat="1" ht="16.5" customHeight="1">
      <c r="B572" s="90"/>
      <c r="C572" s="177" t="s">
        <v>1364</v>
      </c>
      <c r="D572" s="178" t="s">
        <v>116</v>
      </c>
      <c r="E572" s="179" t="s">
        <v>757</v>
      </c>
      <c r="F572" s="180" t="s">
        <v>758</v>
      </c>
      <c r="G572" s="181" t="s">
        <v>492</v>
      </c>
      <c r="H572" s="182">
        <v>1</v>
      </c>
      <c r="I572" s="69"/>
      <c r="J572" s="184">
        <f>ROUND(I572*H572,2)</f>
        <v>0</v>
      </c>
      <c r="K572" s="180" t="s">
        <v>1</v>
      </c>
      <c r="L572" s="90"/>
      <c r="M572" s="185" t="s">
        <v>1</v>
      </c>
      <c r="N572" s="186" t="s">
        <v>41</v>
      </c>
      <c r="O572" s="187"/>
      <c r="P572" s="188">
        <f>O572*H572</f>
        <v>0</v>
      </c>
      <c r="Q572" s="188">
        <v>0</v>
      </c>
      <c r="R572" s="188">
        <f>Q572*H572</f>
        <v>0</v>
      </c>
      <c r="S572" s="188">
        <v>0</v>
      </c>
      <c r="T572" s="189">
        <f>S572*H572</f>
        <v>0</v>
      </c>
      <c r="AR572" s="81" t="s">
        <v>735</v>
      </c>
      <c r="AT572" s="81" t="s">
        <v>116</v>
      </c>
      <c r="AU572" s="81" t="s">
        <v>76</v>
      </c>
      <c r="AY572" s="81" t="s">
        <v>114</v>
      </c>
      <c r="BE572" s="190">
        <f>IF(N572="základní",J572,0)</f>
        <v>0</v>
      </c>
      <c r="BF572" s="190">
        <f>IF(N572="snížená",J572,0)</f>
        <v>0</v>
      </c>
      <c r="BG572" s="190">
        <f>IF(N572="zákl. přenesená",J572,0)</f>
        <v>0</v>
      </c>
      <c r="BH572" s="190">
        <f>IF(N572="sníž. přenesená",J572,0)</f>
        <v>0</v>
      </c>
      <c r="BI572" s="190">
        <f>IF(N572="nulová",J572,0)</f>
        <v>0</v>
      </c>
      <c r="BJ572" s="81" t="s">
        <v>73</v>
      </c>
      <c r="BK572" s="190">
        <f>ROUND(I572*H572,2)</f>
        <v>0</v>
      </c>
      <c r="BL572" s="81" t="s">
        <v>735</v>
      </c>
      <c r="BM572" s="81" t="s">
        <v>759</v>
      </c>
    </row>
    <row r="573" spans="2:65" s="92" customFormat="1" ht="16.5" customHeight="1">
      <c r="B573" s="90"/>
      <c r="C573" s="177" t="s">
        <v>1368</v>
      </c>
      <c r="D573" s="178" t="s">
        <v>116</v>
      </c>
      <c r="E573" s="179" t="s">
        <v>761</v>
      </c>
      <c r="F573" s="180" t="s">
        <v>762</v>
      </c>
      <c r="G573" s="181" t="s">
        <v>492</v>
      </c>
      <c r="H573" s="182">
        <v>1</v>
      </c>
      <c r="I573" s="69"/>
      <c r="J573" s="184">
        <f>ROUND(I573*H573,2)</f>
        <v>0</v>
      </c>
      <c r="K573" s="180" t="s">
        <v>1</v>
      </c>
      <c r="L573" s="90"/>
      <c r="M573" s="185" t="s">
        <v>1</v>
      </c>
      <c r="N573" s="186" t="s">
        <v>41</v>
      </c>
      <c r="O573" s="187"/>
      <c r="P573" s="188">
        <f>O573*H573</f>
        <v>0</v>
      </c>
      <c r="Q573" s="188">
        <v>0</v>
      </c>
      <c r="R573" s="188">
        <f>Q573*H573</f>
        <v>0</v>
      </c>
      <c r="S573" s="188">
        <v>0</v>
      </c>
      <c r="T573" s="189">
        <f>S573*H573</f>
        <v>0</v>
      </c>
      <c r="AR573" s="81" t="s">
        <v>735</v>
      </c>
      <c r="AT573" s="81" t="s">
        <v>116</v>
      </c>
      <c r="AU573" s="81" t="s">
        <v>76</v>
      </c>
      <c r="AY573" s="81" t="s">
        <v>114</v>
      </c>
      <c r="BE573" s="190">
        <f>IF(N573="základní",J573,0)</f>
        <v>0</v>
      </c>
      <c r="BF573" s="190">
        <f>IF(N573="snížená",J573,0)</f>
        <v>0</v>
      </c>
      <c r="BG573" s="190">
        <f>IF(N573="zákl. přenesená",J573,0)</f>
        <v>0</v>
      </c>
      <c r="BH573" s="190">
        <f>IF(N573="sníž. přenesená",J573,0)</f>
        <v>0</v>
      </c>
      <c r="BI573" s="190">
        <f>IF(N573="nulová",J573,0)</f>
        <v>0</v>
      </c>
      <c r="BJ573" s="81" t="s">
        <v>73</v>
      </c>
      <c r="BK573" s="190">
        <f>ROUND(I573*H573,2)</f>
        <v>0</v>
      </c>
      <c r="BL573" s="81" t="s">
        <v>735</v>
      </c>
      <c r="BM573" s="81" t="s">
        <v>763</v>
      </c>
    </row>
    <row r="574" spans="2:63" s="166" customFormat="1" ht="22.9" customHeight="1">
      <c r="B574" s="162"/>
      <c r="C574" s="163"/>
      <c r="D574" s="164" t="s">
        <v>67</v>
      </c>
      <c r="E574" s="175" t="s">
        <v>764</v>
      </c>
      <c r="F574" s="175" t="s">
        <v>765</v>
      </c>
      <c r="I574" s="74"/>
      <c r="J574" s="176"/>
      <c r="L574" s="162"/>
      <c r="M574" s="169"/>
      <c r="N574" s="170"/>
      <c r="O574" s="170"/>
      <c r="P574" s="171">
        <f>SUM(P575:P576)</f>
        <v>0</v>
      </c>
      <c r="Q574" s="170"/>
      <c r="R574" s="171">
        <f>SUM(R575:R576)</f>
        <v>0</v>
      </c>
      <c r="S574" s="170"/>
      <c r="T574" s="172">
        <f>SUM(T575:T576)</f>
        <v>0</v>
      </c>
      <c r="AR574" s="164" t="s">
        <v>167</v>
      </c>
      <c r="AT574" s="173" t="s">
        <v>67</v>
      </c>
      <c r="AU574" s="173" t="s">
        <v>73</v>
      </c>
      <c r="AY574" s="164" t="s">
        <v>114</v>
      </c>
      <c r="BK574" s="174">
        <f>SUM(BK575:BK576)</f>
        <v>0</v>
      </c>
    </row>
    <row r="575" spans="2:65" s="92" customFormat="1" ht="16.5" customHeight="1">
      <c r="B575" s="90"/>
      <c r="C575" s="177" t="s">
        <v>1373</v>
      </c>
      <c r="D575" s="178" t="s">
        <v>116</v>
      </c>
      <c r="E575" s="179" t="s">
        <v>767</v>
      </c>
      <c r="F575" s="180" t="s">
        <v>768</v>
      </c>
      <c r="G575" s="181" t="s">
        <v>492</v>
      </c>
      <c r="H575" s="182">
        <v>1</v>
      </c>
      <c r="I575" s="69"/>
      <c r="J575" s="184">
        <f>ROUND(I575*H575,2)</f>
        <v>0</v>
      </c>
      <c r="K575" s="180" t="s">
        <v>154</v>
      </c>
      <c r="L575" s="90"/>
      <c r="M575" s="185" t="s">
        <v>1</v>
      </c>
      <c r="N575" s="186" t="s">
        <v>41</v>
      </c>
      <c r="O575" s="187"/>
      <c r="P575" s="188">
        <f>O575*H575</f>
        <v>0</v>
      </c>
      <c r="Q575" s="188">
        <v>0</v>
      </c>
      <c r="R575" s="188">
        <f>Q575*H575</f>
        <v>0</v>
      </c>
      <c r="S575" s="188">
        <v>0</v>
      </c>
      <c r="T575" s="189">
        <f>S575*H575</f>
        <v>0</v>
      </c>
      <c r="AR575" s="81" t="s">
        <v>735</v>
      </c>
      <c r="AT575" s="81" t="s">
        <v>116</v>
      </c>
      <c r="AU575" s="81" t="s">
        <v>76</v>
      </c>
      <c r="AY575" s="81" t="s">
        <v>114</v>
      </c>
      <c r="BE575" s="190">
        <f>IF(N575="základní",J575,0)</f>
        <v>0</v>
      </c>
      <c r="BF575" s="190">
        <f>IF(N575="snížená",J575,0)</f>
        <v>0</v>
      </c>
      <c r="BG575" s="190">
        <f>IF(N575="zákl. přenesená",J575,0)</f>
        <v>0</v>
      </c>
      <c r="BH575" s="190">
        <f>IF(N575="sníž. přenesená",J575,0)</f>
        <v>0</v>
      </c>
      <c r="BI575" s="190">
        <f>IF(N575="nulová",J575,0)</f>
        <v>0</v>
      </c>
      <c r="BJ575" s="81" t="s">
        <v>73</v>
      </c>
      <c r="BK575" s="190">
        <f>ROUND(I575*H575,2)</f>
        <v>0</v>
      </c>
      <c r="BL575" s="81" t="s">
        <v>735</v>
      </c>
      <c r="BM575" s="81" t="s">
        <v>769</v>
      </c>
    </row>
    <row r="576" spans="2:65" s="92" customFormat="1" ht="16.5" customHeight="1">
      <c r="B576" s="90"/>
      <c r="C576" s="177" t="s">
        <v>1377</v>
      </c>
      <c r="D576" s="178" t="s">
        <v>116</v>
      </c>
      <c r="E576" s="179" t="s">
        <v>771</v>
      </c>
      <c r="F576" s="180" t="s">
        <v>772</v>
      </c>
      <c r="G576" s="181" t="s">
        <v>492</v>
      </c>
      <c r="H576" s="182">
        <v>1</v>
      </c>
      <c r="I576" s="69"/>
      <c r="J576" s="184">
        <f>ROUND(I576*H576,2)</f>
        <v>0</v>
      </c>
      <c r="K576" s="180" t="s">
        <v>154</v>
      </c>
      <c r="L576" s="90"/>
      <c r="M576" s="185" t="s">
        <v>1</v>
      </c>
      <c r="N576" s="186" t="s">
        <v>41</v>
      </c>
      <c r="O576" s="187"/>
      <c r="P576" s="188">
        <f>O576*H576</f>
        <v>0</v>
      </c>
      <c r="Q576" s="188">
        <v>0</v>
      </c>
      <c r="R576" s="188">
        <f>Q576*H576</f>
        <v>0</v>
      </c>
      <c r="S576" s="188">
        <v>0</v>
      </c>
      <c r="T576" s="189">
        <f>S576*H576</f>
        <v>0</v>
      </c>
      <c r="AR576" s="81" t="s">
        <v>735</v>
      </c>
      <c r="AT576" s="81" t="s">
        <v>116</v>
      </c>
      <c r="AU576" s="81" t="s">
        <v>76</v>
      </c>
      <c r="AY576" s="81" t="s">
        <v>114</v>
      </c>
      <c r="BE576" s="190">
        <f>IF(N576="základní",J576,0)</f>
        <v>0</v>
      </c>
      <c r="BF576" s="190">
        <f>IF(N576="snížená",J576,0)</f>
        <v>0</v>
      </c>
      <c r="BG576" s="190">
        <f>IF(N576="zákl. přenesená",J576,0)</f>
        <v>0</v>
      </c>
      <c r="BH576" s="190">
        <f>IF(N576="sníž. přenesená",J576,0)</f>
        <v>0</v>
      </c>
      <c r="BI576" s="190">
        <f>IF(N576="nulová",J576,0)</f>
        <v>0</v>
      </c>
      <c r="BJ576" s="81" t="s">
        <v>73</v>
      </c>
      <c r="BK576" s="190">
        <f>ROUND(I576*H576,2)</f>
        <v>0</v>
      </c>
      <c r="BL576" s="81" t="s">
        <v>735</v>
      </c>
      <c r="BM576" s="81" t="s">
        <v>773</v>
      </c>
    </row>
    <row r="577" spans="2:63" s="166" customFormat="1" ht="22.9" customHeight="1">
      <c r="B577" s="162"/>
      <c r="C577" s="163"/>
      <c r="D577" s="164" t="s">
        <v>67</v>
      </c>
      <c r="E577" s="175" t="s">
        <v>774</v>
      </c>
      <c r="F577" s="175" t="s">
        <v>775</v>
      </c>
      <c r="I577" s="74"/>
      <c r="J577" s="176"/>
      <c r="L577" s="162"/>
      <c r="M577" s="169"/>
      <c r="N577" s="170"/>
      <c r="O577" s="170"/>
      <c r="P577" s="171">
        <f>SUM(P578:P580)</f>
        <v>0</v>
      </c>
      <c r="Q577" s="170"/>
      <c r="R577" s="171">
        <f>SUM(R578:R580)</f>
        <v>0</v>
      </c>
      <c r="S577" s="170"/>
      <c r="T577" s="172">
        <f>SUM(T578:T580)</f>
        <v>0</v>
      </c>
      <c r="AR577" s="164" t="s">
        <v>167</v>
      </c>
      <c r="AT577" s="173" t="s">
        <v>67</v>
      </c>
      <c r="AU577" s="173" t="s">
        <v>73</v>
      </c>
      <c r="AY577" s="164" t="s">
        <v>114</v>
      </c>
      <c r="BK577" s="174">
        <f>SUM(BK578:BK580)</f>
        <v>0</v>
      </c>
    </row>
    <row r="578" spans="2:65" s="92" customFormat="1" ht="22.5" customHeight="1">
      <c r="B578" s="90"/>
      <c r="C578" s="177" t="s">
        <v>1381</v>
      </c>
      <c r="D578" s="178" t="s">
        <v>116</v>
      </c>
      <c r="E578" s="179" t="s">
        <v>777</v>
      </c>
      <c r="F578" s="180" t="s">
        <v>778</v>
      </c>
      <c r="G578" s="181" t="s">
        <v>492</v>
      </c>
      <c r="H578" s="182">
        <v>1</v>
      </c>
      <c r="I578" s="69"/>
      <c r="J578" s="184">
        <f>ROUND(I578*H578,2)</f>
        <v>0</v>
      </c>
      <c r="K578" s="180" t="s">
        <v>1</v>
      </c>
      <c r="L578" s="90"/>
      <c r="M578" s="185" t="s">
        <v>1</v>
      </c>
      <c r="N578" s="186" t="s">
        <v>41</v>
      </c>
      <c r="O578" s="187"/>
      <c r="P578" s="188">
        <f>O578*H578</f>
        <v>0</v>
      </c>
      <c r="Q578" s="188">
        <v>0</v>
      </c>
      <c r="R578" s="188">
        <f>Q578*H578</f>
        <v>0</v>
      </c>
      <c r="S578" s="188">
        <v>0</v>
      </c>
      <c r="T578" s="189">
        <f>S578*H578</f>
        <v>0</v>
      </c>
      <c r="AR578" s="81" t="s">
        <v>735</v>
      </c>
      <c r="AT578" s="81" t="s">
        <v>116</v>
      </c>
      <c r="AU578" s="81" t="s">
        <v>76</v>
      </c>
      <c r="AY578" s="81" t="s">
        <v>114</v>
      </c>
      <c r="BE578" s="190">
        <f>IF(N578="základní",J578,0)</f>
        <v>0</v>
      </c>
      <c r="BF578" s="190">
        <f>IF(N578="snížená",J578,0)</f>
        <v>0</v>
      </c>
      <c r="BG578" s="190">
        <f>IF(N578="zákl. přenesená",J578,0)</f>
        <v>0</v>
      </c>
      <c r="BH578" s="190">
        <f>IF(N578="sníž. přenesená",J578,0)</f>
        <v>0</v>
      </c>
      <c r="BI578" s="190">
        <f>IF(N578="nulová",J578,0)</f>
        <v>0</v>
      </c>
      <c r="BJ578" s="81" t="s">
        <v>73</v>
      </c>
      <c r="BK578" s="190">
        <f>ROUND(I578*H578,2)</f>
        <v>0</v>
      </c>
      <c r="BL578" s="81" t="s">
        <v>735</v>
      </c>
      <c r="BM578" s="81" t="s">
        <v>779</v>
      </c>
    </row>
    <row r="579" spans="2:65" s="92" customFormat="1" ht="22.5" customHeight="1">
      <c r="B579" s="90"/>
      <c r="C579" s="177" t="s">
        <v>1385</v>
      </c>
      <c r="D579" s="178" t="s">
        <v>116</v>
      </c>
      <c r="E579" s="179" t="s">
        <v>781</v>
      </c>
      <c r="F579" s="180" t="s">
        <v>782</v>
      </c>
      <c r="G579" s="181" t="s">
        <v>783</v>
      </c>
      <c r="H579" s="182">
        <v>2</v>
      </c>
      <c r="I579" s="69"/>
      <c r="J579" s="184">
        <f>ROUND(I579*H579,2)</f>
        <v>0</v>
      </c>
      <c r="K579" s="180" t="s">
        <v>1</v>
      </c>
      <c r="L579" s="90"/>
      <c r="M579" s="185" t="s">
        <v>1</v>
      </c>
      <c r="N579" s="186" t="s">
        <v>41</v>
      </c>
      <c r="O579" s="187"/>
      <c r="P579" s="188">
        <f>O579*H579</f>
        <v>0</v>
      </c>
      <c r="Q579" s="188">
        <v>0</v>
      </c>
      <c r="R579" s="188">
        <f>Q579*H579</f>
        <v>0</v>
      </c>
      <c r="S579" s="188">
        <v>0</v>
      </c>
      <c r="T579" s="189">
        <f>S579*H579</f>
        <v>0</v>
      </c>
      <c r="AR579" s="81" t="s">
        <v>735</v>
      </c>
      <c r="AT579" s="81" t="s">
        <v>116</v>
      </c>
      <c r="AU579" s="81" t="s">
        <v>76</v>
      </c>
      <c r="AY579" s="81" t="s">
        <v>114</v>
      </c>
      <c r="BE579" s="190">
        <f>IF(N579="základní",J579,0)</f>
        <v>0</v>
      </c>
      <c r="BF579" s="190">
        <f>IF(N579="snížená",J579,0)</f>
        <v>0</v>
      </c>
      <c r="BG579" s="190">
        <f>IF(N579="zákl. přenesená",J579,0)</f>
        <v>0</v>
      </c>
      <c r="BH579" s="190">
        <f>IF(N579="sníž. přenesená",J579,0)</f>
        <v>0</v>
      </c>
      <c r="BI579" s="190">
        <f>IF(N579="nulová",J579,0)</f>
        <v>0</v>
      </c>
      <c r="BJ579" s="81" t="s">
        <v>73</v>
      </c>
      <c r="BK579" s="190">
        <f>ROUND(I579*H579,2)</f>
        <v>0</v>
      </c>
      <c r="BL579" s="81" t="s">
        <v>735</v>
      </c>
      <c r="BM579" s="81" t="s">
        <v>784</v>
      </c>
    </row>
    <row r="580" spans="2:65" s="92" customFormat="1" ht="16.5" customHeight="1">
      <c r="B580" s="90"/>
      <c r="C580" s="177" t="s">
        <v>1388</v>
      </c>
      <c r="D580" s="178" t="s">
        <v>116</v>
      </c>
      <c r="E580" s="179" t="s">
        <v>786</v>
      </c>
      <c r="F580" s="180" t="s">
        <v>1554</v>
      </c>
      <c r="G580" s="181" t="s">
        <v>492</v>
      </c>
      <c r="H580" s="182">
        <v>1</v>
      </c>
      <c r="I580" s="69"/>
      <c r="J580" s="184">
        <f>ROUND(I580*H580,2)</f>
        <v>0</v>
      </c>
      <c r="K580" s="180" t="s">
        <v>154</v>
      </c>
      <c r="L580" s="90"/>
      <c r="M580" s="185" t="s">
        <v>1</v>
      </c>
      <c r="N580" s="186" t="s">
        <v>41</v>
      </c>
      <c r="O580" s="187"/>
      <c r="P580" s="188">
        <f>O580*H580</f>
        <v>0</v>
      </c>
      <c r="Q580" s="188">
        <v>0</v>
      </c>
      <c r="R580" s="188">
        <f>Q580*H580</f>
        <v>0</v>
      </c>
      <c r="S580" s="188">
        <v>0</v>
      </c>
      <c r="T580" s="189">
        <f>S580*H580</f>
        <v>0</v>
      </c>
      <c r="AR580" s="81" t="s">
        <v>735</v>
      </c>
      <c r="AT580" s="81" t="s">
        <v>116</v>
      </c>
      <c r="AU580" s="81" t="s">
        <v>76</v>
      </c>
      <c r="AY580" s="81" t="s">
        <v>114</v>
      </c>
      <c r="BE580" s="190">
        <f>IF(N580="základní",J580,0)</f>
        <v>0</v>
      </c>
      <c r="BF580" s="190">
        <f>IF(N580="snížená",J580,0)</f>
        <v>0</v>
      </c>
      <c r="BG580" s="190">
        <f>IF(N580="zákl. přenesená",J580,0)</f>
        <v>0</v>
      </c>
      <c r="BH580" s="190">
        <f>IF(N580="sníž. přenesená",J580,0)</f>
        <v>0</v>
      </c>
      <c r="BI580" s="190">
        <f>IF(N580="nulová",J580,0)</f>
        <v>0</v>
      </c>
      <c r="BJ580" s="81" t="s">
        <v>73</v>
      </c>
      <c r="BK580" s="190">
        <f>ROUND(I580*H580,2)</f>
        <v>0</v>
      </c>
      <c r="BL580" s="81" t="s">
        <v>735</v>
      </c>
      <c r="BM580" s="81" t="s">
        <v>787</v>
      </c>
    </row>
    <row r="581" spans="2:63" s="166" customFormat="1" ht="22.9" customHeight="1">
      <c r="B581" s="162"/>
      <c r="C581" s="163"/>
      <c r="D581" s="164" t="s">
        <v>67</v>
      </c>
      <c r="E581" s="175" t="s">
        <v>788</v>
      </c>
      <c r="F581" s="175" t="s">
        <v>789</v>
      </c>
      <c r="I581" s="74"/>
      <c r="J581" s="176"/>
      <c r="L581" s="162"/>
      <c r="M581" s="169"/>
      <c r="N581" s="170"/>
      <c r="O581" s="170"/>
      <c r="P581" s="171">
        <f>SUM(P582:P583)</f>
        <v>0</v>
      </c>
      <c r="Q581" s="170"/>
      <c r="R581" s="171">
        <f>SUM(R582:R583)</f>
        <v>0</v>
      </c>
      <c r="S581" s="170"/>
      <c r="T581" s="172">
        <f>SUM(T582:T583)</f>
        <v>0</v>
      </c>
      <c r="AR581" s="164" t="s">
        <v>167</v>
      </c>
      <c r="AT581" s="173" t="s">
        <v>67</v>
      </c>
      <c r="AU581" s="173" t="s">
        <v>73</v>
      </c>
      <c r="AY581" s="164" t="s">
        <v>114</v>
      </c>
      <c r="BK581" s="174">
        <f>SUM(BK582:BK583)</f>
        <v>0</v>
      </c>
    </row>
    <row r="582" spans="2:65" s="92" customFormat="1" ht="16.5" customHeight="1">
      <c r="B582" s="90"/>
      <c r="C582" s="177" t="s">
        <v>1394</v>
      </c>
      <c r="D582" s="178" t="s">
        <v>116</v>
      </c>
      <c r="E582" s="179" t="s">
        <v>791</v>
      </c>
      <c r="F582" s="180" t="s">
        <v>792</v>
      </c>
      <c r="G582" s="181" t="s">
        <v>492</v>
      </c>
      <c r="H582" s="182">
        <v>1</v>
      </c>
      <c r="I582" s="69"/>
      <c r="J582" s="184">
        <f>ROUND(I582*H582,2)</f>
        <v>0</v>
      </c>
      <c r="K582" s="180" t="s">
        <v>1</v>
      </c>
      <c r="L582" s="90"/>
      <c r="M582" s="185" t="s">
        <v>1</v>
      </c>
      <c r="N582" s="186" t="s">
        <v>41</v>
      </c>
      <c r="O582" s="187"/>
      <c r="P582" s="188">
        <f>O582*H582</f>
        <v>0</v>
      </c>
      <c r="Q582" s="188">
        <v>0</v>
      </c>
      <c r="R582" s="188">
        <f>Q582*H582</f>
        <v>0</v>
      </c>
      <c r="S582" s="188">
        <v>0</v>
      </c>
      <c r="T582" s="189">
        <f>S582*H582</f>
        <v>0</v>
      </c>
      <c r="AR582" s="81" t="s">
        <v>735</v>
      </c>
      <c r="AT582" s="81" t="s">
        <v>116</v>
      </c>
      <c r="AU582" s="81" t="s">
        <v>76</v>
      </c>
      <c r="AY582" s="81" t="s">
        <v>114</v>
      </c>
      <c r="BE582" s="190">
        <f>IF(N582="základní",J582,0)</f>
        <v>0</v>
      </c>
      <c r="BF582" s="190">
        <f>IF(N582="snížená",J582,0)</f>
        <v>0</v>
      </c>
      <c r="BG582" s="190">
        <f>IF(N582="zákl. přenesená",J582,0)</f>
        <v>0</v>
      </c>
      <c r="BH582" s="190">
        <f>IF(N582="sníž. přenesená",J582,0)</f>
        <v>0</v>
      </c>
      <c r="BI582" s="190">
        <f>IF(N582="nulová",J582,0)</f>
        <v>0</v>
      </c>
      <c r="BJ582" s="81" t="s">
        <v>73</v>
      </c>
      <c r="BK582" s="190">
        <f>ROUND(I582*H582,2)</f>
        <v>0</v>
      </c>
      <c r="BL582" s="81" t="s">
        <v>735</v>
      </c>
      <c r="BM582" s="81" t="s">
        <v>793</v>
      </c>
    </row>
    <row r="583" spans="2:65" s="92" customFormat="1" ht="16.5" customHeight="1">
      <c r="B583" s="90"/>
      <c r="C583" s="177" t="s">
        <v>1398</v>
      </c>
      <c r="D583" s="178" t="s">
        <v>116</v>
      </c>
      <c r="E583" s="179" t="s">
        <v>795</v>
      </c>
      <c r="F583" s="180" t="s">
        <v>796</v>
      </c>
      <c r="G583" s="181" t="s">
        <v>492</v>
      </c>
      <c r="H583" s="182">
        <v>1</v>
      </c>
      <c r="I583" s="69"/>
      <c r="J583" s="184">
        <f>ROUND(I583*H583,2)</f>
        <v>0</v>
      </c>
      <c r="K583" s="180" t="s">
        <v>1</v>
      </c>
      <c r="L583" s="90"/>
      <c r="M583" s="308" t="s">
        <v>1</v>
      </c>
      <c r="N583" s="309" t="s">
        <v>41</v>
      </c>
      <c r="O583" s="310"/>
      <c r="P583" s="311">
        <f>O583*H583</f>
        <v>0</v>
      </c>
      <c r="Q583" s="311">
        <v>0</v>
      </c>
      <c r="R583" s="311">
        <f>Q583*H583</f>
        <v>0</v>
      </c>
      <c r="S583" s="311">
        <v>0</v>
      </c>
      <c r="T583" s="312">
        <f>S583*H583</f>
        <v>0</v>
      </c>
      <c r="AR583" s="81" t="s">
        <v>735</v>
      </c>
      <c r="AT583" s="81" t="s">
        <v>116</v>
      </c>
      <c r="AU583" s="81" t="s">
        <v>76</v>
      </c>
      <c r="AY583" s="81" t="s">
        <v>114</v>
      </c>
      <c r="BE583" s="190">
        <f>IF(N583="základní",J583,0)</f>
        <v>0</v>
      </c>
      <c r="BF583" s="190">
        <f>IF(N583="snížená",J583,0)</f>
        <v>0</v>
      </c>
      <c r="BG583" s="190">
        <f>IF(N583="zákl. přenesená",J583,0)</f>
        <v>0</v>
      </c>
      <c r="BH583" s="190">
        <f>IF(N583="sníž. přenesená",J583,0)</f>
        <v>0</v>
      </c>
      <c r="BI583" s="190">
        <f>IF(N583="nulová",J583,0)</f>
        <v>0</v>
      </c>
      <c r="BJ583" s="81" t="s">
        <v>73</v>
      </c>
      <c r="BK583" s="190">
        <f>ROUND(I583*H583,2)</f>
        <v>0</v>
      </c>
      <c r="BL583" s="81" t="s">
        <v>735</v>
      </c>
      <c r="BM583" s="81" t="s">
        <v>797</v>
      </c>
    </row>
    <row r="584" spans="2:12" s="92" customFormat="1" ht="6.95" customHeight="1">
      <c r="B584" s="117"/>
      <c r="C584" s="118"/>
      <c r="D584" s="119"/>
      <c r="E584" s="119"/>
      <c r="F584" s="119"/>
      <c r="G584" s="119"/>
      <c r="H584" s="119"/>
      <c r="I584" s="120"/>
      <c r="J584" s="119"/>
      <c r="K584" s="119"/>
      <c r="L584" s="90"/>
    </row>
  </sheetData>
  <sheetProtection password="95D3" sheet="1" objects="1" scenarios="1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AA84E-81B5-4D8F-94FC-31CCB9C4A07F}">
  <dimension ref="B2:BM567"/>
  <sheetViews>
    <sheetView workbookViewId="0" topLeftCell="A535">
      <selection activeCell="I563" sqref="I563"/>
    </sheetView>
  </sheetViews>
  <sheetFormatPr defaultColWidth="9.140625" defaultRowHeight="12"/>
  <cols>
    <col min="1" max="1" width="8.28125" style="78" customWidth="1"/>
    <col min="2" max="2" width="1.7109375" style="78" customWidth="1"/>
    <col min="3" max="3" width="6.7109375" style="78" customWidth="1"/>
    <col min="4" max="4" width="4.28125" style="78" customWidth="1"/>
    <col min="5" max="5" width="17.140625" style="78" customWidth="1"/>
    <col min="6" max="6" width="100.8515625" style="78" customWidth="1"/>
    <col min="7" max="7" width="8.7109375" style="78" customWidth="1"/>
    <col min="8" max="8" width="11.140625" style="78" customWidth="1"/>
    <col min="9" max="9" width="14.140625" style="80" customWidth="1"/>
    <col min="10" max="10" width="23.421875" style="78" customWidth="1"/>
    <col min="11" max="11" width="15.421875" style="78" hidden="1" customWidth="1"/>
    <col min="12" max="12" width="9.28125" style="78" customWidth="1"/>
    <col min="13" max="13" width="10.8515625" style="78" hidden="1" customWidth="1"/>
    <col min="14" max="14" width="9.28125" style="78" customWidth="1"/>
    <col min="15" max="20" width="14.140625" style="78" hidden="1" customWidth="1"/>
    <col min="21" max="21" width="16.28125" style="78" hidden="1" customWidth="1"/>
    <col min="22" max="22" width="50.7109375" style="78" customWidth="1"/>
    <col min="23" max="23" width="16.28125" style="78" customWidth="1"/>
    <col min="24" max="24" width="12.28125" style="78" customWidth="1"/>
    <col min="25" max="25" width="15.00390625" style="78" customWidth="1"/>
    <col min="26" max="26" width="11.00390625" style="78" customWidth="1"/>
    <col min="27" max="27" width="15.00390625" style="78" customWidth="1"/>
    <col min="28" max="28" width="16.28125" style="78" customWidth="1"/>
    <col min="29" max="29" width="11.00390625" style="78" customWidth="1"/>
    <col min="30" max="30" width="15.00390625" style="78" customWidth="1"/>
    <col min="31" max="31" width="16.28125" style="78" customWidth="1"/>
    <col min="32" max="16384" width="9.28125" style="78" customWidth="1"/>
  </cols>
  <sheetData>
    <row r="2" spans="12:46" ht="36.95" customHeight="1">
      <c r="L2" s="363" t="s">
        <v>5</v>
      </c>
      <c r="M2" s="364"/>
      <c r="N2" s="364"/>
      <c r="O2" s="364"/>
      <c r="P2" s="364"/>
      <c r="Q2" s="364"/>
      <c r="R2" s="364"/>
      <c r="S2" s="364"/>
      <c r="T2" s="364"/>
      <c r="U2" s="364"/>
      <c r="V2" s="364"/>
      <c r="AT2" s="81" t="s">
        <v>77</v>
      </c>
    </row>
    <row r="3" spans="2:46" ht="6.95" customHeight="1">
      <c r="B3" s="82"/>
      <c r="C3" s="84"/>
      <c r="D3" s="84"/>
      <c r="E3" s="84"/>
      <c r="F3" s="84"/>
      <c r="G3" s="84"/>
      <c r="H3" s="84"/>
      <c r="I3" s="85"/>
      <c r="J3" s="84"/>
      <c r="K3" s="84"/>
      <c r="L3" s="86"/>
      <c r="AT3" s="81" t="s">
        <v>76</v>
      </c>
    </row>
    <row r="4" spans="2:46" ht="24.95" customHeight="1">
      <c r="B4" s="86"/>
      <c r="D4" s="87" t="s">
        <v>78</v>
      </c>
      <c r="L4" s="86"/>
      <c r="M4" s="88" t="s">
        <v>10</v>
      </c>
      <c r="AT4" s="81" t="s">
        <v>3</v>
      </c>
    </row>
    <row r="5" spans="2:12" ht="6.95" customHeight="1">
      <c r="B5" s="86"/>
      <c r="L5" s="86"/>
    </row>
    <row r="6" spans="2:12" ht="12" customHeight="1">
      <c r="B6" s="86"/>
      <c r="D6" s="89" t="s">
        <v>16</v>
      </c>
      <c r="L6" s="86"/>
    </row>
    <row r="7" spans="2:12" ht="16.5" customHeight="1">
      <c r="B7" s="86"/>
      <c r="E7" s="361" t="str">
        <f>'Rekapitulace stavby'!K6</f>
        <v>PLAZY - OPRAVA VODOVODU</v>
      </c>
      <c r="F7" s="362"/>
      <c r="G7" s="362"/>
      <c r="H7" s="362"/>
      <c r="L7" s="86"/>
    </row>
    <row r="8" spans="2:12" s="92" customFormat="1" ht="12" customHeight="1">
      <c r="B8" s="90"/>
      <c r="D8" s="89" t="s">
        <v>79</v>
      </c>
      <c r="I8" s="93"/>
      <c r="L8" s="90"/>
    </row>
    <row r="9" spans="2:12" s="92" customFormat="1" ht="36.95" customHeight="1">
      <c r="B9" s="90"/>
      <c r="E9" s="359" t="s">
        <v>798</v>
      </c>
      <c r="F9" s="360"/>
      <c r="G9" s="360"/>
      <c r="H9" s="360"/>
      <c r="I9" s="93"/>
      <c r="L9" s="90"/>
    </row>
    <row r="10" spans="2:12" s="92" customFormat="1" ht="12">
      <c r="B10" s="90"/>
      <c r="I10" s="93"/>
      <c r="L10" s="90"/>
    </row>
    <row r="11" spans="2:12" s="92" customFormat="1" ht="12" customHeight="1">
      <c r="B11" s="90"/>
      <c r="D11" s="89" t="s">
        <v>18</v>
      </c>
      <c r="F11" s="81" t="s">
        <v>1</v>
      </c>
      <c r="I11" s="94" t="s">
        <v>19</v>
      </c>
      <c r="J11" s="81" t="s">
        <v>1</v>
      </c>
      <c r="L11" s="90"/>
    </row>
    <row r="12" spans="2:12" s="92" customFormat="1" ht="12" customHeight="1">
      <c r="B12" s="90"/>
      <c r="D12" s="89" t="s">
        <v>20</v>
      </c>
      <c r="F12" s="81" t="s">
        <v>21</v>
      </c>
      <c r="I12" s="94" t="s">
        <v>22</v>
      </c>
      <c r="J12" s="95" t="str">
        <f>'Rekapitulace stavby'!AN8</f>
        <v>24. 10. 2020</v>
      </c>
      <c r="L12" s="90"/>
    </row>
    <row r="13" spans="2:12" s="92" customFormat="1" ht="10.9" customHeight="1">
      <c r="B13" s="90"/>
      <c r="I13" s="93"/>
      <c r="L13" s="90"/>
    </row>
    <row r="14" spans="2:12" s="92" customFormat="1" ht="12" customHeight="1">
      <c r="B14" s="90"/>
      <c r="D14" s="89" t="s">
        <v>24</v>
      </c>
      <c r="I14" s="94" t="s">
        <v>25</v>
      </c>
      <c r="J14" s="81" t="s">
        <v>1</v>
      </c>
      <c r="L14" s="90"/>
    </row>
    <row r="15" spans="2:12" s="92" customFormat="1" ht="18" customHeight="1">
      <c r="B15" s="90"/>
      <c r="E15" s="81" t="s">
        <v>26</v>
      </c>
      <c r="I15" s="94" t="s">
        <v>27</v>
      </c>
      <c r="J15" s="81" t="s">
        <v>1</v>
      </c>
      <c r="L15" s="90"/>
    </row>
    <row r="16" spans="2:12" s="92" customFormat="1" ht="6.95" customHeight="1">
      <c r="B16" s="90"/>
      <c r="I16" s="93"/>
      <c r="L16" s="90"/>
    </row>
    <row r="17" spans="2:12" s="92" customFormat="1" ht="12" customHeight="1">
      <c r="B17" s="90"/>
      <c r="D17" s="89" t="s">
        <v>28</v>
      </c>
      <c r="I17" s="94" t="s">
        <v>25</v>
      </c>
      <c r="J17" s="96" t="str">
        <f>'Rekapitulace stavby'!AN13</f>
        <v>Vyplň údaj</v>
      </c>
      <c r="L17" s="90"/>
    </row>
    <row r="18" spans="2:12" s="92" customFormat="1" ht="18" customHeight="1">
      <c r="B18" s="90"/>
      <c r="E18" s="365" t="str">
        <f>'Rekapitulace stavby'!E14</f>
        <v>Vyplň údaj</v>
      </c>
      <c r="F18" s="366"/>
      <c r="G18" s="366"/>
      <c r="H18" s="366"/>
      <c r="I18" s="94" t="s">
        <v>27</v>
      </c>
      <c r="J18" s="96" t="str">
        <f>'Rekapitulace stavby'!AN14</f>
        <v>Vyplň údaj</v>
      </c>
      <c r="L18" s="90"/>
    </row>
    <row r="19" spans="2:12" s="92" customFormat="1" ht="6.95" customHeight="1">
      <c r="B19" s="90"/>
      <c r="I19" s="93"/>
      <c r="L19" s="90"/>
    </row>
    <row r="20" spans="2:12" s="92" customFormat="1" ht="12" customHeight="1">
      <c r="B20" s="90"/>
      <c r="D20" s="89" t="s">
        <v>30</v>
      </c>
      <c r="I20" s="94" t="s">
        <v>25</v>
      </c>
      <c r="J20" s="81" t="s">
        <v>1</v>
      </c>
      <c r="L20" s="90"/>
    </row>
    <row r="21" spans="2:12" s="92" customFormat="1" ht="18" customHeight="1">
      <c r="B21" s="90"/>
      <c r="E21" s="81" t="s">
        <v>31</v>
      </c>
      <c r="I21" s="94" t="s">
        <v>27</v>
      </c>
      <c r="J21" s="81" t="s">
        <v>1</v>
      </c>
      <c r="L21" s="90"/>
    </row>
    <row r="22" spans="2:12" s="92" customFormat="1" ht="6.95" customHeight="1">
      <c r="B22" s="90"/>
      <c r="I22" s="93"/>
      <c r="L22" s="90"/>
    </row>
    <row r="23" spans="2:12" s="92" customFormat="1" ht="12" customHeight="1">
      <c r="B23" s="90"/>
      <c r="D23" s="89" t="s">
        <v>33</v>
      </c>
      <c r="I23" s="94" t="s">
        <v>25</v>
      </c>
      <c r="J23" s="81" t="s">
        <v>1</v>
      </c>
      <c r="L23" s="90"/>
    </row>
    <row r="24" spans="2:12" s="92" customFormat="1" ht="18" customHeight="1">
      <c r="B24" s="90"/>
      <c r="E24" s="81" t="s">
        <v>34</v>
      </c>
      <c r="I24" s="94" t="s">
        <v>27</v>
      </c>
      <c r="J24" s="81" t="s">
        <v>1</v>
      </c>
      <c r="L24" s="90"/>
    </row>
    <row r="25" spans="2:12" s="92" customFormat="1" ht="6.95" customHeight="1">
      <c r="B25" s="90"/>
      <c r="I25" s="93"/>
      <c r="L25" s="90"/>
    </row>
    <row r="26" spans="2:12" s="92" customFormat="1" ht="12" customHeight="1">
      <c r="B26" s="90"/>
      <c r="D26" s="89" t="s">
        <v>35</v>
      </c>
      <c r="I26" s="93"/>
      <c r="L26" s="90"/>
    </row>
    <row r="27" spans="2:12" s="99" customFormat="1" ht="16.5" customHeight="1">
      <c r="B27" s="97"/>
      <c r="E27" s="367" t="s">
        <v>1</v>
      </c>
      <c r="F27" s="367"/>
      <c r="G27" s="367"/>
      <c r="H27" s="367"/>
      <c r="I27" s="100"/>
      <c r="L27" s="97"/>
    </row>
    <row r="28" spans="2:12" s="92" customFormat="1" ht="6.95" customHeight="1">
      <c r="B28" s="90"/>
      <c r="I28" s="93"/>
      <c r="L28" s="90"/>
    </row>
    <row r="29" spans="2:12" s="92" customFormat="1" ht="6.95" customHeight="1">
      <c r="B29" s="90"/>
      <c r="D29" s="101"/>
      <c r="E29" s="101"/>
      <c r="F29" s="101"/>
      <c r="G29" s="101"/>
      <c r="H29" s="101"/>
      <c r="I29" s="102"/>
      <c r="J29" s="101"/>
      <c r="K29" s="101"/>
      <c r="L29" s="90"/>
    </row>
    <row r="30" spans="2:12" s="92" customFormat="1" ht="25.35" customHeight="1">
      <c r="B30" s="90"/>
      <c r="D30" s="103" t="s">
        <v>36</v>
      </c>
      <c r="I30" s="93"/>
      <c r="J30" s="104">
        <f>ROUND(J89,2)</f>
        <v>0</v>
      </c>
      <c r="L30" s="90"/>
    </row>
    <row r="31" spans="2:12" s="92" customFormat="1" ht="6.95" customHeight="1">
      <c r="B31" s="90"/>
      <c r="D31" s="101"/>
      <c r="E31" s="101"/>
      <c r="F31" s="101"/>
      <c r="G31" s="101"/>
      <c r="H31" s="101"/>
      <c r="I31" s="102"/>
      <c r="J31" s="101"/>
      <c r="K31" s="101"/>
      <c r="L31" s="90"/>
    </row>
    <row r="32" spans="2:12" s="92" customFormat="1" ht="14.45" customHeight="1">
      <c r="B32" s="90"/>
      <c r="F32" s="105" t="s">
        <v>38</v>
      </c>
      <c r="I32" s="106" t="s">
        <v>37</v>
      </c>
      <c r="J32" s="105" t="s">
        <v>39</v>
      </c>
      <c r="L32" s="90"/>
    </row>
    <row r="33" spans="2:12" s="92" customFormat="1" ht="14.45" customHeight="1">
      <c r="B33" s="90"/>
      <c r="D33" s="89" t="s">
        <v>40</v>
      </c>
      <c r="E33" s="89" t="s">
        <v>41</v>
      </c>
      <c r="F33" s="107">
        <f>ROUND((SUM(BE89:BE566)),2)</f>
        <v>0</v>
      </c>
      <c r="I33" s="108">
        <v>0.21</v>
      </c>
      <c r="J33" s="107">
        <f>ROUND(((SUM(BE89:BE566))*I33),2)</f>
        <v>0</v>
      </c>
      <c r="L33" s="90"/>
    </row>
    <row r="34" spans="2:12" s="92" customFormat="1" ht="14.45" customHeight="1">
      <c r="B34" s="90"/>
      <c r="E34" s="89" t="s">
        <v>42</v>
      </c>
      <c r="F34" s="107">
        <f>ROUND((SUM(BF89:BF566)),2)</f>
        <v>0</v>
      </c>
      <c r="I34" s="108">
        <v>0.15</v>
      </c>
      <c r="J34" s="107">
        <f>ROUND(((SUM(BF89:BF566))*I34),2)</f>
        <v>0</v>
      </c>
      <c r="L34" s="90"/>
    </row>
    <row r="35" spans="2:12" s="92" customFormat="1" ht="14.45" customHeight="1" hidden="1">
      <c r="B35" s="90"/>
      <c r="E35" s="89" t="s">
        <v>43</v>
      </c>
      <c r="F35" s="107">
        <f>ROUND((SUM(BG89:BG566)),2)</f>
        <v>0</v>
      </c>
      <c r="I35" s="108">
        <v>0.21</v>
      </c>
      <c r="J35" s="107">
        <f>0</f>
        <v>0</v>
      </c>
      <c r="L35" s="90"/>
    </row>
    <row r="36" spans="2:12" s="92" customFormat="1" ht="14.45" customHeight="1" hidden="1">
      <c r="B36" s="90"/>
      <c r="E36" s="89" t="s">
        <v>44</v>
      </c>
      <c r="F36" s="107">
        <f>ROUND((SUM(BH89:BH566)),2)</f>
        <v>0</v>
      </c>
      <c r="I36" s="108">
        <v>0.15</v>
      </c>
      <c r="J36" s="107">
        <f>0</f>
        <v>0</v>
      </c>
      <c r="L36" s="90"/>
    </row>
    <row r="37" spans="2:12" s="92" customFormat="1" ht="14.45" customHeight="1" hidden="1">
      <c r="B37" s="90"/>
      <c r="E37" s="89" t="s">
        <v>45</v>
      </c>
      <c r="F37" s="107">
        <f>ROUND((SUM(BI89:BI566)),2)</f>
        <v>0</v>
      </c>
      <c r="I37" s="108">
        <v>0</v>
      </c>
      <c r="J37" s="107">
        <f>0</f>
        <v>0</v>
      </c>
      <c r="L37" s="90"/>
    </row>
    <row r="38" spans="2:12" s="92" customFormat="1" ht="6.95" customHeight="1">
      <c r="B38" s="90"/>
      <c r="I38" s="93"/>
      <c r="L38" s="90"/>
    </row>
    <row r="39" spans="2:12" s="92" customFormat="1" ht="25.35" customHeight="1">
      <c r="B39" s="90"/>
      <c r="C39" s="129"/>
      <c r="D39" s="110" t="s">
        <v>46</v>
      </c>
      <c r="E39" s="111"/>
      <c r="F39" s="111"/>
      <c r="G39" s="112" t="s">
        <v>47</v>
      </c>
      <c r="H39" s="113" t="s">
        <v>48</v>
      </c>
      <c r="I39" s="114"/>
      <c r="J39" s="115">
        <f>SUM(J30:J37)</f>
        <v>0</v>
      </c>
      <c r="K39" s="116"/>
      <c r="L39" s="90"/>
    </row>
    <row r="40" spans="2:12" s="92" customFormat="1" ht="14.45" customHeight="1">
      <c r="B40" s="117"/>
      <c r="C40" s="119"/>
      <c r="D40" s="119"/>
      <c r="E40" s="119"/>
      <c r="F40" s="119"/>
      <c r="G40" s="119"/>
      <c r="H40" s="119"/>
      <c r="I40" s="120"/>
      <c r="J40" s="119"/>
      <c r="K40" s="119"/>
      <c r="L40" s="90"/>
    </row>
    <row r="44" spans="2:12" s="92" customFormat="1" ht="6.95" customHeight="1">
      <c r="B44" s="121"/>
      <c r="C44" s="123"/>
      <c r="D44" s="123"/>
      <c r="E44" s="123"/>
      <c r="F44" s="123"/>
      <c r="G44" s="123"/>
      <c r="H44" s="123"/>
      <c r="I44" s="124"/>
      <c r="J44" s="123"/>
      <c r="K44" s="123"/>
      <c r="L44" s="90"/>
    </row>
    <row r="45" spans="2:12" s="92" customFormat="1" ht="24.95" customHeight="1">
      <c r="B45" s="90"/>
      <c r="C45" s="87" t="s">
        <v>81</v>
      </c>
      <c r="I45" s="93"/>
      <c r="L45" s="90"/>
    </row>
    <row r="46" spans="2:12" s="92" customFormat="1" ht="6.95" customHeight="1">
      <c r="B46" s="90"/>
      <c r="I46" s="93"/>
      <c r="L46" s="90"/>
    </row>
    <row r="47" spans="2:12" s="92" customFormat="1" ht="12" customHeight="1">
      <c r="B47" s="90"/>
      <c r="C47" s="89" t="s">
        <v>16</v>
      </c>
      <c r="I47" s="93"/>
      <c r="L47" s="90"/>
    </row>
    <row r="48" spans="2:12" s="92" customFormat="1" ht="16.5" customHeight="1">
      <c r="B48" s="90"/>
      <c r="E48" s="361" t="str">
        <f>E7</f>
        <v>PLAZY - OPRAVA VODOVODU</v>
      </c>
      <c r="F48" s="362"/>
      <c r="G48" s="362"/>
      <c r="H48" s="362"/>
      <c r="I48" s="93"/>
      <c r="L48" s="90"/>
    </row>
    <row r="49" spans="2:12" s="92" customFormat="1" ht="12" customHeight="1">
      <c r="B49" s="90"/>
      <c r="C49" s="89" t="s">
        <v>79</v>
      </c>
      <c r="I49" s="93"/>
      <c r="L49" s="90"/>
    </row>
    <row r="50" spans="2:12" s="92" customFormat="1" ht="16.5" customHeight="1">
      <c r="B50" s="90"/>
      <c r="E50" s="359" t="str">
        <f>E9</f>
        <v>2 - OPRAVA VODOVODU P, P1, P1a, P1b, P1c, P1c1, P1d</v>
      </c>
      <c r="F50" s="360"/>
      <c r="G50" s="360"/>
      <c r="H50" s="360"/>
      <c r="I50" s="93"/>
      <c r="L50" s="90"/>
    </row>
    <row r="51" spans="2:12" s="92" customFormat="1" ht="6.95" customHeight="1">
      <c r="B51" s="90"/>
      <c r="I51" s="93"/>
      <c r="L51" s="90"/>
    </row>
    <row r="52" spans="2:12" s="92" customFormat="1" ht="12" customHeight="1">
      <c r="B52" s="90"/>
      <c r="C52" s="89" t="s">
        <v>20</v>
      </c>
      <c r="F52" s="81" t="str">
        <f>F12</f>
        <v>PLAZY</v>
      </c>
      <c r="I52" s="94" t="s">
        <v>22</v>
      </c>
      <c r="J52" s="95" t="str">
        <f>IF(J12="","",J12)</f>
        <v>24. 10. 2020</v>
      </c>
      <c r="L52" s="90"/>
    </row>
    <row r="53" spans="2:12" s="92" customFormat="1" ht="6.95" customHeight="1">
      <c r="B53" s="90"/>
      <c r="I53" s="93"/>
      <c r="L53" s="90"/>
    </row>
    <row r="54" spans="2:12" s="92" customFormat="1" ht="38.65" customHeight="1">
      <c r="B54" s="90"/>
      <c r="C54" s="89" t="s">
        <v>24</v>
      </c>
      <c r="F54" s="81" t="str">
        <f>E15</f>
        <v>VODOVODY A KANALIZACE MLADÁ BOLESLAV a.s.</v>
      </c>
      <c r="I54" s="94" t="s">
        <v>30</v>
      </c>
      <c r="J54" s="127" t="str">
        <f>E21</f>
        <v>ING. JAN ČÍŽEK, VODOHOSPODÁŘSKÁ KANCELÁŘ TRUTNOV</v>
      </c>
      <c r="L54" s="90"/>
    </row>
    <row r="55" spans="2:12" s="92" customFormat="1" ht="13.7" customHeight="1">
      <c r="B55" s="90"/>
      <c r="C55" s="89" t="s">
        <v>28</v>
      </c>
      <c r="F55" s="81" t="str">
        <f>IF(E18="","",E18)</f>
        <v>Vyplň údaj</v>
      </c>
      <c r="I55" s="94" t="s">
        <v>33</v>
      </c>
      <c r="J55" s="127" t="str">
        <f>E24</f>
        <v>Lenka Benešová</v>
      </c>
      <c r="L55" s="90"/>
    </row>
    <row r="56" spans="2:12" s="92" customFormat="1" ht="10.35" customHeight="1">
      <c r="B56" s="90"/>
      <c r="I56" s="93"/>
      <c r="L56" s="90"/>
    </row>
    <row r="57" spans="2:12" s="92" customFormat="1" ht="29.25" customHeight="1">
      <c r="B57" s="90"/>
      <c r="C57" s="313" t="s">
        <v>82</v>
      </c>
      <c r="D57" s="129"/>
      <c r="E57" s="129"/>
      <c r="F57" s="129"/>
      <c r="G57" s="129"/>
      <c r="H57" s="129"/>
      <c r="I57" s="93"/>
      <c r="J57" s="130" t="s">
        <v>83</v>
      </c>
      <c r="K57" s="129"/>
      <c r="L57" s="90"/>
    </row>
    <row r="58" spans="2:12" s="92" customFormat="1" ht="10.35" customHeight="1">
      <c r="B58" s="90"/>
      <c r="I58" s="93"/>
      <c r="L58" s="90"/>
    </row>
    <row r="59" spans="2:47" s="92" customFormat="1" ht="22.9" customHeight="1">
      <c r="B59" s="90"/>
      <c r="C59" s="314" t="s">
        <v>84</v>
      </c>
      <c r="I59" s="93"/>
      <c r="J59" s="104">
        <f>J60+J69</f>
        <v>0</v>
      </c>
      <c r="L59" s="90"/>
      <c r="AU59" s="81" t="s">
        <v>85</v>
      </c>
    </row>
    <row r="60" spans="2:12" s="138" customFormat="1" ht="24.95" customHeight="1">
      <c r="B60" s="132"/>
      <c r="D60" s="134" t="s">
        <v>86</v>
      </c>
      <c r="E60" s="135"/>
      <c r="F60" s="135"/>
      <c r="G60" s="135"/>
      <c r="H60" s="135"/>
      <c r="I60" s="136"/>
      <c r="J60" s="137">
        <f>SUM(J61:J68)</f>
        <v>0</v>
      </c>
      <c r="L60" s="132"/>
    </row>
    <row r="61" spans="2:12" s="145" customFormat="1" ht="19.9" customHeight="1">
      <c r="B61" s="139"/>
      <c r="D61" s="141" t="s">
        <v>87</v>
      </c>
      <c r="E61" s="142"/>
      <c r="F61" s="142"/>
      <c r="G61" s="142"/>
      <c r="H61" s="142"/>
      <c r="I61" s="143"/>
      <c r="J61" s="144">
        <f>J91</f>
        <v>0</v>
      </c>
      <c r="L61" s="139"/>
    </row>
    <row r="62" spans="2:12" s="145" customFormat="1" ht="19.9" customHeight="1">
      <c r="B62" s="139"/>
      <c r="D62" s="141" t="s">
        <v>88</v>
      </c>
      <c r="E62" s="142"/>
      <c r="F62" s="142"/>
      <c r="G62" s="142"/>
      <c r="H62" s="142"/>
      <c r="I62" s="143"/>
      <c r="J62" s="144">
        <f>J344</f>
        <v>0</v>
      </c>
      <c r="L62" s="139"/>
    </row>
    <row r="63" spans="2:12" s="145" customFormat="1" ht="19.9" customHeight="1">
      <c r="B63" s="139"/>
      <c r="D63" s="141" t="s">
        <v>89</v>
      </c>
      <c r="E63" s="142"/>
      <c r="F63" s="142"/>
      <c r="G63" s="142"/>
      <c r="H63" s="142"/>
      <c r="I63" s="143"/>
      <c r="J63" s="144">
        <f>J350</f>
        <v>0</v>
      </c>
      <c r="L63" s="139"/>
    </row>
    <row r="64" spans="2:12" s="145" customFormat="1" ht="19.9" customHeight="1">
      <c r="B64" s="139"/>
      <c r="D64" s="141" t="s">
        <v>90</v>
      </c>
      <c r="E64" s="142"/>
      <c r="F64" s="142"/>
      <c r="G64" s="142"/>
      <c r="H64" s="142"/>
      <c r="I64" s="143"/>
      <c r="J64" s="144">
        <f>J361</f>
        <v>0</v>
      </c>
      <c r="L64" s="139"/>
    </row>
    <row r="65" spans="2:12" s="145" customFormat="1" ht="19.9" customHeight="1">
      <c r="B65" s="139"/>
      <c r="D65" s="141" t="s">
        <v>91</v>
      </c>
      <c r="E65" s="142"/>
      <c r="F65" s="142"/>
      <c r="G65" s="142"/>
      <c r="H65" s="142"/>
      <c r="I65" s="143"/>
      <c r="J65" s="144">
        <f>J387</f>
        <v>0</v>
      </c>
      <c r="L65" s="139"/>
    </row>
    <row r="66" spans="2:12" s="145" customFormat="1" ht="19.9" customHeight="1">
      <c r="B66" s="139"/>
      <c r="D66" s="141" t="s">
        <v>92</v>
      </c>
      <c r="E66" s="142"/>
      <c r="F66" s="142"/>
      <c r="G66" s="142"/>
      <c r="H66" s="142"/>
      <c r="I66" s="143"/>
      <c r="J66" s="144">
        <f>J495</f>
        <v>0</v>
      </c>
      <c r="L66" s="139"/>
    </row>
    <row r="67" spans="2:12" s="145" customFormat="1" ht="19.9" customHeight="1">
      <c r="B67" s="139"/>
      <c r="D67" s="141" t="s">
        <v>799</v>
      </c>
      <c r="E67" s="142"/>
      <c r="F67" s="142"/>
      <c r="G67" s="142"/>
      <c r="H67" s="142"/>
      <c r="I67" s="143"/>
      <c r="J67" s="144">
        <f>J526</f>
        <v>0</v>
      </c>
      <c r="L67" s="139"/>
    </row>
    <row r="68" spans="2:12" s="145" customFormat="1" ht="19.9" customHeight="1">
      <c r="B68" s="139"/>
      <c r="D68" s="141" t="s">
        <v>93</v>
      </c>
      <c r="E68" s="142"/>
      <c r="F68" s="142"/>
      <c r="G68" s="142"/>
      <c r="H68" s="142"/>
      <c r="I68" s="143"/>
      <c r="J68" s="144">
        <f>J541</f>
        <v>0</v>
      </c>
      <c r="L68" s="139"/>
    </row>
    <row r="69" spans="2:12" s="138" customFormat="1" ht="24.95" customHeight="1">
      <c r="B69" s="132"/>
      <c r="D69" s="134" t="s">
        <v>98</v>
      </c>
      <c r="E69" s="135"/>
      <c r="F69" s="135"/>
      <c r="G69" s="135"/>
      <c r="H69" s="135"/>
      <c r="I69" s="136"/>
      <c r="J69" s="137">
        <f>J543</f>
        <v>0</v>
      </c>
      <c r="L69" s="132"/>
    </row>
    <row r="70" spans="2:12" s="92" customFormat="1" ht="21.75" customHeight="1">
      <c r="B70" s="90"/>
      <c r="I70" s="93"/>
      <c r="L70" s="90"/>
    </row>
    <row r="71" spans="2:12" s="92" customFormat="1" ht="6.95" customHeight="1">
      <c r="B71" s="117"/>
      <c r="C71" s="119"/>
      <c r="D71" s="119"/>
      <c r="E71" s="119"/>
      <c r="F71" s="119"/>
      <c r="G71" s="119"/>
      <c r="H71" s="119"/>
      <c r="I71" s="120"/>
      <c r="J71" s="119"/>
      <c r="K71" s="119"/>
      <c r="L71" s="90"/>
    </row>
    <row r="75" spans="2:12" s="92" customFormat="1" ht="6.95" customHeight="1">
      <c r="B75" s="121"/>
      <c r="C75" s="123"/>
      <c r="D75" s="123"/>
      <c r="E75" s="123"/>
      <c r="F75" s="123"/>
      <c r="G75" s="123"/>
      <c r="H75" s="123"/>
      <c r="I75" s="124"/>
      <c r="J75" s="123"/>
      <c r="K75" s="123"/>
      <c r="L75" s="90"/>
    </row>
    <row r="76" spans="2:12" s="92" customFormat="1" ht="24.95" customHeight="1">
      <c r="B76" s="90"/>
      <c r="C76" s="87" t="s">
        <v>99</v>
      </c>
      <c r="I76" s="93"/>
      <c r="L76" s="90"/>
    </row>
    <row r="77" spans="2:12" s="92" customFormat="1" ht="6.95" customHeight="1">
      <c r="B77" s="90"/>
      <c r="I77" s="93"/>
      <c r="L77" s="90"/>
    </row>
    <row r="78" spans="2:12" s="92" customFormat="1" ht="12" customHeight="1">
      <c r="B78" s="90"/>
      <c r="C78" s="89" t="s">
        <v>16</v>
      </c>
      <c r="I78" s="93"/>
      <c r="L78" s="90"/>
    </row>
    <row r="79" spans="2:12" s="92" customFormat="1" ht="16.5" customHeight="1">
      <c r="B79" s="90"/>
      <c r="E79" s="361" t="str">
        <f>E7</f>
        <v>PLAZY - OPRAVA VODOVODU</v>
      </c>
      <c r="F79" s="362"/>
      <c r="G79" s="362"/>
      <c r="H79" s="362"/>
      <c r="I79" s="93"/>
      <c r="L79" s="90"/>
    </row>
    <row r="80" spans="2:12" s="92" customFormat="1" ht="12" customHeight="1">
      <c r="B80" s="90"/>
      <c r="C80" s="89" t="s">
        <v>79</v>
      </c>
      <c r="I80" s="93"/>
      <c r="L80" s="90"/>
    </row>
    <row r="81" spans="2:12" s="92" customFormat="1" ht="16.5" customHeight="1">
      <c r="B81" s="90"/>
      <c r="E81" s="359" t="str">
        <f>E9</f>
        <v>2 - OPRAVA VODOVODU P, P1, P1a, P1b, P1c, P1c1, P1d</v>
      </c>
      <c r="F81" s="360"/>
      <c r="G81" s="360"/>
      <c r="H81" s="360"/>
      <c r="I81" s="93"/>
      <c r="L81" s="90"/>
    </row>
    <row r="82" spans="2:12" s="92" customFormat="1" ht="6.95" customHeight="1">
      <c r="B82" s="90"/>
      <c r="I82" s="93"/>
      <c r="L82" s="90"/>
    </row>
    <row r="83" spans="2:12" s="92" customFormat="1" ht="12" customHeight="1">
      <c r="B83" s="90"/>
      <c r="C83" s="89" t="s">
        <v>20</v>
      </c>
      <c r="F83" s="81" t="str">
        <f>F12</f>
        <v>PLAZY</v>
      </c>
      <c r="I83" s="94" t="s">
        <v>22</v>
      </c>
      <c r="J83" s="95" t="str">
        <f>IF(J12="","",J12)</f>
        <v>24. 10. 2020</v>
      </c>
      <c r="L83" s="90"/>
    </row>
    <row r="84" spans="2:12" s="92" customFormat="1" ht="6.95" customHeight="1">
      <c r="B84" s="90"/>
      <c r="I84" s="93"/>
      <c r="L84" s="90"/>
    </row>
    <row r="85" spans="2:12" s="92" customFormat="1" ht="38.65" customHeight="1">
      <c r="B85" s="90"/>
      <c r="C85" s="89" t="s">
        <v>24</v>
      </c>
      <c r="F85" s="81" t="str">
        <f>E15</f>
        <v>VODOVODY A KANALIZACE MLADÁ BOLESLAV a.s.</v>
      </c>
      <c r="I85" s="94" t="s">
        <v>30</v>
      </c>
      <c r="J85" s="127" t="str">
        <f>E21</f>
        <v>ING. JAN ČÍŽEK, VODOHOSPODÁŘSKÁ KANCELÁŘ TRUTNOV</v>
      </c>
      <c r="L85" s="90"/>
    </row>
    <row r="86" spans="2:12" s="92" customFormat="1" ht="13.7" customHeight="1">
      <c r="B86" s="90"/>
      <c r="C86" s="89" t="s">
        <v>28</v>
      </c>
      <c r="F86" s="81" t="str">
        <f>IF(E18="","",E18)</f>
        <v>Vyplň údaj</v>
      </c>
      <c r="I86" s="94" t="s">
        <v>33</v>
      </c>
      <c r="J86" s="127" t="str">
        <f>E24</f>
        <v>Lenka Benešová</v>
      </c>
      <c r="L86" s="90"/>
    </row>
    <row r="87" spans="2:12" s="92" customFormat="1" ht="10.35" customHeight="1">
      <c r="B87" s="90"/>
      <c r="I87" s="93"/>
      <c r="L87" s="90"/>
    </row>
    <row r="88" spans="2:22" s="155" customFormat="1" ht="29.25" customHeight="1">
      <c r="B88" s="146"/>
      <c r="C88" s="315" t="s">
        <v>100</v>
      </c>
      <c r="D88" s="148" t="s">
        <v>54</v>
      </c>
      <c r="E88" s="148" t="s">
        <v>51</v>
      </c>
      <c r="F88" s="148" t="s">
        <v>52</v>
      </c>
      <c r="G88" s="148" t="s">
        <v>101</v>
      </c>
      <c r="H88" s="148" t="s">
        <v>102</v>
      </c>
      <c r="I88" s="149" t="s">
        <v>103</v>
      </c>
      <c r="J88" s="150" t="s">
        <v>83</v>
      </c>
      <c r="K88" s="151" t="s">
        <v>104</v>
      </c>
      <c r="L88" s="146"/>
      <c r="M88" s="152" t="s">
        <v>1</v>
      </c>
      <c r="N88" s="153" t="s">
        <v>40</v>
      </c>
      <c r="O88" s="153" t="s">
        <v>105</v>
      </c>
      <c r="P88" s="153" t="s">
        <v>106</v>
      </c>
      <c r="Q88" s="153" t="s">
        <v>107</v>
      </c>
      <c r="R88" s="153" t="s">
        <v>108</v>
      </c>
      <c r="S88" s="153" t="s">
        <v>109</v>
      </c>
      <c r="T88" s="154" t="s">
        <v>110</v>
      </c>
      <c r="V88" s="155" t="s">
        <v>1458</v>
      </c>
    </row>
    <row r="89" spans="2:63" s="92" customFormat="1" ht="22.9" customHeight="1">
      <c r="B89" s="90"/>
      <c r="C89" s="316" t="s">
        <v>111</v>
      </c>
      <c r="I89" s="93"/>
      <c r="J89" s="157"/>
      <c r="L89" s="90"/>
      <c r="M89" s="158"/>
      <c r="N89" s="101"/>
      <c r="O89" s="101"/>
      <c r="P89" s="159">
        <f>P90+P543</f>
        <v>0</v>
      </c>
      <c r="Q89" s="101"/>
      <c r="R89" s="159">
        <f>R90+R543</f>
        <v>751.9556489100001</v>
      </c>
      <c r="S89" s="101"/>
      <c r="T89" s="160">
        <f>T90+T543</f>
        <v>501.57800000000003</v>
      </c>
      <c r="AT89" s="81" t="s">
        <v>67</v>
      </c>
      <c r="AU89" s="81" t="s">
        <v>85</v>
      </c>
      <c r="BK89" s="161">
        <f>BK90+BK543</f>
        <v>0</v>
      </c>
    </row>
    <row r="90" spans="2:63" s="166" customFormat="1" ht="25.9" customHeight="1">
      <c r="B90" s="162"/>
      <c r="D90" s="164" t="s">
        <v>67</v>
      </c>
      <c r="E90" s="165" t="s">
        <v>112</v>
      </c>
      <c r="F90" s="165" t="s">
        <v>113</v>
      </c>
      <c r="I90" s="167"/>
      <c r="J90" s="168"/>
      <c r="L90" s="162"/>
      <c r="M90" s="169"/>
      <c r="N90" s="170"/>
      <c r="O90" s="170"/>
      <c r="P90" s="171">
        <f>P91+P344+P350+P361+P387+P495+P526+P541</f>
        <v>0</v>
      </c>
      <c r="Q90" s="170"/>
      <c r="R90" s="171">
        <f>R91+R344+R350+R361+R387+R495+R526+R541</f>
        <v>751.9556489100001</v>
      </c>
      <c r="S90" s="170"/>
      <c r="T90" s="172">
        <f>T91+T344+T350+T361+T387+T495+T526+T541</f>
        <v>501.57800000000003</v>
      </c>
      <c r="AR90" s="164" t="s">
        <v>73</v>
      </c>
      <c r="AT90" s="173" t="s">
        <v>67</v>
      </c>
      <c r="AU90" s="173" t="s">
        <v>68</v>
      </c>
      <c r="AY90" s="164" t="s">
        <v>114</v>
      </c>
      <c r="BK90" s="174">
        <f>BK91+BK344+BK350+BK361+BK387+BK495+BK526+BK541</f>
        <v>0</v>
      </c>
    </row>
    <row r="91" spans="2:63" s="166" customFormat="1" ht="22.9" customHeight="1">
      <c r="B91" s="162"/>
      <c r="D91" s="164" t="s">
        <v>67</v>
      </c>
      <c r="E91" s="175" t="s">
        <v>73</v>
      </c>
      <c r="F91" s="175" t="s">
        <v>115</v>
      </c>
      <c r="I91" s="167"/>
      <c r="J91" s="176">
        <f>SUM(J149:J340)</f>
        <v>0</v>
      </c>
      <c r="L91" s="162"/>
      <c r="M91" s="169"/>
      <c r="N91" s="170"/>
      <c r="O91" s="170"/>
      <c r="P91" s="171">
        <f>SUM(P92:P343)</f>
        <v>0</v>
      </c>
      <c r="Q91" s="170"/>
      <c r="R91" s="171">
        <f>SUM(R92:R343)</f>
        <v>257.29252870000005</v>
      </c>
      <c r="S91" s="170"/>
      <c r="T91" s="172">
        <f>SUM(T92:T343)</f>
        <v>469.574</v>
      </c>
      <c r="AR91" s="164" t="s">
        <v>73</v>
      </c>
      <c r="AT91" s="173" t="s">
        <v>67</v>
      </c>
      <c r="AU91" s="173" t="s">
        <v>73</v>
      </c>
      <c r="AY91" s="164" t="s">
        <v>114</v>
      </c>
      <c r="BK91" s="174">
        <f>SUM(BK92:BK343)</f>
        <v>0</v>
      </c>
    </row>
    <row r="92" spans="2:65" s="92" customFormat="1" ht="16.5" customHeight="1">
      <c r="B92" s="90"/>
      <c r="C92" s="178" t="s">
        <v>73</v>
      </c>
      <c r="D92" s="178" t="s">
        <v>116</v>
      </c>
      <c r="E92" s="179" t="s">
        <v>117</v>
      </c>
      <c r="F92" s="180" t="s">
        <v>118</v>
      </c>
      <c r="G92" s="181" t="s">
        <v>1</v>
      </c>
      <c r="H92" s="182">
        <f>H148</f>
        <v>625.1439999999998</v>
      </c>
      <c r="I92" s="183"/>
      <c r="J92" s="184"/>
      <c r="K92" s="180" t="s">
        <v>1</v>
      </c>
      <c r="L92" s="90"/>
      <c r="M92" s="185" t="s">
        <v>1</v>
      </c>
      <c r="N92" s="186" t="s">
        <v>41</v>
      </c>
      <c r="O92" s="187"/>
      <c r="P92" s="188">
        <f>O92*H92</f>
        <v>0</v>
      </c>
      <c r="Q92" s="188">
        <v>0</v>
      </c>
      <c r="R92" s="188">
        <f>Q92*H92</f>
        <v>0</v>
      </c>
      <c r="S92" s="188">
        <v>0</v>
      </c>
      <c r="T92" s="189">
        <f>S92*H92</f>
        <v>0</v>
      </c>
      <c r="AR92" s="81" t="s">
        <v>119</v>
      </c>
      <c r="AT92" s="81" t="s">
        <v>116</v>
      </c>
      <c r="AU92" s="81" t="s">
        <v>76</v>
      </c>
      <c r="AY92" s="81" t="s">
        <v>114</v>
      </c>
      <c r="BE92" s="190">
        <f>IF(N92="základní",J92,0)</f>
        <v>0</v>
      </c>
      <c r="BF92" s="190">
        <f>IF(N92="snížená",J92,0)</f>
        <v>0</v>
      </c>
      <c r="BG92" s="190">
        <f>IF(N92="zákl. přenesená",J92,0)</f>
        <v>0</v>
      </c>
      <c r="BH92" s="190">
        <f>IF(N92="sníž. přenesená",J92,0)</f>
        <v>0</v>
      </c>
      <c r="BI92" s="190">
        <f>IF(N92="nulová",J92,0)</f>
        <v>0</v>
      </c>
      <c r="BJ92" s="81" t="s">
        <v>73</v>
      </c>
      <c r="BK92" s="190">
        <f>ROUND(I92*H92,2)</f>
        <v>0</v>
      </c>
      <c r="BL92" s="81" t="s">
        <v>119</v>
      </c>
      <c r="BM92" s="81" t="s">
        <v>800</v>
      </c>
    </row>
    <row r="93" spans="2:51" s="198" customFormat="1" ht="12">
      <c r="B93" s="191"/>
      <c r="D93" s="193" t="s">
        <v>121</v>
      </c>
      <c r="E93" s="194" t="s">
        <v>1</v>
      </c>
      <c r="F93" s="259" t="s">
        <v>819</v>
      </c>
      <c r="H93" s="194" t="s">
        <v>1</v>
      </c>
      <c r="I93" s="196"/>
      <c r="L93" s="191"/>
      <c r="M93" s="199"/>
      <c r="N93" s="200"/>
      <c r="O93" s="200"/>
      <c r="P93" s="200"/>
      <c r="Q93" s="200"/>
      <c r="R93" s="200"/>
      <c r="S93" s="200"/>
      <c r="T93" s="201"/>
      <c r="AT93" s="194" t="s">
        <v>121</v>
      </c>
      <c r="AU93" s="194" t="s">
        <v>76</v>
      </c>
      <c r="AV93" s="198" t="s">
        <v>73</v>
      </c>
      <c r="AW93" s="198" t="s">
        <v>32</v>
      </c>
      <c r="AX93" s="198" t="s">
        <v>68</v>
      </c>
      <c r="AY93" s="194" t="s">
        <v>114</v>
      </c>
    </row>
    <row r="94" spans="2:51" s="208" customFormat="1" ht="12">
      <c r="B94" s="202"/>
      <c r="D94" s="193" t="s">
        <v>121</v>
      </c>
      <c r="E94" s="204" t="s">
        <v>1</v>
      </c>
      <c r="F94" s="260" t="s">
        <v>820</v>
      </c>
      <c r="H94" s="261">
        <v>26.863</v>
      </c>
      <c r="I94" s="206"/>
      <c r="L94" s="202"/>
      <c r="M94" s="209"/>
      <c r="N94" s="210"/>
      <c r="O94" s="210"/>
      <c r="P94" s="210"/>
      <c r="Q94" s="210"/>
      <c r="R94" s="210"/>
      <c r="S94" s="210"/>
      <c r="T94" s="211"/>
      <c r="AT94" s="204" t="s">
        <v>121</v>
      </c>
      <c r="AU94" s="204" t="s">
        <v>76</v>
      </c>
      <c r="AV94" s="208" t="s">
        <v>76</v>
      </c>
      <c r="AW94" s="208" t="s">
        <v>32</v>
      </c>
      <c r="AX94" s="208" t="s">
        <v>68</v>
      </c>
      <c r="AY94" s="204" t="s">
        <v>114</v>
      </c>
    </row>
    <row r="95" spans="2:51" s="208" customFormat="1" ht="12">
      <c r="B95" s="202"/>
      <c r="D95" s="193" t="s">
        <v>121</v>
      </c>
      <c r="E95" s="204" t="s">
        <v>1</v>
      </c>
      <c r="F95" s="260" t="s">
        <v>821</v>
      </c>
      <c r="H95" s="261">
        <v>31.377</v>
      </c>
      <c r="I95" s="206"/>
      <c r="L95" s="202"/>
      <c r="M95" s="209"/>
      <c r="N95" s="210"/>
      <c r="O95" s="210"/>
      <c r="P95" s="210"/>
      <c r="Q95" s="210"/>
      <c r="R95" s="210"/>
      <c r="S95" s="210"/>
      <c r="T95" s="211"/>
      <c r="AT95" s="204" t="s">
        <v>121</v>
      </c>
      <c r="AU95" s="204" t="s">
        <v>76</v>
      </c>
      <c r="AV95" s="208" t="s">
        <v>76</v>
      </c>
      <c r="AW95" s="208" t="s">
        <v>32</v>
      </c>
      <c r="AX95" s="208" t="s">
        <v>68</v>
      </c>
      <c r="AY95" s="204" t="s">
        <v>114</v>
      </c>
    </row>
    <row r="96" spans="2:51" s="208" customFormat="1" ht="12">
      <c r="B96" s="202"/>
      <c r="D96" s="193" t="s">
        <v>121</v>
      </c>
      <c r="E96" s="204" t="s">
        <v>1</v>
      </c>
      <c r="F96" s="260" t="s">
        <v>822</v>
      </c>
      <c r="H96" s="261">
        <v>25.69</v>
      </c>
      <c r="I96" s="206"/>
      <c r="L96" s="202"/>
      <c r="M96" s="209"/>
      <c r="N96" s="210"/>
      <c r="O96" s="210"/>
      <c r="P96" s="210"/>
      <c r="Q96" s="210"/>
      <c r="R96" s="210"/>
      <c r="S96" s="210"/>
      <c r="T96" s="211"/>
      <c r="AT96" s="204" t="s">
        <v>121</v>
      </c>
      <c r="AU96" s="204" t="s">
        <v>76</v>
      </c>
      <c r="AV96" s="208" t="s">
        <v>76</v>
      </c>
      <c r="AW96" s="208" t="s">
        <v>32</v>
      </c>
      <c r="AX96" s="208" t="s">
        <v>68</v>
      </c>
      <c r="AY96" s="204" t="s">
        <v>114</v>
      </c>
    </row>
    <row r="97" spans="2:51" s="208" customFormat="1" ht="12">
      <c r="B97" s="202"/>
      <c r="D97" s="193" t="s">
        <v>121</v>
      </c>
      <c r="E97" s="204" t="s">
        <v>1</v>
      </c>
      <c r="F97" s="260" t="s">
        <v>823</v>
      </c>
      <c r="H97" s="261">
        <v>21.112</v>
      </c>
      <c r="I97" s="206"/>
      <c r="L97" s="202"/>
      <c r="M97" s="209"/>
      <c r="N97" s="210"/>
      <c r="O97" s="210"/>
      <c r="P97" s="210"/>
      <c r="Q97" s="210"/>
      <c r="R97" s="210"/>
      <c r="S97" s="210"/>
      <c r="T97" s="211"/>
      <c r="AT97" s="204" t="s">
        <v>121</v>
      </c>
      <c r="AU97" s="204" t="s">
        <v>76</v>
      </c>
      <c r="AV97" s="208" t="s">
        <v>76</v>
      </c>
      <c r="AW97" s="208" t="s">
        <v>32</v>
      </c>
      <c r="AX97" s="208" t="s">
        <v>68</v>
      </c>
      <c r="AY97" s="204" t="s">
        <v>114</v>
      </c>
    </row>
    <row r="98" spans="2:51" s="208" customFormat="1" ht="12">
      <c r="B98" s="202"/>
      <c r="D98" s="193" t="s">
        <v>121</v>
      </c>
      <c r="E98" s="204" t="s">
        <v>1</v>
      </c>
      <c r="F98" s="260" t="s">
        <v>824</v>
      </c>
      <c r="H98" s="261">
        <v>26.862</v>
      </c>
      <c r="I98" s="206"/>
      <c r="L98" s="202"/>
      <c r="M98" s="209"/>
      <c r="N98" s="210"/>
      <c r="O98" s="210"/>
      <c r="P98" s="210"/>
      <c r="Q98" s="210"/>
      <c r="R98" s="210"/>
      <c r="S98" s="210"/>
      <c r="T98" s="211"/>
      <c r="AT98" s="204" t="s">
        <v>121</v>
      </c>
      <c r="AU98" s="204" t="s">
        <v>76</v>
      </c>
      <c r="AV98" s="208" t="s">
        <v>76</v>
      </c>
      <c r="AW98" s="208" t="s">
        <v>32</v>
      </c>
      <c r="AX98" s="208" t="s">
        <v>68</v>
      </c>
      <c r="AY98" s="204" t="s">
        <v>114</v>
      </c>
    </row>
    <row r="99" spans="2:51" s="208" customFormat="1" ht="12">
      <c r="B99" s="202"/>
      <c r="D99" s="193" t="s">
        <v>121</v>
      </c>
      <c r="E99" s="204" t="s">
        <v>1</v>
      </c>
      <c r="F99" s="260" t="s">
        <v>825</v>
      </c>
      <c r="H99" s="261">
        <v>30.66</v>
      </c>
      <c r="I99" s="206"/>
      <c r="L99" s="202"/>
      <c r="M99" s="209"/>
      <c r="N99" s="210"/>
      <c r="O99" s="210"/>
      <c r="P99" s="210"/>
      <c r="Q99" s="210"/>
      <c r="R99" s="210"/>
      <c r="S99" s="210"/>
      <c r="T99" s="211"/>
      <c r="AT99" s="204" t="s">
        <v>121</v>
      </c>
      <c r="AU99" s="204" t="s">
        <v>76</v>
      </c>
      <c r="AV99" s="208" t="s">
        <v>76</v>
      </c>
      <c r="AW99" s="208" t="s">
        <v>32</v>
      </c>
      <c r="AX99" s="208" t="s">
        <v>68</v>
      </c>
      <c r="AY99" s="204" t="s">
        <v>114</v>
      </c>
    </row>
    <row r="100" spans="2:51" s="208" customFormat="1" ht="12">
      <c r="B100" s="202"/>
      <c r="D100" s="193" t="s">
        <v>121</v>
      </c>
      <c r="E100" s="204" t="s">
        <v>1</v>
      </c>
      <c r="F100" s="260" t="s">
        <v>826</v>
      </c>
      <c r="H100" s="261">
        <v>37.713</v>
      </c>
      <c r="I100" s="206"/>
      <c r="L100" s="202"/>
      <c r="M100" s="209"/>
      <c r="N100" s="210"/>
      <c r="O100" s="210"/>
      <c r="P100" s="210"/>
      <c r="Q100" s="210"/>
      <c r="R100" s="210"/>
      <c r="S100" s="210"/>
      <c r="T100" s="211"/>
      <c r="AT100" s="204" t="s">
        <v>121</v>
      </c>
      <c r="AU100" s="204" t="s">
        <v>76</v>
      </c>
      <c r="AV100" s="208" t="s">
        <v>76</v>
      </c>
      <c r="AW100" s="208" t="s">
        <v>32</v>
      </c>
      <c r="AX100" s="208" t="s">
        <v>68</v>
      </c>
      <c r="AY100" s="204" t="s">
        <v>114</v>
      </c>
    </row>
    <row r="101" spans="2:51" s="208" customFormat="1" ht="12">
      <c r="B101" s="202"/>
      <c r="D101" s="193" t="s">
        <v>121</v>
      </c>
      <c r="E101" s="204" t="s">
        <v>1</v>
      </c>
      <c r="F101" s="260" t="s">
        <v>827</v>
      </c>
      <c r="H101" s="261">
        <v>26.426</v>
      </c>
      <c r="I101" s="206"/>
      <c r="L101" s="202"/>
      <c r="M101" s="209"/>
      <c r="N101" s="210"/>
      <c r="O101" s="210"/>
      <c r="P101" s="210"/>
      <c r="Q101" s="210"/>
      <c r="R101" s="210"/>
      <c r="S101" s="210"/>
      <c r="T101" s="211"/>
      <c r="AT101" s="204" t="s">
        <v>121</v>
      </c>
      <c r="AU101" s="204" t="s">
        <v>76</v>
      </c>
      <c r="AV101" s="208" t="s">
        <v>76</v>
      </c>
      <c r="AW101" s="208" t="s">
        <v>32</v>
      </c>
      <c r="AX101" s="208" t="s">
        <v>68</v>
      </c>
      <c r="AY101" s="204" t="s">
        <v>114</v>
      </c>
    </row>
    <row r="102" spans="2:51" s="208" customFormat="1" ht="12">
      <c r="B102" s="202"/>
      <c r="D102" s="193" t="s">
        <v>121</v>
      </c>
      <c r="E102" s="204" t="s">
        <v>1</v>
      </c>
      <c r="F102" s="260" t="s">
        <v>828</v>
      </c>
      <c r="H102" s="261">
        <v>20.938</v>
      </c>
      <c r="I102" s="206"/>
      <c r="L102" s="202"/>
      <c r="M102" s="209"/>
      <c r="N102" s="210"/>
      <c r="O102" s="210"/>
      <c r="P102" s="210"/>
      <c r="Q102" s="210"/>
      <c r="R102" s="210"/>
      <c r="S102" s="210"/>
      <c r="T102" s="211"/>
      <c r="AT102" s="204" t="s">
        <v>121</v>
      </c>
      <c r="AU102" s="204" t="s">
        <v>76</v>
      </c>
      <c r="AV102" s="208" t="s">
        <v>76</v>
      </c>
      <c r="AW102" s="208" t="s">
        <v>32</v>
      </c>
      <c r="AX102" s="208" t="s">
        <v>68</v>
      </c>
      <c r="AY102" s="204" t="s">
        <v>114</v>
      </c>
    </row>
    <row r="103" spans="2:51" s="208" customFormat="1" ht="12">
      <c r="B103" s="202"/>
      <c r="D103" s="193" t="s">
        <v>121</v>
      </c>
      <c r="E103" s="204" t="s">
        <v>1</v>
      </c>
      <c r="F103" s="260" t="s">
        <v>829</v>
      </c>
      <c r="H103" s="261">
        <v>28.08</v>
      </c>
      <c r="I103" s="206"/>
      <c r="L103" s="202"/>
      <c r="M103" s="209"/>
      <c r="N103" s="210"/>
      <c r="O103" s="210"/>
      <c r="P103" s="210"/>
      <c r="Q103" s="210"/>
      <c r="R103" s="210"/>
      <c r="S103" s="210"/>
      <c r="T103" s="211"/>
      <c r="AT103" s="204" t="s">
        <v>121</v>
      </c>
      <c r="AU103" s="204" t="s">
        <v>76</v>
      </c>
      <c r="AV103" s="208" t="s">
        <v>76</v>
      </c>
      <c r="AW103" s="208" t="s">
        <v>32</v>
      </c>
      <c r="AX103" s="208" t="s">
        <v>68</v>
      </c>
      <c r="AY103" s="204" t="s">
        <v>114</v>
      </c>
    </row>
    <row r="104" spans="2:51" s="208" customFormat="1" ht="12">
      <c r="B104" s="202"/>
      <c r="D104" s="193" t="s">
        <v>121</v>
      </c>
      <c r="E104" s="204" t="s">
        <v>1</v>
      </c>
      <c r="F104" s="260" t="s">
        <v>830</v>
      </c>
      <c r="H104" s="261">
        <v>23.212</v>
      </c>
      <c r="I104" s="206"/>
      <c r="L104" s="202"/>
      <c r="M104" s="209"/>
      <c r="N104" s="210"/>
      <c r="O104" s="210"/>
      <c r="P104" s="210"/>
      <c r="Q104" s="210"/>
      <c r="R104" s="210"/>
      <c r="S104" s="210"/>
      <c r="T104" s="211"/>
      <c r="AT104" s="204" t="s">
        <v>121</v>
      </c>
      <c r="AU104" s="204" t="s">
        <v>76</v>
      </c>
      <c r="AV104" s="208" t="s">
        <v>76</v>
      </c>
      <c r="AW104" s="208" t="s">
        <v>32</v>
      </c>
      <c r="AX104" s="208" t="s">
        <v>68</v>
      </c>
      <c r="AY104" s="204" t="s">
        <v>114</v>
      </c>
    </row>
    <row r="105" spans="2:51" s="208" customFormat="1" ht="12">
      <c r="B105" s="202"/>
      <c r="D105" s="193" t="s">
        <v>121</v>
      </c>
      <c r="E105" s="204" t="s">
        <v>1</v>
      </c>
      <c r="F105" s="260" t="s">
        <v>831</v>
      </c>
      <c r="H105" s="261">
        <v>30.939</v>
      </c>
      <c r="I105" s="206"/>
      <c r="L105" s="202"/>
      <c r="M105" s="209"/>
      <c r="N105" s="210"/>
      <c r="O105" s="210"/>
      <c r="P105" s="210"/>
      <c r="Q105" s="210"/>
      <c r="R105" s="210"/>
      <c r="S105" s="210"/>
      <c r="T105" s="211"/>
      <c r="AT105" s="204" t="s">
        <v>121</v>
      </c>
      <c r="AU105" s="204" t="s">
        <v>76</v>
      </c>
      <c r="AV105" s="208" t="s">
        <v>76</v>
      </c>
      <c r="AW105" s="208" t="s">
        <v>32</v>
      </c>
      <c r="AX105" s="208" t="s">
        <v>68</v>
      </c>
      <c r="AY105" s="204" t="s">
        <v>114</v>
      </c>
    </row>
    <row r="106" spans="2:51" s="208" customFormat="1" ht="12">
      <c r="B106" s="202"/>
      <c r="D106" s="193" t="s">
        <v>121</v>
      </c>
      <c r="E106" s="204" t="s">
        <v>1</v>
      </c>
      <c r="F106" s="260" t="s">
        <v>832</v>
      </c>
      <c r="H106" s="261">
        <v>26.734</v>
      </c>
      <c r="I106" s="206"/>
      <c r="L106" s="202"/>
      <c r="M106" s="209"/>
      <c r="N106" s="210"/>
      <c r="O106" s="210"/>
      <c r="P106" s="210"/>
      <c r="Q106" s="210"/>
      <c r="R106" s="210"/>
      <c r="S106" s="210"/>
      <c r="T106" s="211"/>
      <c r="AT106" s="204" t="s">
        <v>121</v>
      </c>
      <c r="AU106" s="204" t="s">
        <v>76</v>
      </c>
      <c r="AV106" s="208" t="s">
        <v>76</v>
      </c>
      <c r="AW106" s="208" t="s">
        <v>32</v>
      </c>
      <c r="AX106" s="208" t="s">
        <v>68</v>
      </c>
      <c r="AY106" s="204" t="s">
        <v>114</v>
      </c>
    </row>
    <row r="107" spans="2:51" s="208" customFormat="1" ht="12">
      <c r="B107" s="202"/>
      <c r="D107" s="193" t="s">
        <v>121</v>
      </c>
      <c r="E107" s="204" t="s">
        <v>1</v>
      </c>
      <c r="F107" s="260" t="s">
        <v>833</v>
      </c>
      <c r="H107" s="261">
        <v>14.28</v>
      </c>
      <c r="I107" s="206"/>
      <c r="L107" s="202"/>
      <c r="M107" s="209"/>
      <c r="N107" s="210"/>
      <c r="O107" s="210"/>
      <c r="P107" s="210"/>
      <c r="Q107" s="210"/>
      <c r="R107" s="210"/>
      <c r="S107" s="210"/>
      <c r="T107" s="211"/>
      <c r="AT107" s="204" t="s">
        <v>121</v>
      </c>
      <c r="AU107" s="204" t="s">
        <v>76</v>
      </c>
      <c r="AV107" s="208" t="s">
        <v>76</v>
      </c>
      <c r="AW107" s="208" t="s">
        <v>32</v>
      </c>
      <c r="AX107" s="208" t="s">
        <v>68</v>
      </c>
      <c r="AY107" s="204" t="s">
        <v>114</v>
      </c>
    </row>
    <row r="108" spans="2:51" s="208" customFormat="1" ht="12">
      <c r="B108" s="202"/>
      <c r="D108" s="193" t="s">
        <v>121</v>
      </c>
      <c r="E108" s="204" t="s">
        <v>1</v>
      </c>
      <c r="F108" s="260" t="s">
        <v>834</v>
      </c>
      <c r="H108" s="261">
        <v>22.617</v>
      </c>
      <c r="I108" s="206"/>
      <c r="L108" s="202"/>
      <c r="M108" s="209"/>
      <c r="N108" s="210"/>
      <c r="O108" s="210"/>
      <c r="P108" s="210"/>
      <c r="Q108" s="210"/>
      <c r="R108" s="210"/>
      <c r="S108" s="210"/>
      <c r="T108" s="211"/>
      <c r="AT108" s="204" t="s">
        <v>121</v>
      </c>
      <c r="AU108" s="204" t="s">
        <v>76</v>
      </c>
      <c r="AV108" s="208" t="s">
        <v>76</v>
      </c>
      <c r="AW108" s="208" t="s">
        <v>32</v>
      </c>
      <c r="AX108" s="208" t="s">
        <v>68</v>
      </c>
      <c r="AY108" s="204" t="s">
        <v>114</v>
      </c>
    </row>
    <row r="109" spans="2:51" s="208" customFormat="1" ht="12">
      <c r="B109" s="202"/>
      <c r="D109" s="193" t="s">
        <v>121</v>
      </c>
      <c r="E109" s="204" t="s">
        <v>1</v>
      </c>
      <c r="F109" s="260" t="s">
        <v>835</v>
      </c>
      <c r="H109" s="261">
        <v>38.772</v>
      </c>
      <c r="I109" s="206"/>
      <c r="L109" s="202"/>
      <c r="M109" s="209"/>
      <c r="N109" s="210"/>
      <c r="O109" s="210"/>
      <c r="P109" s="210"/>
      <c r="Q109" s="210"/>
      <c r="R109" s="210"/>
      <c r="S109" s="210"/>
      <c r="T109" s="211"/>
      <c r="AT109" s="204" t="s">
        <v>121</v>
      </c>
      <c r="AU109" s="204" t="s">
        <v>76</v>
      </c>
      <c r="AV109" s="208" t="s">
        <v>76</v>
      </c>
      <c r="AW109" s="208" t="s">
        <v>32</v>
      </c>
      <c r="AX109" s="208" t="s">
        <v>68</v>
      </c>
      <c r="AY109" s="204" t="s">
        <v>114</v>
      </c>
    </row>
    <row r="110" spans="2:51" s="198" customFormat="1" ht="12">
      <c r="B110" s="191"/>
      <c r="D110" s="193" t="s">
        <v>121</v>
      </c>
      <c r="E110" s="194" t="s">
        <v>1</v>
      </c>
      <c r="F110" s="259" t="s">
        <v>804</v>
      </c>
      <c r="H110" s="194" t="s">
        <v>1</v>
      </c>
      <c r="I110" s="196"/>
      <c r="L110" s="191"/>
      <c r="M110" s="199"/>
      <c r="N110" s="200"/>
      <c r="O110" s="200"/>
      <c r="P110" s="200"/>
      <c r="Q110" s="200"/>
      <c r="R110" s="200"/>
      <c r="S110" s="200"/>
      <c r="T110" s="201"/>
      <c r="AT110" s="194" t="s">
        <v>121</v>
      </c>
      <c r="AU110" s="194" t="s">
        <v>76</v>
      </c>
      <c r="AV110" s="198" t="s">
        <v>73</v>
      </c>
      <c r="AW110" s="198" t="s">
        <v>32</v>
      </c>
      <c r="AX110" s="198" t="s">
        <v>68</v>
      </c>
      <c r="AY110" s="194" t="s">
        <v>114</v>
      </c>
    </row>
    <row r="111" spans="2:51" s="208" customFormat="1" ht="12">
      <c r="B111" s="202"/>
      <c r="D111" s="193" t="s">
        <v>121</v>
      </c>
      <c r="E111" s="204" t="s">
        <v>1</v>
      </c>
      <c r="F111" s="260" t="s">
        <v>836</v>
      </c>
      <c r="H111" s="261">
        <v>27</v>
      </c>
      <c r="I111" s="206"/>
      <c r="L111" s="202"/>
      <c r="M111" s="209"/>
      <c r="N111" s="210"/>
      <c r="O111" s="210"/>
      <c r="P111" s="210"/>
      <c r="Q111" s="210"/>
      <c r="R111" s="210"/>
      <c r="S111" s="210"/>
      <c r="T111" s="211"/>
      <c r="AT111" s="204" t="s">
        <v>121</v>
      </c>
      <c r="AU111" s="204" t="s">
        <v>76</v>
      </c>
      <c r="AV111" s="208" t="s">
        <v>76</v>
      </c>
      <c r="AW111" s="208" t="s">
        <v>32</v>
      </c>
      <c r="AX111" s="208" t="s">
        <v>68</v>
      </c>
      <c r="AY111" s="204" t="s">
        <v>114</v>
      </c>
    </row>
    <row r="112" spans="2:51" s="208" customFormat="1" ht="12">
      <c r="B112" s="202"/>
      <c r="D112" s="193" t="s">
        <v>121</v>
      </c>
      <c r="E112" s="204" t="s">
        <v>1</v>
      </c>
      <c r="F112" s="260" t="s">
        <v>837</v>
      </c>
      <c r="H112" s="261">
        <v>9</v>
      </c>
      <c r="I112" s="206"/>
      <c r="L112" s="202"/>
      <c r="M112" s="209"/>
      <c r="N112" s="210"/>
      <c r="O112" s="210"/>
      <c r="P112" s="210"/>
      <c r="Q112" s="210"/>
      <c r="R112" s="210"/>
      <c r="S112" s="210"/>
      <c r="T112" s="211"/>
      <c r="AT112" s="204" t="s">
        <v>121</v>
      </c>
      <c r="AU112" s="204" t="s">
        <v>76</v>
      </c>
      <c r="AV112" s="208" t="s">
        <v>76</v>
      </c>
      <c r="AW112" s="208" t="s">
        <v>32</v>
      </c>
      <c r="AX112" s="208" t="s">
        <v>68</v>
      </c>
      <c r="AY112" s="204" t="s">
        <v>114</v>
      </c>
    </row>
    <row r="113" spans="2:51" s="208" customFormat="1" ht="12">
      <c r="B113" s="202"/>
      <c r="D113" s="193" t="s">
        <v>121</v>
      </c>
      <c r="E113" s="204" t="s">
        <v>1</v>
      </c>
      <c r="F113" s="260" t="s">
        <v>838</v>
      </c>
      <c r="H113" s="261">
        <v>-12.24</v>
      </c>
      <c r="I113" s="206"/>
      <c r="L113" s="202"/>
      <c r="M113" s="209"/>
      <c r="N113" s="210"/>
      <c r="O113" s="210"/>
      <c r="P113" s="210"/>
      <c r="Q113" s="210"/>
      <c r="R113" s="210"/>
      <c r="S113" s="210"/>
      <c r="T113" s="211"/>
      <c r="AT113" s="204" t="s">
        <v>121</v>
      </c>
      <c r="AU113" s="204" t="s">
        <v>76</v>
      </c>
      <c r="AV113" s="208" t="s">
        <v>76</v>
      </c>
      <c r="AW113" s="208" t="s">
        <v>32</v>
      </c>
      <c r="AX113" s="208" t="s">
        <v>68</v>
      </c>
      <c r="AY113" s="204" t="s">
        <v>114</v>
      </c>
    </row>
    <row r="114" spans="2:51" s="198" customFormat="1" ht="12">
      <c r="B114" s="191"/>
      <c r="D114" s="193" t="s">
        <v>121</v>
      </c>
      <c r="E114" s="194" t="s">
        <v>1</v>
      </c>
      <c r="F114" s="259" t="s">
        <v>809</v>
      </c>
      <c r="H114" s="194" t="s">
        <v>1</v>
      </c>
      <c r="I114" s="196"/>
      <c r="L114" s="191"/>
      <c r="M114" s="199"/>
      <c r="N114" s="200"/>
      <c r="O114" s="200"/>
      <c r="P114" s="200"/>
      <c r="Q114" s="200"/>
      <c r="R114" s="200"/>
      <c r="S114" s="200"/>
      <c r="T114" s="201"/>
      <c r="AT114" s="194" t="s">
        <v>121</v>
      </c>
      <c r="AU114" s="194" t="s">
        <v>76</v>
      </c>
      <c r="AV114" s="198" t="s">
        <v>73</v>
      </c>
      <c r="AW114" s="198" t="s">
        <v>32</v>
      </c>
      <c r="AX114" s="198" t="s">
        <v>68</v>
      </c>
      <c r="AY114" s="194" t="s">
        <v>114</v>
      </c>
    </row>
    <row r="115" spans="2:51" s="208" customFormat="1" ht="12">
      <c r="B115" s="202"/>
      <c r="D115" s="193" t="s">
        <v>121</v>
      </c>
      <c r="E115" s="204" t="s">
        <v>1</v>
      </c>
      <c r="F115" s="260" t="s">
        <v>839</v>
      </c>
      <c r="H115" s="261">
        <v>37.736</v>
      </c>
      <c r="I115" s="206"/>
      <c r="L115" s="202"/>
      <c r="M115" s="209"/>
      <c r="N115" s="210"/>
      <c r="O115" s="210"/>
      <c r="P115" s="210"/>
      <c r="Q115" s="210"/>
      <c r="R115" s="210"/>
      <c r="S115" s="210"/>
      <c r="T115" s="211"/>
      <c r="AT115" s="204" t="s">
        <v>121</v>
      </c>
      <c r="AU115" s="204" t="s">
        <v>76</v>
      </c>
      <c r="AV115" s="208" t="s">
        <v>76</v>
      </c>
      <c r="AW115" s="208" t="s">
        <v>32</v>
      </c>
      <c r="AX115" s="208" t="s">
        <v>68</v>
      </c>
      <c r="AY115" s="204" t="s">
        <v>114</v>
      </c>
    </row>
    <row r="116" spans="2:51" s="208" customFormat="1" ht="12">
      <c r="B116" s="202"/>
      <c r="D116" s="193" t="s">
        <v>121</v>
      </c>
      <c r="E116" s="204" t="s">
        <v>1</v>
      </c>
      <c r="F116" s="260" t="s">
        <v>840</v>
      </c>
      <c r="H116" s="261">
        <v>23.424</v>
      </c>
      <c r="I116" s="206"/>
      <c r="L116" s="202"/>
      <c r="M116" s="209"/>
      <c r="N116" s="210"/>
      <c r="O116" s="210"/>
      <c r="P116" s="210"/>
      <c r="Q116" s="210"/>
      <c r="R116" s="210"/>
      <c r="S116" s="210"/>
      <c r="T116" s="211"/>
      <c r="AT116" s="204" t="s">
        <v>121</v>
      </c>
      <c r="AU116" s="204" t="s">
        <v>76</v>
      </c>
      <c r="AV116" s="208" t="s">
        <v>76</v>
      </c>
      <c r="AW116" s="208" t="s">
        <v>32</v>
      </c>
      <c r="AX116" s="208" t="s">
        <v>68</v>
      </c>
      <c r="AY116" s="204" t="s">
        <v>114</v>
      </c>
    </row>
    <row r="117" spans="2:51" s="208" customFormat="1" ht="12">
      <c r="B117" s="202"/>
      <c r="D117" s="193" t="s">
        <v>121</v>
      </c>
      <c r="E117" s="204" t="s">
        <v>1</v>
      </c>
      <c r="F117" s="260" t="s">
        <v>841</v>
      </c>
      <c r="H117" s="261">
        <v>17.19</v>
      </c>
      <c r="I117" s="206"/>
      <c r="L117" s="202"/>
      <c r="M117" s="209"/>
      <c r="N117" s="210"/>
      <c r="O117" s="210"/>
      <c r="P117" s="210"/>
      <c r="Q117" s="210"/>
      <c r="R117" s="210"/>
      <c r="S117" s="210"/>
      <c r="T117" s="211"/>
      <c r="AT117" s="204" t="s">
        <v>121</v>
      </c>
      <c r="AU117" s="204" t="s">
        <v>76</v>
      </c>
      <c r="AV117" s="208" t="s">
        <v>76</v>
      </c>
      <c r="AW117" s="208" t="s">
        <v>32</v>
      </c>
      <c r="AX117" s="208" t="s">
        <v>68</v>
      </c>
      <c r="AY117" s="204" t="s">
        <v>114</v>
      </c>
    </row>
    <row r="118" spans="2:51" s="208" customFormat="1" ht="12">
      <c r="B118" s="202"/>
      <c r="D118" s="193" t="s">
        <v>121</v>
      </c>
      <c r="E118" s="204" t="s">
        <v>1</v>
      </c>
      <c r="F118" s="260" t="s">
        <v>842</v>
      </c>
      <c r="H118" s="261">
        <v>30.132</v>
      </c>
      <c r="I118" s="206"/>
      <c r="L118" s="202"/>
      <c r="M118" s="209"/>
      <c r="N118" s="210"/>
      <c r="O118" s="210"/>
      <c r="P118" s="210"/>
      <c r="Q118" s="210"/>
      <c r="R118" s="210"/>
      <c r="S118" s="210"/>
      <c r="T118" s="211"/>
      <c r="AT118" s="204" t="s">
        <v>121</v>
      </c>
      <c r="AU118" s="204" t="s">
        <v>76</v>
      </c>
      <c r="AV118" s="208" t="s">
        <v>76</v>
      </c>
      <c r="AW118" s="208" t="s">
        <v>32</v>
      </c>
      <c r="AX118" s="208" t="s">
        <v>68</v>
      </c>
      <c r="AY118" s="204" t="s">
        <v>114</v>
      </c>
    </row>
    <row r="119" spans="2:51" s="208" customFormat="1" ht="12">
      <c r="B119" s="202"/>
      <c r="D119" s="193" t="s">
        <v>121</v>
      </c>
      <c r="E119" s="204" t="s">
        <v>1</v>
      </c>
      <c r="F119" s="260" t="s">
        <v>843</v>
      </c>
      <c r="H119" s="261">
        <v>32.779</v>
      </c>
      <c r="I119" s="206"/>
      <c r="L119" s="202"/>
      <c r="M119" s="209"/>
      <c r="N119" s="210"/>
      <c r="O119" s="210"/>
      <c r="P119" s="210"/>
      <c r="Q119" s="210"/>
      <c r="R119" s="210"/>
      <c r="S119" s="210"/>
      <c r="T119" s="211"/>
      <c r="AT119" s="204" t="s">
        <v>121</v>
      </c>
      <c r="AU119" s="204" t="s">
        <v>76</v>
      </c>
      <c r="AV119" s="208" t="s">
        <v>76</v>
      </c>
      <c r="AW119" s="208" t="s">
        <v>32</v>
      </c>
      <c r="AX119" s="208" t="s">
        <v>68</v>
      </c>
      <c r="AY119" s="204" t="s">
        <v>114</v>
      </c>
    </row>
    <row r="120" spans="2:51" s="208" customFormat="1" ht="12">
      <c r="B120" s="202"/>
      <c r="D120" s="193" t="s">
        <v>121</v>
      </c>
      <c r="E120" s="204" t="s">
        <v>1</v>
      </c>
      <c r="F120" s="260" t="s">
        <v>844</v>
      </c>
      <c r="H120" s="261">
        <v>18.05</v>
      </c>
      <c r="I120" s="206"/>
      <c r="L120" s="202"/>
      <c r="M120" s="209"/>
      <c r="N120" s="210"/>
      <c r="O120" s="210"/>
      <c r="P120" s="210"/>
      <c r="Q120" s="210"/>
      <c r="R120" s="210"/>
      <c r="S120" s="210"/>
      <c r="T120" s="211"/>
      <c r="AT120" s="204" t="s">
        <v>121</v>
      </c>
      <c r="AU120" s="204" t="s">
        <v>76</v>
      </c>
      <c r="AV120" s="208" t="s">
        <v>76</v>
      </c>
      <c r="AW120" s="208" t="s">
        <v>32</v>
      </c>
      <c r="AX120" s="208" t="s">
        <v>68</v>
      </c>
      <c r="AY120" s="204" t="s">
        <v>114</v>
      </c>
    </row>
    <row r="121" spans="2:51" s="208" customFormat="1" ht="12">
      <c r="B121" s="202"/>
      <c r="D121" s="193" t="s">
        <v>121</v>
      </c>
      <c r="E121" s="204" t="s">
        <v>1</v>
      </c>
      <c r="F121" s="260" t="s">
        <v>845</v>
      </c>
      <c r="H121" s="261">
        <v>17.602</v>
      </c>
      <c r="I121" s="206"/>
      <c r="L121" s="202"/>
      <c r="M121" s="209"/>
      <c r="N121" s="210"/>
      <c r="O121" s="210"/>
      <c r="P121" s="210"/>
      <c r="Q121" s="210"/>
      <c r="R121" s="210"/>
      <c r="S121" s="210"/>
      <c r="T121" s="211"/>
      <c r="AT121" s="204" t="s">
        <v>121</v>
      </c>
      <c r="AU121" s="204" t="s">
        <v>76</v>
      </c>
      <c r="AV121" s="208" t="s">
        <v>76</v>
      </c>
      <c r="AW121" s="208" t="s">
        <v>32</v>
      </c>
      <c r="AX121" s="208" t="s">
        <v>68</v>
      </c>
      <c r="AY121" s="204" t="s">
        <v>114</v>
      </c>
    </row>
    <row r="122" spans="2:51" s="198" customFormat="1" ht="12">
      <c r="B122" s="191"/>
      <c r="D122" s="193" t="s">
        <v>121</v>
      </c>
      <c r="E122" s="194" t="s">
        <v>1</v>
      </c>
      <c r="F122" s="259" t="s">
        <v>804</v>
      </c>
      <c r="H122" s="194" t="s">
        <v>1</v>
      </c>
      <c r="I122" s="196"/>
      <c r="L122" s="191"/>
      <c r="M122" s="199"/>
      <c r="N122" s="200"/>
      <c r="O122" s="200"/>
      <c r="P122" s="200"/>
      <c r="Q122" s="200"/>
      <c r="R122" s="200"/>
      <c r="S122" s="200"/>
      <c r="T122" s="201"/>
      <c r="AT122" s="194" t="s">
        <v>121</v>
      </c>
      <c r="AU122" s="194" t="s">
        <v>76</v>
      </c>
      <c r="AV122" s="198" t="s">
        <v>73</v>
      </c>
      <c r="AW122" s="198" t="s">
        <v>32</v>
      </c>
      <c r="AX122" s="198" t="s">
        <v>68</v>
      </c>
      <c r="AY122" s="194" t="s">
        <v>114</v>
      </c>
    </row>
    <row r="123" spans="2:51" s="208" customFormat="1" ht="12">
      <c r="B123" s="202"/>
      <c r="D123" s="193" t="s">
        <v>121</v>
      </c>
      <c r="E123" s="204" t="s">
        <v>1</v>
      </c>
      <c r="F123" s="260" t="s">
        <v>846</v>
      </c>
      <c r="H123" s="261">
        <v>22.68</v>
      </c>
      <c r="I123" s="206"/>
      <c r="L123" s="202"/>
      <c r="M123" s="209"/>
      <c r="N123" s="210"/>
      <c r="O123" s="210"/>
      <c r="P123" s="210"/>
      <c r="Q123" s="210"/>
      <c r="R123" s="210"/>
      <c r="S123" s="210"/>
      <c r="T123" s="211"/>
      <c r="AT123" s="204" t="s">
        <v>121</v>
      </c>
      <c r="AU123" s="204" t="s">
        <v>76</v>
      </c>
      <c r="AV123" s="208" t="s">
        <v>76</v>
      </c>
      <c r="AW123" s="208" t="s">
        <v>32</v>
      </c>
      <c r="AX123" s="208" t="s">
        <v>68</v>
      </c>
      <c r="AY123" s="204" t="s">
        <v>114</v>
      </c>
    </row>
    <row r="124" spans="2:51" s="208" customFormat="1" ht="12">
      <c r="B124" s="202"/>
      <c r="D124" s="193" t="s">
        <v>121</v>
      </c>
      <c r="E124" s="204" t="s">
        <v>1</v>
      </c>
      <c r="F124" s="260" t="s">
        <v>847</v>
      </c>
      <c r="H124" s="261">
        <v>8.95</v>
      </c>
      <c r="I124" s="206"/>
      <c r="L124" s="202"/>
      <c r="M124" s="209"/>
      <c r="N124" s="210"/>
      <c r="O124" s="210"/>
      <c r="P124" s="210"/>
      <c r="Q124" s="210"/>
      <c r="R124" s="210"/>
      <c r="S124" s="210"/>
      <c r="T124" s="211"/>
      <c r="AT124" s="204" t="s">
        <v>121</v>
      </c>
      <c r="AU124" s="204" t="s">
        <v>76</v>
      </c>
      <c r="AV124" s="208" t="s">
        <v>76</v>
      </c>
      <c r="AW124" s="208" t="s">
        <v>32</v>
      </c>
      <c r="AX124" s="208" t="s">
        <v>68</v>
      </c>
      <c r="AY124" s="204" t="s">
        <v>114</v>
      </c>
    </row>
    <row r="125" spans="2:51" s="208" customFormat="1" ht="12">
      <c r="B125" s="202"/>
      <c r="D125" s="193" t="s">
        <v>121</v>
      </c>
      <c r="E125" s="204" t="s">
        <v>1</v>
      </c>
      <c r="F125" s="260" t="s">
        <v>848</v>
      </c>
      <c r="H125" s="261">
        <v>-9.072</v>
      </c>
      <c r="I125" s="206"/>
      <c r="L125" s="202"/>
      <c r="M125" s="209"/>
      <c r="N125" s="210"/>
      <c r="O125" s="210"/>
      <c r="P125" s="210"/>
      <c r="Q125" s="210"/>
      <c r="R125" s="210"/>
      <c r="S125" s="210"/>
      <c r="T125" s="211"/>
      <c r="AT125" s="204" t="s">
        <v>121</v>
      </c>
      <c r="AU125" s="204" t="s">
        <v>76</v>
      </c>
      <c r="AV125" s="208" t="s">
        <v>76</v>
      </c>
      <c r="AW125" s="208" t="s">
        <v>32</v>
      </c>
      <c r="AX125" s="208" t="s">
        <v>68</v>
      </c>
      <c r="AY125" s="204" t="s">
        <v>114</v>
      </c>
    </row>
    <row r="126" spans="2:51" s="198" customFormat="1" ht="12">
      <c r="B126" s="191"/>
      <c r="D126" s="193" t="s">
        <v>121</v>
      </c>
      <c r="E126" s="194" t="s">
        <v>1</v>
      </c>
      <c r="F126" s="259" t="s">
        <v>849</v>
      </c>
      <c r="H126" s="194" t="s">
        <v>1</v>
      </c>
      <c r="I126" s="196"/>
      <c r="L126" s="191"/>
      <c r="M126" s="199"/>
      <c r="N126" s="200"/>
      <c r="O126" s="200"/>
      <c r="P126" s="200"/>
      <c r="Q126" s="200"/>
      <c r="R126" s="200"/>
      <c r="S126" s="200"/>
      <c r="T126" s="201"/>
      <c r="AT126" s="194" t="s">
        <v>121</v>
      </c>
      <c r="AU126" s="194" t="s">
        <v>76</v>
      </c>
      <c r="AV126" s="198" t="s">
        <v>73</v>
      </c>
      <c r="AW126" s="198" t="s">
        <v>32</v>
      </c>
      <c r="AX126" s="198" t="s">
        <v>68</v>
      </c>
      <c r="AY126" s="194" t="s">
        <v>114</v>
      </c>
    </row>
    <row r="127" spans="2:51" s="198" customFormat="1" ht="12">
      <c r="B127" s="191"/>
      <c r="D127" s="193" t="s">
        <v>121</v>
      </c>
      <c r="E127" s="194" t="s">
        <v>1</v>
      </c>
      <c r="F127" s="259" t="s">
        <v>804</v>
      </c>
      <c r="H127" s="194" t="s">
        <v>1</v>
      </c>
      <c r="I127" s="196"/>
      <c r="L127" s="191"/>
      <c r="M127" s="199"/>
      <c r="N127" s="200"/>
      <c r="O127" s="200"/>
      <c r="P127" s="200"/>
      <c r="Q127" s="200"/>
      <c r="R127" s="200"/>
      <c r="S127" s="200"/>
      <c r="T127" s="201"/>
      <c r="AT127" s="194" t="s">
        <v>121</v>
      </c>
      <c r="AU127" s="194" t="s">
        <v>76</v>
      </c>
      <c r="AV127" s="198" t="s">
        <v>73</v>
      </c>
      <c r="AW127" s="198" t="s">
        <v>32</v>
      </c>
      <c r="AX127" s="198" t="s">
        <v>68</v>
      </c>
      <c r="AY127" s="194" t="s">
        <v>114</v>
      </c>
    </row>
    <row r="128" spans="2:51" s="208" customFormat="1" ht="12">
      <c r="B128" s="202"/>
      <c r="D128" s="193" t="s">
        <v>121</v>
      </c>
      <c r="E128" s="204" t="s">
        <v>1</v>
      </c>
      <c r="F128" s="260" t="s">
        <v>850</v>
      </c>
      <c r="H128" s="261">
        <v>21.84</v>
      </c>
      <c r="I128" s="206"/>
      <c r="L128" s="202"/>
      <c r="M128" s="209"/>
      <c r="N128" s="210"/>
      <c r="O128" s="210"/>
      <c r="P128" s="210"/>
      <c r="Q128" s="210"/>
      <c r="R128" s="210"/>
      <c r="S128" s="210"/>
      <c r="T128" s="211"/>
      <c r="AT128" s="204" t="s">
        <v>121</v>
      </c>
      <c r="AU128" s="204" t="s">
        <v>76</v>
      </c>
      <c r="AV128" s="208" t="s">
        <v>76</v>
      </c>
      <c r="AW128" s="208" t="s">
        <v>32</v>
      </c>
      <c r="AX128" s="208" t="s">
        <v>68</v>
      </c>
      <c r="AY128" s="204" t="s">
        <v>114</v>
      </c>
    </row>
    <row r="129" spans="2:51" s="208" customFormat="1" ht="12">
      <c r="B129" s="202"/>
      <c r="D129" s="193" t="s">
        <v>121</v>
      </c>
      <c r="E129" s="204" t="s">
        <v>1</v>
      </c>
      <c r="F129" s="260" t="s">
        <v>851</v>
      </c>
      <c r="H129" s="261">
        <v>8.5</v>
      </c>
      <c r="I129" s="206"/>
      <c r="L129" s="202"/>
      <c r="M129" s="209"/>
      <c r="N129" s="210"/>
      <c r="O129" s="210"/>
      <c r="P129" s="210"/>
      <c r="Q129" s="210"/>
      <c r="R129" s="210"/>
      <c r="S129" s="210"/>
      <c r="T129" s="211"/>
      <c r="AT129" s="204" t="s">
        <v>121</v>
      </c>
      <c r="AU129" s="204" t="s">
        <v>76</v>
      </c>
      <c r="AV129" s="208" t="s">
        <v>76</v>
      </c>
      <c r="AW129" s="208" t="s">
        <v>32</v>
      </c>
      <c r="AX129" s="208" t="s">
        <v>68</v>
      </c>
      <c r="AY129" s="204" t="s">
        <v>114</v>
      </c>
    </row>
    <row r="130" spans="2:51" s="198" customFormat="1" ht="12">
      <c r="B130" s="191"/>
      <c r="D130" s="193" t="s">
        <v>121</v>
      </c>
      <c r="E130" s="194" t="s">
        <v>1</v>
      </c>
      <c r="F130" s="259" t="s">
        <v>852</v>
      </c>
      <c r="H130" s="194" t="s">
        <v>1</v>
      </c>
      <c r="I130" s="196"/>
      <c r="L130" s="191"/>
      <c r="M130" s="199"/>
      <c r="N130" s="200"/>
      <c r="O130" s="200"/>
      <c r="P130" s="200"/>
      <c r="Q130" s="200"/>
      <c r="R130" s="200"/>
      <c r="S130" s="200"/>
      <c r="T130" s="201"/>
      <c r="AT130" s="194" t="s">
        <v>121</v>
      </c>
      <c r="AU130" s="194" t="s">
        <v>76</v>
      </c>
      <c r="AV130" s="198" t="s">
        <v>73</v>
      </c>
      <c r="AW130" s="198" t="s">
        <v>32</v>
      </c>
      <c r="AX130" s="198" t="s">
        <v>68</v>
      </c>
      <c r="AY130" s="194" t="s">
        <v>114</v>
      </c>
    </row>
    <row r="131" spans="2:51" s="208" customFormat="1" ht="12">
      <c r="B131" s="202"/>
      <c r="D131" s="193" t="s">
        <v>121</v>
      </c>
      <c r="E131" s="204" t="s">
        <v>1</v>
      </c>
      <c r="F131" s="260" t="s">
        <v>853</v>
      </c>
      <c r="H131" s="261">
        <v>3.4</v>
      </c>
      <c r="I131" s="206"/>
      <c r="L131" s="202"/>
      <c r="M131" s="209"/>
      <c r="N131" s="210"/>
      <c r="O131" s="210"/>
      <c r="P131" s="210"/>
      <c r="Q131" s="210"/>
      <c r="R131" s="210"/>
      <c r="S131" s="210"/>
      <c r="T131" s="211"/>
      <c r="AT131" s="204" t="s">
        <v>121</v>
      </c>
      <c r="AU131" s="204" t="s">
        <v>76</v>
      </c>
      <c r="AV131" s="208" t="s">
        <v>76</v>
      </c>
      <c r="AW131" s="208" t="s">
        <v>32</v>
      </c>
      <c r="AX131" s="208" t="s">
        <v>68</v>
      </c>
      <c r="AY131" s="204" t="s">
        <v>114</v>
      </c>
    </row>
    <row r="132" spans="2:51" s="198" customFormat="1" ht="12">
      <c r="B132" s="191"/>
      <c r="D132" s="193" t="s">
        <v>121</v>
      </c>
      <c r="E132" s="194" t="s">
        <v>1</v>
      </c>
      <c r="F132" s="259" t="s">
        <v>854</v>
      </c>
      <c r="H132" s="194" t="s">
        <v>1</v>
      </c>
      <c r="I132" s="196"/>
      <c r="L132" s="191"/>
      <c r="M132" s="199"/>
      <c r="N132" s="200"/>
      <c r="O132" s="200"/>
      <c r="P132" s="200"/>
      <c r="Q132" s="200"/>
      <c r="R132" s="200"/>
      <c r="S132" s="200"/>
      <c r="T132" s="201"/>
      <c r="AT132" s="194" t="s">
        <v>121</v>
      </c>
      <c r="AU132" s="194" t="s">
        <v>76</v>
      </c>
      <c r="AV132" s="198" t="s">
        <v>73</v>
      </c>
      <c r="AW132" s="198" t="s">
        <v>32</v>
      </c>
      <c r="AX132" s="198" t="s">
        <v>68</v>
      </c>
      <c r="AY132" s="194" t="s">
        <v>114</v>
      </c>
    </row>
    <row r="133" spans="2:51" s="208" customFormat="1" ht="12">
      <c r="B133" s="202"/>
      <c r="D133" s="193" t="s">
        <v>121</v>
      </c>
      <c r="E133" s="204" t="s">
        <v>1</v>
      </c>
      <c r="F133" s="260" t="s">
        <v>855</v>
      </c>
      <c r="H133" s="261">
        <v>5.74</v>
      </c>
      <c r="I133" s="206"/>
      <c r="L133" s="202"/>
      <c r="M133" s="209"/>
      <c r="N133" s="210"/>
      <c r="O133" s="210"/>
      <c r="P133" s="210"/>
      <c r="Q133" s="210"/>
      <c r="R133" s="210"/>
      <c r="S133" s="210"/>
      <c r="T133" s="211"/>
      <c r="AT133" s="204" t="s">
        <v>121</v>
      </c>
      <c r="AU133" s="204" t="s">
        <v>76</v>
      </c>
      <c r="AV133" s="208" t="s">
        <v>76</v>
      </c>
      <c r="AW133" s="208" t="s">
        <v>32</v>
      </c>
      <c r="AX133" s="208" t="s">
        <v>68</v>
      </c>
      <c r="AY133" s="204" t="s">
        <v>114</v>
      </c>
    </row>
    <row r="134" spans="2:51" s="208" customFormat="1" ht="12">
      <c r="B134" s="202"/>
      <c r="D134" s="193" t="s">
        <v>121</v>
      </c>
      <c r="E134" s="204" t="s">
        <v>1</v>
      </c>
      <c r="F134" s="260" t="s">
        <v>856</v>
      </c>
      <c r="H134" s="261">
        <v>22.562</v>
      </c>
      <c r="I134" s="206"/>
      <c r="L134" s="202"/>
      <c r="M134" s="209"/>
      <c r="N134" s="210"/>
      <c r="O134" s="210"/>
      <c r="P134" s="210"/>
      <c r="Q134" s="210"/>
      <c r="R134" s="210"/>
      <c r="S134" s="210"/>
      <c r="T134" s="211"/>
      <c r="AT134" s="204" t="s">
        <v>121</v>
      </c>
      <c r="AU134" s="204" t="s">
        <v>76</v>
      </c>
      <c r="AV134" s="208" t="s">
        <v>76</v>
      </c>
      <c r="AW134" s="208" t="s">
        <v>32</v>
      </c>
      <c r="AX134" s="208" t="s">
        <v>68</v>
      </c>
      <c r="AY134" s="204" t="s">
        <v>114</v>
      </c>
    </row>
    <row r="135" spans="2:51" s="208" customFormat="1" ht="12">
      <c r="B135" s="202"/>
      <c r="D135" s="193" t="s">
        <v>121</v>
      </c>
      <c r="E135" s="204" t="s">
        <v>1</v>
      </c>
      <c r="F135" s="260" t="s">
        <v>857</v>
      </c>
      <c r="H135" s="261">
        <v>11.136</v>
      </c>
      <c r="I135" s="206"/>
      <c r="L135" s="202"/>
      <c r="M135" s="209"/>
      <c r="N135" s="210"/>
      <c r="O135" s="210"/>
      <c r="P135" s="210"/>
      <c r="Q135" s="210"/>
      <c r="R135" s="210"/>
      <c r="S135" s="210"/>
      <c r="T135" s="211"/>
      <c r="AT135" s="204" t="s">
        <v>121</v>
      </c>
      <c r="AU135" s="204" t="s">
        <v>76</v>
      </c>
      <c r="AV135" s="208" t="s">
        <v>76</v>
      </c>
      <c r="AW135" s="208" t="s">
        <v>32</v>
      </c>
      <c r="AX135" s="208" t="s">
        <v>68</v>
      </c>
      <c r="AY135" s="204" t="s">
        <v>114</v>
      </c>
    </row>
    <row r="136" spans="2:51" s="198" customFormat="1" ht="12">
      <c r="B136" s="191"/>
      <c r="D136" s="193" t="s">
        <v>121</v>
      </c>
      <c r="E136" s="194" t="s">
        <v>1</v>
      </c>
      <c r="F136" s="259" t="s">
        <v>858</v>
      </c>
      <c r="H136" s="194" t="s">
        <v>1</v>
      </c>
      <c r="I136" s="196"/>
      <c r="L136" s="191"/>
      <c r="M136" s="199"/>
      <c r="N136" s="200"/>
      <c r="O136" s="200"/>
      <c r="P136" s="200"/>
      <c r="Q136" s="200"/>
      <c r="R136" s="200"/>
      <c r="S136" s="200"/>
      <c r="T136" s="201"/>
      <c r="AT136" s="194" t="s">
        <v>121</v>
      </c>
      <c r="AU136" s="194" t="s">
        <v>76</v>
      </c>
      <c r="AV136" s="198" t="s">
        <v>73</v>
      </c>
      <c r="AW136" s="198" t="s">
        <v>32</v>
      </c>
      <c r="AX136" s="198" t="s">
        <v>68</v>
      </c>
      <c r="AY136" s="194" t="s">
        <v>114</v>
      </c>
    </row>
    <row r="137" spans="2:51" s="208" customFormat="1" ht="12">
      <c r="B137" s="202"/>
      <c r="D137" s="193" t="s">
        <v>121</v>
      </c>
      <c r="E137" s="204" t="s">
        <v>1</v>
      </c>
      <c r="F137" s="260" t="s">
        <v>859</v>
      </c>
      <c r="H137" s="261">
        <v>7.92</v>
      </c>
      <c r="I137" s="206"/>
      <c r="L137" s="202"/>
      <c r="M137" s="209"/>
      <c r="N137" s="210"/>
      <c r="O137" s="210"/>
      <c r="P137" s="210"/>
      <c r="Q137" s="210"/>
      <c r="R137" s="210"/>
      <c r="S137" s="210"/>
      <c r="T137" s="211"/>
      <c r="AT137" s="204" t="s">
        <v>121</v>
      </c>
      <c r="AU137" s="204" t="s">
        <v>76</v>
      </c>
      <c r="AV137" s="208" t="s">
        <v>76</v>
      </c>
      <c r="AW137" s="208" t="s">
        <v>32</v>
      </c>
      <c r="AX137" s="208" t="s">
        <v>68</v>
      </c>
      <c r="AY137" s="204" t="s">
        <v>114</v>
      </c>
    </row>
    <row r="138" spans="2:51" s="198" customFormat="1" ht="12">
      <c r="B138" s="191"/>
      <c r="D138" s="193" t="s">
        <v>121</v>
      </c>
      <c r="E138" s="194" t="s">
        <v>1</v>
      </c>
      <c r="F138" s="259" t="s">
        <v>860</v>
      </c>
      <c r="H138" s="194" t="s">
        <v>1</v>
      </c>
      <c r="I138" s="196"/>
      <c r="L138" s="191"/>
      <c r="M138" s="199"/>
      <c r="N138" s="200"/>
      <c r="O138" s="200"/>
      <c r="P138" s="200"/>
      <c r="Q138" s="200"/>
      <c r="R138" s="200"/>
      <c r="S138" s="200"/>
      <c r="T138" s="201"/>
      <c r="AT138" s="194" t="s">
        <v>121</v>
      </c>
      <c r="AU138" s="194" t="s">
        <v>76</v>
      </c>
      <c r="AV138" s="198" t="s">
        <v>73</v>
      </c>
      <c r="AW138" s="198" t="s">
        <v>32</v>
      </c>
      <c r="AX138" s="198" t="s">
        <v>68</v>
      </c>
      <c r="AY138" s="194" t="s">
        <v>114</v>
      </c>
    </row>
    <row r="139" spans="2:51" s="208" customFormat="1" ht="12">
      <c r="B139" s="202"/>
      <c r="D139" s="193" t="s">
        <v>121</v>
      </c>
      <c r="E139" s="204" t="s">
        <v>1</v>
      </c>
      <c r="F139" s="260" t="s">
        <v>861</v>
      </c>
      <c r="H139" s="261">
        <v>22.678</v>
      </c>
      <c r="I139" s="206"/>
      <c r="L139" s="202"/>
      <c r="M139" s="209"/>
      <c r="N139" s="210"/>
      <c r="O139" s="210"/>
      <c r="P139" s="210"/>
      <c r="Q139" s="210"/>
      <c r="R139" s="210"/>
      <c r="S139" s="210"/>
      <c r="T139" s="211"/>
      <c r="AT139" s="204" t="s">
        <v>121</v>
      </c>
      <c r="AU139" s="204" t="s">
        <v>76</v>
      </c>
      <c r="AV139" s="208" t="s">
        <v>76</v>
      </c>
      <c r="AW139" s="208" t="s">
        <v>32</v>
      </c>
      <c r="AX139" s="208" t="s">
        <v>68</v>
      </c>
      <c r="AY139" s="204" t="s">
        <v>114</v>
      </c>
    </row>
    <row r="140" spans="2:51" s="208" customFormat="1" ht="12">
      <c r="B140" s="202"/>
      <c r="D140" s="193" t="s">
        <v>121</v>
      </c>
      <c r="E140" s="204" t="s">
        <v>1</v>
      </c>
      <c r="F140" s="260" t="s">
        <v>862</v>
      </c>
      <c r="H140" s="261">
        <v>5.362</v>
      </c>
      <c r="I140" s="206"/>
      <c r="L140" s="202"/>
      <c r="M140" s="209"/>
      <c r="N140" s="210"/>
      <c r="O140" s="210"/>
      <c r="P140" s="210"/>
      <c r="Q140" s="210"/>
      <c r="R140" s="210"/>
      <c r="S140" s="210"/>
      <c r="T140" s="211"/>
      <c r="AT140" s="204" t="s">
        <v>121</v>
      </c>
      <c r="AU140" s="204" t="s">
        <v>76</v>
      </c>
      <c r="AV140" s="208" t="s">
        <v>76</v>
      </c>
      <c r="AW140" s="208" t="s">
        <v>32</v>
      </c>
      <c r="AX140" s="208" t="s">
        <v>68</v>
      </c>
      <c r="AY140" s="204" t="s">
        <v>114</v>
      </c>
    </row>
    <row r="141" spans="2:51" s="208" customFormat="1" ht="12">
      <c r="B141" s="202"/>
      <c r="D141" s="193" t="s">
        <v>121</v>
      </c>
      <c r="E141" s="204" t="s">
        <v>1</v>
      </c>
      <c r="F141" s="260" t="s">
        <v>863</v>
      </c>
      <c r="H141" s="261">
        <v>9.576</v>
      </c>
      <c r="I141" s="206"/>
      <c r="L141" s="202"/>
      <c r="M141" s="209"/>
      <c r="N141" s="210"/>
      <c r="O141" s="210"/>
      <c r="P141" s="210"/>
      <c r="Q141" s="210"/>
      <c r="R141" s="210"/>
      <c r="S141" s="210"/>
      <c r="T141" s="211"/>
      <c r="AT141" s="204" t="s">
        <v>121</v>
      </c>
      <c r="AU141" s="204" t="s">
        <v>76</v>
      </c>
      <c r="AV141" s="208" t="s">
        <v>76</v>
      </c>
      <c r="AW141" s="208" t="s">
        <v>32</v>
      </c>
      <c r="AX141" s="208" t="s">
        <v>68</v>
      </c>
      <c r="AY141" s="204" t="s">
        <v>114</v>
      </c>
    </row>
    <row r="142" spans="2:51" s="198" customFormat="1" ht="12">
      <c r="B142" s="191"/>
      <c r="D142" s="193" t="s">
        <v>121</v>
      </c>
      <c r="E142" s="194" t="s">
        <v>1</v>
      </c>
      <c r="F142" s="259" t="s">
        <v>864</v>
      </c>
      <c r="H142" s="194" t="s">
        <v>1</v>
      </c>
      <c r="I142" s="196"/>
      <c r="L142" s="191"/>
      <c r="M142" s="199"/>
      <c r="N142" s="200"/>
      <c r="O142" s="200"/>
      <c r="P142" s="200"/>
      <c r="Q142" s="200"/>
      <c r="R142" s="200"/>
      <c r="S142" s="200"/>
      <c r="T142" s="201"/>
      <c r="AT142" s="194" t="s">
        <v>121</v>
      </c>
      <c r="AU142" s="194" t="s">
        <v>76</v>
      </c>
      <c r="AV142" s="198" t="s">
        <v>73</v>
      </c>
      <c r="AW142" s="198" t="s">
        <v>32</v>
      </c>
      <c r="AX142" s="198" t="s">
        <v>68</v>
      </c>
      <c r="AY142" s="194" t="s">
        <v>114</v>
      </c>
    </row>
    <row r="143" spans="2:51" s="208" customFormat="1" ht="12">
      <c r="B143" s="202"/>
      <c r="D143" s="193" t="s">
        <v>121</v>
      </c>
      <c r="E143" s="204" t="s">
        <v>1</v>
      </c>
      <c r="F143" s="260" t="s">
        <v>865</v>
      </c>
      <c r="H143" s="261">
        <v>92.8</v>
      </c>
      <c r="I143" s="206"/>
      <c r="L143" s="202"/>
      <c r="M143" s="209"/>
      <c r="N143" s="210"/>
      <c r="O143" s="210"/>
      <c r="P143" s="210"/>
      <c r="Q143" s="210"/>
      <c r="R143" s="210"/>
      <c r="S143" s="210"/>
      <c r="T143" s="211"/>
      <c r="AT143" s="204" t="s">
        <v>121</v>
      </c>
      <c r="AU143" s="204" t="s">
        <v>76</v>
      </c>
      <c r="AV143" s="208" t="s">
        <v>76</v>
      </c>
      <c r="AW143" s="208" t="s">
        <v>32</v>
      </c>
      <c r="AX143" s="208" t="s">
        <v>68</v>
      </c>
      <c r="AY143" s="204" t="s">
        <v>114</v>
      </c>
    </row>
    <row r="144" spans="2:51" s="218" customFormat="1" ht="12">
      <c r="B144" s="212"/>
      <c r="D144" s="193" t="s">
        <v>121</v>
      </c>
      <c r="E144" s="214" t="s">
        <v>1</v>
      </c>
      <c r="F144" s="317" t="s">
        <v>146</v>
      </c>
      <c r="H144" s="318">
        <f>SUM(H94:H143)</f>
        <v>867.0199999999998</v>
      </c>
      <c r="I144" s="216"/>
      <c r="L144" s="212"/>
      <c r="M144" s="219"/>
      <c r="N144" s="220"/>
      <c r="O144" s="220"/>
      <c r="P144" s="220"/>
      <c r="Q144" s="220"/>
      <c r="R144" s="220"/>
      <c r="S144" s="220"/>
      <c r="T144" s="221"/>
      <c r="AT144" s="214" t="s">
        <v>121</v>
      </c>
      <c r="AU144" s="214" t="s">
        <v>76</v>
      </c>
      <c r="AV144" s="218" t="s">
        <v>147</v>
      </c>
      <c r="AW144" s="218" t="s">
        <v>32</v>
      </c>
      <c r="AX144" s="218" t="s">
        <v>68</v>
      </c>
      <c r="AY144" s="214" t="s">
        <v>114</v>
      </c>
    </row>
    <row r="145" spans="2:51" s="198" customFormat="1" ht="12">
      <c r="B145" s="191"/>
      <c r="D145" s="193" t="s">
        <v>121</v>
      </c>
      <c r="E145" s="194" t="s">
        <v>1</v>
      </c>
      <c r="F145" s="259" t="s">
        <v>148</v>
      </c>
      <c r="H145" s="194" t="s">
        <v>1</v>
      </c>
      <c r="I145" s="196"/>
      <c r="L145" s="191"/>
      <c r="M145" s="199"/>
      <c r="N145" s="200"/>
      <c r="O145" s="200"/>
      <c r="P145" s="200"/>
      <c r="Q145" s="200"/>
      <c r="R145" s="200"/>
      <c r="S145" s="200"/>
      <c r="T145" s="201"/>
      <c r="AT145" s="194" t="s">
        <v>121</v>
      </c>
      <c r="AU145" s="194" t="s">
        <v>76</v>
      </c>
      <c r="AV145" s="198" t="s">
        <v>73</v>
      </c>
      <c r="AW145" s="198" t="s">
        <v>32</v>
      </c>
      <c r="AX145" s="198" t="s">
        <v>68</v>
      </c>
      <c r="AY145" s="194" t="s">
        <v>114</v>
      </c>
    </row>
    <row r="146" spans="2:51" s="208" customFormat="1" ht="12">
      <c r="B146" s="202"/>
      <c r="D146" s="193" t="s">
        <v>121</v>
      </c>
      <c r="E146" s="204" t="s">
        <v>1</v>
      </c>
      <c r="F146" s="260" t="s">
        <v>866</v>
      </c>
      <c r="H146" s="261">
        <v>-241.876</v>
      </c>
      <c r="I146" s="206"/>
      <c r="L146" s="202"/>
      <c r="M146" s="209"/>
      <c r="N146" s="210"/>
      <c r="O146" s="210"/>
      <c r="P146" s="210"/>
      <c r="Q146" s="210"/>
      <c r="R146" s="210"/>
      <c r="S146" s="210"/>
      <c r="T146" s="211"/>
      <c r="AT146" s="204" t="s">
        <v>121</v>
      </c>
      <c r="AU146" s="204" t="s">
        <v>76</v>
      </c>
      <c r="AV146" s="208" t="s">
        <v>76</v>
      </c>
      <c r="AW146" s="208" t="s">
        <v>32</v>
      </c>
      <c r="AX146" s="208" t="s">
        <v>68</v>
      </c>
      <c r="AY146" s="204" t="s">
        <v>114</v>
      </c>
    </row>
    <row r="147" spans="2:51" s="218" customFormat="1" ht="12">
      <c r="B147" s="212"/>
      <c r="D147" s="193" t="s">
        <v>121</v>
      </c>
      <c r="E147" s="214" t="s">
        <v>1</v>
      </c>
      <c r="F147" s="317" t="s">
        <v>146</v>
      </c>
      <c r="H147" s="318">
        <v>-241.876</v>
      </c>
      <c r="I147" s="216"/>
      <c r="L147" s="212"/>
      <c r="M147" s="219"/>
      <c r="N147" s="220"/>
      <c r="O147" s="220"/>
      <c r="P147" s="220"/>
      <c r="Q147" s="220"/>
      <c r="R147" s="220"/>
      <c r="S147" s="220"/>
      <c r="T147" s="221"/>
      <c r="AT147" s="214" t="s">
        <v>121</v>
      </c>
      <c r="AU147" s="214" t="s">
        <v>76</v>
      </c>
      <c r="AV147" s="218" t="s">
        <v>147</v>
      </c>
      <c r="AW147" s="218" t="s">
        <v>32</v>
      </c>
      <c r="AX147" s="218" t="s">
        <v>68</v>
      </c>
      <c r="AY147" s="214" t="s">
        <v>114</v>
      </c>
    </row>
    <row r="148" spans="2:51" s="228" customFormat="1" ht="12">
      <c r="B148" s="222"/>
      <c r="D148" s="193" t="s">
        <v>121</v>
      </c>
      <c r="E148" s="224" t="s">
        <v>1</v>
      </c>
      <c r="F148" s="266" t="s">
        <v>150</v>
      </c>
      <c r="H148" s="264">
        <f>H144+H147</f>
        <v>625.1439999999998</v>
      </c>
      <c r="I148" s="226"/>
      <c r="L148" s="222"/>
      <c r="M148" s="229"/>
      <c r="N148" s="230"/>
      <c r="O148" s="230"/>
      <c r="P148" s="230"/>
      <c r="Q148" s="230"/>
      <c r="R148" s="230"/>
      <c r="S148" s="230"/>
      <c r="T148" s="231"/>
      <c r="AT148" s="224" t="s">
        <v>121</v>
      </c>
      <c r="AU148" s="224" t="s">
        <v>76</v>
      </c>
      <c r="AV148" s="228" t="s">
        <v>119</v>
      </c>
      <c r="AW148" s="228" t="s">
        <v>32</v>
      </c>
      <c r="AX148" s="228" t="s">
        <v>73</v>
      </c>
      <c r="AY148" s="224" t="s">
        <v>114</v>
      </c>
    </row>
    <row r="149" spans="2:65" s="92" customFormat="1" ht="16.5" customHeight="1">
      <c r="B149" s="90"/>
      <c r="C149" s="178" t="s">
        <v>76</v>
      </c>
      <c r="D149" s="178" t="s">
        <v>116</v>
      </c>
      <c r="E149" s="179" t="s">
        <v>867</v>
      </c>
      <c r="F149" s="180" t="s">
        <v>868</v>
      </c>
      <c r="G149" s="181" t="s">
        <v>153</v>
      </c>
      <c r="H149" s="182">
        <v>21.9</v>
      </c>
      <c r="I149" s="69"/>
      <c r="J149" s="184">
        <f>ROUND(I149*H149,2)</f>
        <v>0</v>
      </c>
      <c r="K149" s="180" t="s">
        <v>154</v>
      </c>
      <c r="L149" s="90"/>
      <c r="M149" s="185" t="s">
        <v>1</v>
      </c>
      <c r="N149" s="186" t="s">
        <v>41</v>
      </c>
      <c r="O149" s="187"/>
      <c r="P149" s="188">
        <f>O149*H149</f>
        <v>0</v>
      </c>
      <c r="Q149" s="188">
        <v>0</v>
      </c>
      <c r="R149" s="188">
        <f>Q149*H149</f>
        <v>0</v>
      </c>
      <c r="S149" s="188">
        <v>0.26</v>
      </c>
      <c r="T149" s="189">
        <f>S149*H149</f>
        <v>5.694</v>
      </c>
      <c r="AR149" s="81" t="s">
        <v>119</v>
      </c>
      <c r="AT149" s="81" t="s">
        <v>116</v>
      </c>
      <c r="AU149" s="81" t="s">
        <v>76</v>
      </c>
      <c r="AY149" s="81" t="s">
        <v>114</v>
      </c>
      <c r="BE149" s="190">
        <f>IF(N149="základní",J149,0)</f>
        <v>0</v>
      </c>
      <c r="BF149" s="190">
        <f>IF(N149="snížená",J149,0)</f>
        <v>0</v>
      </c>
      <c r="BG149" s="190">
        <f>IF(N149="zákl. přenesená",J149,0)</f>
        <v>0</v>
      </c>
      <c r="BH149" s="190">
        <f>IF(N149="sníž. přenesená",J149,0)</f>
        <v>0</v>
      </c>
      <c r="BI149" s="190">
        <f>IF(N149="nulová",J149,0)</f>
        <v>0</v>
      </c>
      <c r="BJ149" s="81" t="s">
        <v>73</v>
      </c>
      <c r="BK149" s="190">
        <f>ROUND(I149*H149,2)</f>
        <v>0</v>
      </c>
      <c r="BL149" s="81" t="s">
        <v>119</v>
      </c>
      <c r="BM149" s="81" t="s">
        <v>869</v>
      </c>
    </row>
    <row r="150" spans="2:51" s="208" customFormat="1" ht="12">
      <c r="B150" s="202"/>
      <c r="D150" s="193" t="s">
        <v>121</v>
      </c>
      <c r="E150" s="204" t="s">
        <v>1</v>
      </c>
      <c r="F150" s="260" t="s">
        <v>870</v>
      </c>
      <c r="H150" s="261">
        <v>9.6</v>
      </c>
      <c r="I150" s="70"/>
      <c r="L150" s="202"/>
      <c r="M150" s="209"/>
      <c r="N150" s="210"/>
      <c r="O150" s="210"/>
      <c r="P150" s="210"/>
      <c r="Q150" s="210"/>
      <c r="R150" s="210"/>
      <c r="S150" s="210"/>
      <c r="T150" s="211"/>
      <c r="AT150" s="204" t="s">
        <v>121</v>
      </c>
      <c r="AU150" s="204" t="s">
        <v>76</v>
      </c>
      <c r="AV150" s="208" t="s">
        <v>76</v>
      </c>
      <c r="AW150" s="208" t="s">
        <v>32</v>
      </c>
      <c r="AX150" s="208" t="s">
        <v>68</v>
      </c>
      <c r="AY150" s="204" t="s">
        <v>114</v>
      </c>
    </row>
    <row r="151" spans="2:51" s="208" customFormat="1" ht="12">
      <c r="B151" s="202"/>
      <c r="D151" s="193" t="s">
        <v>121</v>
      </c>
      <c r="E151" s="204" t="s">
        <v>1</v>
      </c>
      <c r="F151" s="260" t="s">
        <v>871</v>
      </c>
      <c r="H151" s="261">
        <v>4.8</v>
      </c>
      <c r="I151" s="70"/>
      <c r="L151" s="202"/>
      <c r="M151" s="209"/>
      <c r="N151" s="210"/>
      <c r="O151" s="210"/>
      <c r="P151" s="210"/>
      <c r="Q151" s="210"/>
      <c r="R151" s="210"/>
      <c r="S151" s="210"/>
      <c r="T151" s="211"/>
      <c r="AT151" s="204" t="s">
        <v>121</v>
      </c>
      <c r="AU151" s="204" t="s">
        <v>76</v>
      </c>
      <c r="AV151" s="208" t="s">
        <v>76</v>
      </c>
      <c r="AW151" s="208" t="s">
        <v>32</v>
      </c>
      <c r="AX151" s="208" t="s">
        <v>68</v>
      </c>
      <c r="AY151" s="204" t="s">
        <v>114</v>
      </c>
    </row>
    <row r="152" spans="2:51" s="208" customFormat="1" ht="12">
      <c r="B152" s="202"/>
      <c r="D152" s="193" t="s">
        <v>121</v>
      </c>
      <c r="E152" s="204" t="s">
        <v>1</v>
      </c>
      <c r="F152" s="260" t="s">
        <v>872</v>
      </c>
      <c r="H152" s="261">
        <v>7.5</v>
      </c>
      <c r="I152" s="70"/>
      <c r="L152" s="202"/>
      <c r="M152" s="209"/>
      <c r="N152" s="210"/>
      <c r="O152" s="210"/>
      <c r="P152" s="210"/>
      <c r="Q152" s="210"/>
      <c r="R152" s="210"/>
      <c r="S152" s="210"/>
      <c r="T152" s="211"/>
      <c r="AT152" s="204" t="s">
        <v>121</v>
      </c>
      <c r="AU152" s="204" t="s">
        <v>76</v>
      </c>
      <c r="AV152" s="208" t="s">
        <v>76</v>
      </c>
      <c r="AW152" s="208" t="s">
        <v>32</v>
      </c>
      <c r="AX152" s="208" t="s">
        <v>68</v>
      </c>
      <c r="AY152" s="204" t="s">
        <v>114</v>
      </c>
    </row>
    <row r="153" spans="2:51" s="228" customFormat="1" ht="12">
      <c r="B153" s="222"/>
      <c r="D153" s="193" t="s">
        <v>121</v>
      </c>
      <c r="E153" s="224" t="s">
        <v>1</v>
      </c>
      <c r="F153" s="266" t="s">
        <v>150</v>
      </c>
      <c r="H153" s="264">
        <v>21.9</v>
      </c>
      <c r="I153" s="72"/>
      <c r="L153" s="222"/>
      <c r="M153" s="229"/>
      <c r="N153" s="230"/>
      <c r="O153" s="230"/>
      <c r="P153" s="230"/>
      <c r="Q153" s="230"/>
      <c r="R153" s="230"/>
      <c r="S153" s="230"/>
      <c r="T153" s="231"/>
      <c r="AT153" s="224" t="s">
        <v>121</v>
      </c>
      <c r="AU153" s="224" t="s">
        <v>76</v>
      </c>
      <c r="AV153" s="228" t="s">
        <v>119</v>
      </c>
      <c r="AW153" s="228" t="s">
        <v>32</v>
      </c>
      <c r="AX153" s="228" t="s">
        <v>73</v>
      </c>
      <c r="AY153" s="224" t="s">
        <v>114</v>
      </c>
    </row>
    <row r="154" spans="2:65" s="92" customFormat="1" ht="16.5" customHeight="1">
      <c r="B154" s="90"/>
      <c r="C154" s="178" t="s">
        <v>147</v>
      </c>
      <c r="D154" s="178" t="s">
        <v>116</v>
      </c>
      <c r="E154" s="179" t="s">
        <v>873</v>
      </c>
      <c r="F154" s="180" t="s">
        <v>874</v>
      </c>
      <c r="G154" s="181" t="s">
        <v>153</v>
      </c>
      <c r="H154" s="182">
        <v>14.6</v>
      </c>
      <c r="I154" s="69"/>
      <c r="J154" s="184">
        <f>ROUND(I154*H154,2)</f>
        <v>0</v>
      </c>
      <c r="K154" s="180" t="s">
        <v>154</v>
      </c>
      <c r="L154" s="90"/>
      <c r="M154" s="185" t="s">
        <v>1</v>
      </c>
      <c r="N154" s="186" t="s">
        <v>41</v>
      </c>
      <c r="O154" s="187"/>
      <c r="P154" s="188">
        <f>O154*H154</f>
        <v>0</v>
      </c>
      <c r="Q154" s="188">
        <v>0</v>
      </c>
      <c r="R154" s="188">
        <f>Q154*H154</f>
        <v>0</v>
      </c>
      <c r="S154" s="188">
        <v>0.29</v>
      </c>
      <c r="T154" s="189">
        <f>S154*H154</f>
        <v>4.234</v>
      </c>
      <c r="AR154" s="81" t="s">
        <v>119</v>
      </c>
      <c r="AT154" s="81" t="s">
        <v>116</v>
      </c>
      <c r="AU154" s="81" t="s">
        <v>76</v>
      </c>
      <c r="AY154" s="81" t="s">
        <v>114</v>
      </c>
      <c r="BE154" s="190">
        <f>IF(N154="základní",J154,0)</f>
        <v>0</v>
      </c>
      <c r="BF154" s="190">
        <f>IF(N154="snížená",J154,0)</f>
        <v>0</v>
      </c>
      <c r="BG154" s="190">
        <f>IF(N154="zákl. přenesená",J154,0)</f>
        <v>0</v>
      </c>
      <c r="BH154" s="190">
        <f>IF(N154="sníž. přenesená",J154,0)</f>
        <v>0</v>
      </c>
      <c r="BI154" s="190">
        <f>IF(N154="nulová",J154,0)</f>
        <v>0</v>
      </c>
      <c r="BJ154" s="81" t="s">
        <v>73</v>
      </c>
      <c r="BK154" s="190">
        <f>ROUND(I154*H154,2)</f>
        <v>0</v>
      </c>
      <c r="BL154" s="81" t="s">
        <v>119</v>
      </c>
      <c r="BM154" s="81" t="s">
        <v>875</v>
      </c>
    </row>
    <row r="155" spans="2:51" s="198" customFormat="1" ht="12">
      <c r="B155" s="191"/>
      <c r="D155" s="193" t="s">
        <v>121</v>
      </c>
      <c r="E155" s="194" t="s">
        <v>1</v>
      </c>
      <c r="F155" s="259" t="s">
        <v>876</v>
      </c>
      <c r="H155" s="194" t="s">
        <v>1</v>
      </c>
      <c r="I155" s="71"/>
      <c r="L155" s="191"/>
      <c r="M155" s="199"/>
      <c r="N155" s="200"/>
      <c r="O155" s="200"/>
      <c r="P155" s="200"/>
      <c r="Q155" s="200"/>
      <c r="R155" s="200"/>
      <c r="S155" s="200"/>
      <c r="T155" s="201"/>
      <c r="AT155" s="194" t="s">
        <v>121</v>
      </c>
      <c r="AU155" s="194" t="s">
        <v>76</v>
      </c>
      <c r="AV155" s="198" t="s">
        <v>73</v>
      </c>
      <c r="AW155" s="198" t="s">
        <v>32</v>
      </c>
      <c r="AX155" s="198" t="s">
        <v>68</v>
      </c>
      <c r="AY155" s="194" t="s">
        <v>114</v>
      </c>
    </row>
    <row r="156" spans="2:51" s="208" customFormat="1" ht="12">
      <c r="B156" s="202"/>
      <c r="D156" s="193" t="s">
        <v>121</v>
      </c>
      <c r="E156" s="204" t="s">
        <v>1</v>
      </c>
      <c r="F156" s="260" t="s">
        <v>877</v>
      </c>
      <c r="H156" s="261">
        <v>6.4</v>
      </c>
      <c r="I156" s="70"/>
      <c r="L156" s="202"/>
      <c r="M156" s="209"/>
      <c r="N156" s="210"/>
      <c r="O156" s="210"/>
      <c r="P156" s="210"/>
      <c r="Q156" s="210"/>
      <c r="R156" s="210"/>
      <c r="S156" s="210"/>
      <c r="T156" s="211"/>
      <c r="AT156" s="204" t="s">
        <v>121</v>
      </c>
      <c r="AU156" s="204" t="s">
        <v>76</v>
      </c>
      <c r="AV156" s="208" t="s">
        <v>76</v>
      </c>
      <c r="AW156" s="208" t="s">
        <v>32</v>
      </c>
      <c r="AX156" s="208" t="s">
        <v>68</v>
      </c>
      <c r="AY156" s="204" t="s">
        <v>114</v>
      </c>
    </row>
    <row r="157" spans="2:51" s="208" customFormat="1" ht="12">
      <c r="B157" s="202"/>
      <c r="D157" s="193" t="s">
        <v>121</v>
      </c>
      <c r="E157" s="204" t="s">
        <v>1</v>
      </c>
      <c r="F157" s="260" t="s">
        <v>878</v>
      </c>
      <c r="H157" s="261">
        <v>3.2</v>
      </c>
      <c r="I157" s="70"/>
      <c r="L157" s="202"/>
      <c r="M157" s="209"/>
      <c r="N157" s="210"/>
      <c r="O157" s="210"/>
      <c r="P157" s="210"/>
      <c r="Q157" s="210"/>
      <c r="R157" s="210"/>
      <c r="S157" s="210"/>
      <c r="T157" s="211"/>
      <c r="AT157" s="204" t="s">
        <v>121</v>
      </c>
      <c r="AU157" s="204" t="s">
        <v>76</v>
      </c>
      <c r="AV157" s="208" t="s">
        <v>76</v>
      </c>
      <c r="AW157" s="208" t="s">
        <v>32</v>
      </c>
      <c r="AX157" s="208" t="s">
        <v>68</v>
      </c>
      <c r="AY157" s="204" t="s">
        <v>114</v>
      </c>
    </row>
    <row r="158" spans="2:51" s="208" customFormat="1" ht="12">
      <c r="B158" s="202"/>
      <c r="D158" s="193" t="s">
        <v>121</v>
      </c>
      <c r="E158" s="204" t="s">
        <v>1</v>
      </c>
      <c r="F158" s="260" t="s">
        <v>879</v>
      </c>
      <c r="H158" s="261">
        <v>5</v>
      </c>
      <c r="I158" s="70"/>
      <c r="L158" s="202"/>
      <c r="M158" s="209"/>
      <c r="N158" s="210"/>
      <c r="O158" s="210"/>
      <c r="P158" s="210"/>
      <c r="Q158" s="210"/>
      <c r="R158" s="210"/>
      <c r="S158" s="210"/>
      <c r="T158" s="211"/>
      <c r="AT158" s="204" t="s">
        <v>121</v>
      </c>
      <c r="AU158" s="204" t="s">
        <v>76</v>
      </c>
      <c r="AV158" s="208" t="s">
        <v>76</v>
      </c>
      <c r="AW158" s="208" t="s">
        <v>32</v>
      </c>
      <c r="AX158" s="208" t="s">
        <v>68</v>
      </c>
      <c r="AY158" s="204" t="s">
        <v>114</v>
      </c>
    </row>
    <row r="159" spans="2:51" s="228" customFormat="1" ht="12">
      <c r="B159" s="222"/>
      <c r="D159" s="193" t="s">
        <v>121</v>
      </c>
      <c r="E159" s="224" t="s">
        <v>1</v>
      </c>
      <c r="F159" s="266" t="s">
        <v>150</v>
      </c>
      <c r="H159" s="264">
        <v>14.600000000000001</v>
      </c>
      <c r="I159" s="72"/>
      <c r="L159" s="222"/>
      <c r="M159" s="229"/>
      <c r="N159" s="230"/>
      <c r="O159" s="230"/>
      <c r="P159" s="230"/>
      <c r="Q159" s="230"/>
      <c r="R159" s="230"/>
      <c r="S159" s="230"/>
      <c r="T159" s="231"/>
      <c r="AT159" s="224" t="s">
        <v>121</v>
      </c>
      <c r="AU159" s="224" t="s">
        <v>76</v>
      </c>
      <c r="AV159" s="228" t="s">
        <v>119</v>
      </c>
      <c r="AW159" s="228" t="s">
        <v>32</v>
      </c>
      <c r="AX159" s="228" t="s">
        <v>73</v>
      </c>
      <c r="AY159" s="224" t="s">
        <v>114</v>
      </c>
    </row>
    <row r="160" spans="2:65" s="92" customFormat="1" ht="16.5" customHeight="1">
      <c r="B160" s="90"/>
      <c r="C160" s="178" t="s">
        <v>119</v>
      </c>
      <c r="D160" s="178" t="s">
        <v>116</v>
      </c>
      <c r="E160" s="179" t="s">
        <v>151</v>
      </c>
      <c r="F160" s="180" t="s">
        <v>152</v>
      </c>
      <c r="G160" s="181" t="s">
        <v>153</v>
      </c>
      <c r="H160" s="182">
        <v>418</v>
      </c>
      <c r="I160" s="69"/>
      <c r="J160" s="184">
        <f>ROUND(I160*H160,2)</f>
        <v>0</v>
      </c>
      <c r="K160" s="180" t="s">
        <v>154</v>
      </c>
      <c r="L160" s="90"/>
      <c r="M160" s="185" t="s">
        <v>1</v>
      </c>
      <c r="N160" s="186" t="s">
        <v>41</v>
      </c>
      <c r="O160" s="187"/>
      <c r="P160" s="188">
        <f>O160*H160</f>
        <v>0</v>
      </c>
      <c r="Q160" s="188">
        <v>0</v>
      </c>
      <c r="R160" s="188">
        <f>Q160*H160</f>
        <v>0</v>
      </c>
      <c r="S160" s="188">
        <v>0.44</v>
      </c>
      <c r="T160" s="189">
        <f>S160*H160</f>
        <v>183.92</v>
      </c>
      <c r="AR160" s="81" t="s">
        <v>119</v>
      </c>
      <c r="AT160" s="81" t="s">
        <v>116</v>
      </c>
      <c r="AU160" s="81" t="s">
        <v>76</v>
      </c>
      <c r="AY160" s="81" t="s">
        <v>114</v>
      </c>
      <c r="BE160" s="190">
        <f>IF(N160="základní",J160,0)</f>
        <v>0</v>
      </c>
      <c r="BF160" s="190">
        <f>IF(N160="snížená",J160,0)</f>
        <v>0</v>
      </c>
      <c r="BG160" s="190">
        <f>IF(N160="zákl. přenesená",J160,0)</f>
        <v>0</v>
      </c>
      <c r="BH160" s="190">
        <f>IF(N160="sníž. přenesená",J160,0)</f>
        <v>0</v>
      </c>
      <c r="BI160" s="190">
        <f>IF(N160="nulová",J160,0)</f>
        <v>0</v>
      </c>
      <c r="BJ160" s="81" t="s">
        <v>73</v>
      </c>
      <c r="BK160" s="190">
        <f>ROUND(I160*H160,2)</f>
        <v>0</v>
      </c>
      <c r="BL160" s="81" t="s">
        <v>119</v>
      </c>
      <c r="BM160" s="81" t="s">
        <v>880</v>
      </c>
    </row>
    <row r="161" spans="2:51" s="208" customFormat="1" ht="12">
      <c r="B161" s="202"/>
      <c r="D161" s="193" t="s">
        <v>121</v>
      </c>
      <c r="E161" s="204" t="s">
        <v>1</v>
      </c>
      <c r="F161" s="260" t="s">
        <v>881</v>
      </c>
      <c r="H161" s="261">
        <v>384</v>
      </c>
      <c r="I161" s="70"/>
      <c r="L161" s="202"/>
      <c r="M161" s="209"/>
      <c r="N161" s="210"/>
      <c r="O161" s="210"/>
      <c r="P161" s="210"/>
      <c r="Q161" s="210"/>
      <c r="R161" s="210"/>
      <c r="S161" s="210"/>
      <c r="T161" s="211"/>
      <c r="AT161" s="204" t="s">
        <v>121</v>
      </c>
      <c r="AU161" s="204" t="s">
        <v>76</v>
      </c>
      <c r="AV161" s="208" t="s">
        <v>76</v>
      </c>
      <c r="AW161" s="208" t="s">
        <v>32</v>
      </c>
      <c r="AX161" s="208" t="s">
        <v>68</v>
      </c>
      <c r="AY161" s="204" t="s">
        <v>114</v>
      </c>
    </row>
    <row r="162" spans="2:51" s="208" customFormat="1" ht="12">
      <c r="B162" s="202"/>
      <c r="D162" s="193" t="s">
        <v>121</v>
      </c>
      <c r="E162" s="204" t="s">
        <v>1</v>
      </c>
      <c r="F162" s="260" t="s">
        <v>882</v>
      </c>
      <c r="H162" s="261">
        <v>34</v>
      </c>
      <c r="I162" s="70"/>
      <c r="L162" s="202"/>
      <c r="M162" s="209"/>
      <c r="N162" s="210"/>
      <c r="O162" s="210"/>
      <c r="P162" s="210"/>
      <c r="Q162" s="210"/>
      <c r="R162" s="210"/>
      <c r="S162" s="210"/>
      <c r="T162" s="211"/>
      <c r="AT162" s="204" t="s">
        <v>121</v>
      </c>
      <c r="AU162" s="204" t="s">
        <v>76</v>
      </c>
      <c r="AV162" s="208" t="s">
        <v>76</v>
      </c>
      <c r="AW162" s="208" t="s">
        <v>32</v>
      </c>
      <c r="AX162" s="208" t="s">
        <v>68</v>
      </c>
      <c r="AY162" s="204" t="s">
        <v>114</v>
      </c>
    </row>
    <row r="163" spans="2:51" s="228" customFormat="1" ht="12">
      <c r="B163" s="222"/>
      <c r="D163" s="193" t="s">
        <v>121</v>
      </c>
      <c r="E163" s="224" t="s">
        <v>1</v>
      </c>
      <c r="F163" s="266" t="s">
        <v>150</v>
      </c>
      <c r="H163" s="264">
        <v>418</v>
      </c>
      <c r="I163" s="72"/>
      <c r="L163" s="222"/>
      <c r="M163" s="229"/>
      <c r="N163" s="230"/>
      <c r="O163" s="230"/>
      <c r="P163" s="230"/>
      <c r="Q163" s="230"/>
      <c r="R163" s="230"/>
      <c r="S163" s="230"/>
      <c r="T163" s="231"/>
      <c r="AT163" s="224" t="s">
        <v>121</v>
      </c>
      <c r="AU163" s="224" t="s">
        <v>76</v>
      </c>
      <c r="AV163" s="228" t="s">
        <v>119</v>
      </c>
      <c r="AW163" s="228" t="s">
        <v>32</v>
      </c>
      <c r="AX163" s="228" t="s">
        <v>73</v>
      </c>
      <c r="AY163" s="224" t="s">
        <v>114</v>
      </c>
    </row>
    <row r="164" spans="2:65" s="92" customFormat="1" ht="16.5" customHeight="1">
      <c r="B164" s="90"/>
      <c r="C164" s="178" t="s">
        <v>173</v>
      </c>
      <c r="D164" s="178" t="s">
        <v>116</v>
      </c>
      <c r="E164" s="179" t="s">
        <v>157</v>
      </c>
      <c r="F164" s="180" t="s">
        <v>158</v>
      </c>
      <c r="G164" s="181" t="s">
        <v>153</v>
      </c>
      <c r="H164" s="182">
        <v>1687</v>
      </c>
      <c r="I164" s="69"/>
      <c r="J164" s="184">
        <f>ROUND(I164*H164,2)</f>
        <v>0</v>
      </c>
      <c r="K164" s="180" t="s">
        <v>154</v>
      </c>
      <c r="L164" s="90"/>
      <c r="M164" s="185" t="s">
        <v>1</v>
      </c>
      <c r="N164" s="186" t="s">
        <v>41</v>
      </c>
      <c r="O164" s="187"/>
      <c r="P164" s="188">
        <f>O164*H164</f>
        <v>0</v>
      </c>
      <c r="Q164" s="188">
        <v>4E-05</v>
      </c>
      <c r="R164" s="188">
        <f>Q164*H164</f>
        <v>0.06748000000000001</v>
      </c>
      <c r="S164" s="188">
        <v>0.128</v>
      </c>
      <c r="T164" s="189">
        <f>S164*H164</f>
        <v>215.936</v>
      </c>
      <c r="AR164" s="81" t="s">
        <v>119</v>
      </c>
      <c r="AT164" s="81" t="s">
        <v>116</v>
      </c>
      <c r="AU164" s="81" t="s">
        <v>76</v>
      </c>
      <c r="AY164" s="81" t="s">
        <v>114</v>
      </c>
      <c r="BE164" s="190">
        <f>IF(N164="základní",J164,0)</f>
        <v>0</v>
      </c>
      <c r="BF164" s="190">
        <f>IF(N164="snížená",J164,0)</f>
        <v>0</v>
      </c>
      <c r="BG164" s="190">
        <f>IF(N164="zákl. přenesená",J164,0)</f>
        <v>0</v>
      </c>
      <c r="BH164" s="190">
        <f>IF(N164="sníž. přenesená",J164,0)</f>
        <v>0</v>
      </c>
      <c r="BI164" s="190">
        <f>IF(N164="nulová",J164,0)</f>
        <v>0</v>
      </c>
      <c r="BJ164" s="81" t="s">
        <v>73</v>
      </c>
      <c r="BK164" s="190">
        <f>ROUND(I164*H164,2)</f>
        <v>0</v>
      </c>
      <c r="BL164" s="81" t="s">
        <v>119</v>
      </c>
      <c r="BM164" s="81" t="s">
        <v>888</v>
      </c>
    </row>
    <row r="165" spans="2:51" s="208" customFormat="1" ht="12">
      <c r="B165" s="202"/>
      <c r="D165" s="193" t="s">
        <v>121</v>
      </c>
      <c r="E165" s="204" t="s">
        <v>1</v>
      </c>
      <c r="F165" s="260" t="s">
        <v>889</v>
      </c>
      <c r="H165" s="261">
        <v>418</v>
      </c>
      <c r="I165" s="70"/>
      <c r="L165" s="202"/>
      <c r="M165" s="209"/>
      <c r="N165" s="210"/>
      <c r="O165" s="210"/>
      <c r="P165" s="210"/>
      <c r="Q165" s="210"/>
      <c r="R165" s="210"/>
      <c r="S165" s="210"/>
      <c r="T165" s="211"/>
      <c r="AT165" s="204" t="s">
        <v>121</v>
      </c>
      <c r="AU165" s="204" t="s">
        <v>76</v>
      </c>
      <c r="AV165" s="208" t="s">
        <v>76</v>
      </c>
      <c r="AW165" s="208" t="s">
        <v>32</v>
      </c>
      <c r="AX165" s="208" t="s">
        <v>68</v>
      </c>
      <c r="AY165" s="204" t="s">
        <v>114</v>
      </c>
    </row>
    <row r="166" spans="2:51" s="208" customFormat="1" ht="12">
      <c r="B166" s="202"/>
      <c r="D166" s="193" t="s">
        <v>121</v>
      </c>
      <c r="E166" s="204" t="s">
        <v>1</v>
      </c>
      <c r="F166" s="260" t="s">
        <v>890</v>
      </c>
      <c r="H166" s="261">
        <v>1269</v>
      </c>
      <c r="I166" s="70"/>
      <c r="L166" s="202"/>
      <c r="M166" s="209"/>
      <c r="N166" s="210"/>
      <c r="O166" s="210"/>
      <c r="P166" s="210"/>
      <c r="Q166" s="210"/>
      <c r="R166" s="210"/>
      <c r="S166" s="210"/>
      <c r="T166" s="211"/>
      <c r="AT166" s="204" t="s">
        <v>121</v>
      </c>
      <c r="AU166" s="204" t="s">
        <v>76</v>
      </c>
      <c r="AV166" s="208" t="s">
        <v>76</v>
      </c>
      <c r="AW166" s="208" t="s">
        <v>32</v>
      </c>
      <c r="AX166" s="208" t="s">
        <v>68</v>
      </c>
      <c r="AY166" s="204" t="s">
        <v>114</v>
      </c>
    </row>
    <row r="167" spans="2:51" s="228" customFormat="1" ht="12">
      <c r="B167" s="222"/>
      <c r="D167" s="193" t="s">
        <v>121</v>
      </c>
      <c r="E167" s="224" t="s">
        <v>1</v>
      </c>
      <c r="F167" s="266" t="s">
        <v>150</v>
      </c>
      <c r="H167" s="264">
        <v>1687</v>
      </c>
      <c r="I167" s="72"/>
      <c r="L167" s="222"/>
      <c r="M167" s="229"/>
      <c r="N167" s="230"/>
      <c r="O167" s="230"/>
      <c r="P167" s="230"/>
      <c r="Q167" s="230"/>
      <c r="R167" s="230"/>
      <c r="S167" s="230"/>
      <c r="T167" s="231"/>
      <c r="AT167" s="224" t="s">
        <v>121</v>
      </c>
      <c r="AU167" s="224" t="s">
        <v>76</v>
      </c>
      <c r="AV167" s="228" t="s">
        <v>119</v>
      </c>
      <c r="AW167" s="228" t="s">
        <v>32</v>
      </c>
      <c r="AX167" s="228" t="s">
        <v>73</v>
      </c>
      <c r="AY167" s="224" t="s">
        <v>114</v>
      </c>
    </row>
    <row r="168" spans="2:51" s="242" customFormat="1" ht="12">
      <c r="B168" s="235"/>
      <c r="C168" s="236" t="s">
        <v>1530</v>
      </c>
      <c r="D168" s="237"/>
      <c r="E168" s="238">
        <v>113107042</v>
      </c>
      <c r="F168" s="239" t="s">
        <v>1521</v>
      </c>
      <c r="G168" s="240" t="s">
        <v>153</v>
      </c>
      <c r="H168" s="241">
        <f>H169</f>
        <v>457.5</v>
      </c>
      <c r="I168" s="69"/>
      <c r="J168" s="184">
        <f>ROUND(I168*H168,2)</f>
        <v>0</v>
      </c>
      <c r="K168" s="180" t="s">
        <v>154</v>
      </c>
      <c r="L168" s="90"/>
      <c r="M168" s="185" t="s">
        <v>1</v>
      </c>
      <c r="N168" s="186" t="s">
        <v>41</v>
      </c>
      <c r="O168" s="187"/>
      <c r="P168" s="188">
        <f>O168*H168</f>
        <v>0</v>
      </c>
      <c r="Q168" s="188">
        <v>4E-05</v>
      </c>
      <c r="R168" s="188">
        <f>Q168*H168</f>
        <v>0.0183</v>
      </c>
      <c r="S168" s="188">
        <v>0.128</v>
      </c>
      <c r="T168" s="189">
        <f>S168*H168</f>
        <v>58.56</v>
      </c>
      <c r="U168" s="92"/>
      <c r="V168" s="92"/>
      <c r="AT168" s="238"/>
      <c r="AU168" s="238"/>
      <c r="AY168" s="238"/>
    </row>
    <row r="169" spans="2:51" s="242" customFormat="1" ht="12">
      <c r="B169" s="235"/>
      <c r="C169" s="243"/>
      <c r="D169" s="237"/>
      <c r="E169" s="238"/>
      <c r="F169" s="239" t="s">
        <v>1536</v>
      </c>
      <c r="G169" s="240"/>
      <c r="H169" s="241">
        <f>(557-168+2.5+26+6+12+3*2)*1+4*2*2</f>
        <v>457.5</v>
      </c>
      <c r="I169" s="75"/>
      <c r="L169" s="235"/>
      <c r="M169" s="244"/>
      <c r="N169" s="245"/>
      <c r="O169" s="245"/>
      <c r="P169" s="245"/>
      <c r="Q169" s="245"/>
      <c r="R169" s="245"/>
      <c r="S169" s="245"/>
      <c r="T169" s="246"/>
      <c r="AT169" s="238"/>
      <c r="AU169" s="238"/>
      <c r="AY169" s="238"/>
    </row>
    <row r="170" spans="2:65" s="92" customFormat="1" ht="16.5" customHeight="1">
      <c r="B170" s="90"/>
      <c r="C170" s="178" t="s">
        <v>179</v>
      </c>
      <c r="D170" s="178" t="s">
        <v>116</v>
      </c>
      <c r="E170" s="179" t="s">
        <v>891</v>
      </c>
      <c r="F170" s="180" t="s">
        <v>892</v>
      </c>
      <c r="G170" s="181" t="s">
        <v>176</v>
      </c>
      <c r="H170" s="182">
        <v>6</v>
      </c>
      <c r="I170" s="69"/>
      <c r="J170" s="184">
        <f>ROUND(I170*H170,2)</f>
        <v>0</v>
      </c>
      <c r="K170" s="180" t="s">
        <v>154</v>
      </c>
      <c r="L170" s="90"/>
      <c r="M170" s="185" t="s">
        <v>1</v>
      </c>
      <c r="N170" s="186" t="s">
        <v>41</v>
      </c>
      <c r="O170" s="187"/>
      <c r="P170" s="188">
        <f>O170*H170</f>
        <v>0</v>
      </c>
      <c r="Q170" s="188">
        <v>0</v>
      </c>
      <c r="R170" s="188">
        <f>Q170*H170</f>
        <v>0</v>
      </c>
      <c r="S170" s="188">
        <v>0.205</v>
      </c>
      <c r="T170" s="189">
        <f>S170*H170</f>
        <v>1.23</v>
      </c>
      <c r="AR170" s="81" t="s">
        <v>119</v>
      </c>
      <c r="AT170" s="81" t="s">
        <v>116</v>
      </c>
      <c r="AU170" s="81" t="s">
        <v>76</v>
      </c>
      <c r="AY170" s="81" t="s">
        <v>114</v>
      </c>
      <c r="BE170" s="190">
        <f>IF(N170="základní",J170,0)</f>
        <v>0</v>
      </c>
      <c r="BF170" s="190">
        <f>IF(N170="snížená",J170,0)</f>
        <v>0</v>
      </c>
      <c r="BG170" s="190">
        <f>IF(N170="zákl. přenesená",J170,0)</f>
        <v>0</v>
      </c>
      <c r="BH170" s="190">
        <f>IF(N170="sníž. přenesená",J170,0)</f>
        <v>0</v>
      </c>
      <c r="BI170" s="190">
        <f>IF(N170="nulová",J170,0)</f>
        <v>0</v>
      </c>
      <c r="BJ170" s="81" t="s">
        <v>73</v>
      </c>
      <c r="BK170" s="190">
        <f>ROUND(I170*H170,2)</f>
        <v>0</v>
      </c>
      <c r="BL170" s="81" t="s">
        <v>119</v>
      </c>
      <c r="BM170" s="81" t="s">
        <v>893</v>
      </c>
    </row>
    <row r="171" spans="2:51" s="208" customFormat="1" ht="12">
      <c r="B171" s="202"/>
      <c r="D171" s="193" t="s">
        <v>121</v>
      </c>
      <c r="E171" s="204" t="s">
        <v>1</v>
      </c>
      <c r="F171" s="260" t="s">
        <v>173</v>
      </c>
      <c r="H171" s="261">
        <v>6</v>
      </c>
      <c r="I171" s="70"/>
      <c r="L171" s="202"/>
      <c r="M171" s="209"/>
      <c r="N171" s="210"/>
      <c r="O171" s="210"/>
      <c r="P171" s="210"/>
      <c r="Q171" s="210"/>
      <c r="R171" s="210"/>
      <c r="S171" s="210"/>
      <c r="T171" s="211"/>
      <c r="AT171" s="204" t="s">
        <v>121</v>
      </c>
      <c r="AU171" s="204" t="s">
        <v>76</v>
      </c>
      <c r="AV171" s="208" t="s">
        <v>76</v>
      </c>
      <c r="AW171" s="208" t="s">
        <v>32</v>
      </c>
      <c r="AX171" s="208" t="s">
        <v>68</v>
      </c>
      <c r="AY171" s="204" t="s">
        <v>114</v>
      </c>
    </row>
    <row r="172" spans="2:51" s="228" customFormat="1" ht="12">
      <c r="B172" s="222"/>
      <c r="D172" s="193" t="s">
        <v>121</v>
      </c>
      <c r="E172" s="224" t="s">
        <v>1</v>
      </c>
      <c r="F172" s="266" t="s">
        <v>150</v>
      </c>
      <c r="H172" s="264">
        <v>6</v>
      </c>
      <c r="I172" s="72"/>
      <c r="L172" s="222"/>
      <c r="M172" s="229"/>
      <c r="N172" s="230"/>
      <c r="O172" s="230"/>
      <c r="P172" s="230"/>
      <c r="Q172" s="230"/>
      <c r="R172" s="230"/>
      <c r="S172" s="230"/>
      <c r="T172" s="231"/>
      <c r="AT172" s="224" t="s">
        <v>121</v>
      </c>
      <c r="AU172" s="224" t="s">
        <v>76</v>
      </c>
      <c r="AV172" s="228" t="s">
        <v>119</v>
      </c>
      <c r="AW172" s="228" t="s">
        <v>32</v>
      </c>
      <c r="AX172" s="228" t="s">
        <v>73</v>
      </c>
      <c r="AY172" s="224" t="s">
        <v>114</v>
      </c>
    </row>
    <row r="173" spans="2:65" s="92" customFormat="1" ht="16.5" customHeight="1">
      <c r="B173" s="90"/>
      <c r="C173" s="178" t="s">
        <v>183</v>
      </c>
      <c r="D173" s="178" t="s">
        <v>116</v>
      </c>
      <c r="E173" s="179" t="s">
        <v>160</v>
      </c>
      <c r="F173" s="232" t="s">
        <v>161</v>
      </c>
      <c r="G173" s="181" t="s">
        <v>162</v>
      </c>
      <c r="H173" s="182">
        <f>H179</f>
        <v>60</v>
      </c>
      <c r="I173" s="69"/>
      <c r="J173" s="184">
        <f>ROUND(I173*H173,2)</f>
        <v>0</v>
      </c>
      <c r="K173" s="180" t="s">
        <v>154</v>
      </c>
      <c r="L173" s="90"/>
      <c r="M173" s="185" t="s">
        <v>1</v>
      </c>
      <c r="N173" s="186" t="s">
        <v>41</v>
      </c>
      <c r="O173" s="187"/>
      <c r="P173" s="188">
        <f>O173*H173</f>
        <v>0</v>
      </c>
      <c r="Q173" s="188">
        <v>0</v>
      </c>
      <c r="R173" s="188">
        <f>Q173*H173</f>
        <v>0</v>
      </c>
      <c r="S173" s="188">
        <v>0</v>
      </c>
      <c r="T173" s="189">
        <f>S173*H173</f>
        <v>0</v>
      </c>
      <c r="AR173" s="81" t="s">
        <v>119</v>
      </c>
      <c r="AT173" s="81" t="s">
        <v>116</v>
      </c>
      <c r="AU173" s="81" t="s">
        <v>76</v>
      </c>
      <c r="AY173" s="81" t="s">
        <v>114</v>
      </c>
      <c r="BE173" s="190">
        <f>IF(N173="základní",J173,0)</f>
        <v>0</v>
      </c>
      <c r="BF173" s="190">
        <f>IF(N173="snížená",J173,0)</f>
        <v>0</v>
      </c>
      <c r="BG173" s="190">
        <f>IF(N173="zákl. přenesená",J173,0)</f>
        <v>0</v>
      </c>
      <c r="BH173" s="190">
        <f>IF(N173="sníž. přenesená",J173,0)</f>
        <v>0</v>
      </c>
      <c r="BI173" s="190">
        <f>IF(N173="nulová",J173,0)</f>
        <v>0</v>
      </c>
      <c r="BJ173" s="81" t="s">
        <v>73</v>
      </c>
      <c r="BK173" s="190">
        <f>ROUND(I173*H173,2)</f>
        <v>0</v>
      </c>
      <c r="BL173" s="81" t="s">
        <v>119</v>
      </c>
      <c r="BM173" s="81" t="s">
        <v>894</v>
      </c>
    </row>
    <row r="174" spans="2:51" s="198" customFormat="1" ht="12">
      <c r="B174" s="191"/>
      <c r="D174" s="193" t="s">
        <v>121</v>
      </c>
      <c r="E174" s="194" t="s">
        <v>1</v>
      </c>
      <c r="F174" s="195" t="s">
        <v>164</v>
      </c>
      <c r="H174" s="194" t="s">
        <v>1</v>
      </c>
      <c r="I174" s="71"/>
      <c r="L174" s="191"/>
      <c r="M174" s="199"/>
      <c r="N174" s="200"/>
      <c r="O174" s="200"/>
      <c r="P174" s="200"/>
      <c r="Q174" s="200"/>
      <c r="R174" s="200"/>
      <c r="S174" s="200"/>
      <c r="T174" s="201"/>
      <c r="AT174" s="194" t="s">
        <v>121</v>
      </c>
      <c r="AU174" s="194" t="s">
        <v>76</v>
      </c>
      <c r="AV174" s="198" t="s">
        <v>73</v>
      </c>
      <c r="AW174" s="198" t="s">
        <v>32</v>
      </c>
      <c r="AX174" s="198" t="s">
        <v>68</v>
      </c>
      <c r="AY174" s="194" t="s">
        <v>114</v>
      </c>
    </row>
    <row r="175" spans="2:51" s="198" customFormat="1" ht="12">
      <c r="B175" s="191"/>
      <c r="D175" s="193" t="s">
        <v>121</v>
      </c>
      <c r="E175" s="194" t="s">
        <v>1</v>
      </c>
      <c r="F175" s="195" t="s">
        <v>165</v>
      </c>
      <c r="H175" s="194" t="s">
        <v>1</v>
      </c>
      <c r="I175" s="71"/>
      <c r="L175" s="191"/>
      <c r="M175" s="199"/>
      <c r="N175" s="200"/>
      <c r="O175" s="200"/>
      <c r="P175" s="200"/>
      <c r="Q175" s="200"/>
      <c r="R175" s="200"/>
      <c r="S175" s="200"/>
      <c r="T175" s="201"/>
      <c r="AT175" s="194" t="s">
        <v>121</v>
      </c>
      <c r="AU175" s="194" t="s">
        <v>76</v>
      </c>
      <c r="AV175" s="198" t="s">
        <v>73</v>
      </c>
      <c r="AW175" s="198" t="s">
        <v>32</v>
      </c>
      <c r="AX175" s="198" t="s">
        <v>68</v>
      </c>
      <c r="AY175" s="194" t="s">
        <v>114</v>
      </c>
    </row>
    <row r="176" spans="2:51" s="198" customFormat="1" ht="12">
      <c r="B176" s="191"/>
      <c r="D176" s="193" t="s">
        <v>121</v>
      </c>
      <c r="E176" s="194" t="s">
        <v>1</v>
      </c>
      <c r="F176" s="195" t="s">
        <v>166</v>
      </c>
      <c r="H176" s="194" t="s">
        <v>1</v>
      </c>
      <c r="I176" s="71"/>
      <c r="L176" s="191"/>
      <c r="M176" s="199"/>
      <c r="N176" s="200"/>
      <c r="O176" s="200"/>
      <c r="P176" s="200"/>
      <c r="Q176" s="200"/>
      <c r="R176" s="200"/>
      <c r="S176" s="200"/>
      <c r="T176" s="201"/>
      <c r="AT176" s="194" t="s">
        <v>121</v>
      </c>
      <c r="AU176" s="194" t="s">
        <v>76</v>
      </c>
      <c r="AV176" s="198" t="s">
        <v>73</v>
      </c>
      <c r="AW176" s="198" t="s">
        <v>32</v>
      </c>
      <c r="AX176" s="198" t="s">
        <v>68</v>
      </c>
      <c r="AY176" s="194" t="s">
        <v>114</v>
      </c>
    </row>
    <row r="177" spans="2:51" s="198" customFormat="1" ht="12">
      <c r="B177" s="191"/>
      <c r="D177" s="193" t="s">
        <v>121</v>
      </c>
      <c r="E177" s="194" t="s">
        <v>1</v>
      </c>
      <c r="F177" s="195" t="s">
        <v>1479</v>
      </c>
      <c r="H177" s="194" t="s">
        <v>1</v>
      </c>
      <c r="I177" s="71"/>
      <c r="L177" s="191"/>
      <c r="M177" s="199"/>
      <c r="N177" s="200"/>
      <c r="O177" s="200"/>
      <c r="P177" s="200"/>
      <c r="Q177" s="200"/>
      <c r="R177" s="200"/>
      <c r="S177" s="200"/>
      <c r="T177" s="201"/>
      <c r="AT177" s="194" t="s">
        <v>121</v>
      </c>
      <c r="AU177" s="194" t="s">
        <v>76</v>
      </c>
      <c r="AV177" s="198" t="s">
        <v>73</v>
      </c>
      <c r="AW177" s="198" t="s">
        <v>32</v>
      </c>
      <c r="AX177" s="198" t="s">
        <v>68</v>
      </c>
      <c r="AY177" s="194" t="s">
        <v>114</v>
      </c>
    </row>
    <row r="178" spans="2:51" s="208" customFormat="1" ht="12">
      <c r="B178" s="202"/>
      <c r="D178" s="193" t="s">
        <v>121</v>
      </c>
      <c r="E178" s="204" t="s">
        <v>1</v>
      </c>
      <c r="F178" s="205" t="s">
        <v>1459</v>
      </c>
      <c r="H178" s="261">
        <f>15*4</f>
        <v>60</v>
      </c>
      <c r="I178" s="70"/>
      <c r="L178" s="202"/>
      <c r="M178" s="209"/>
      <c r="N178" s="210"/>
      <c r="O178" s="210"/>
      <c r="P178" s="210"/>
      <c r="Q178" s="210"/>
      <c r="R178" s="210"/>
      <c r="S178" s="210"/>
      <c r="T178" s="211"/>
      <c r="AT178" s="204" t="s">
        <v>121</v>
      </c>
      <c r="AU178" s="204" t="s">
        <v>76</v>
      </c>
      <c r="AV178" s="208" t="s">
        <v>76</v>
      </c>
      <c r="AW178" s="208" t="s">
        <v>32</v>
      </c>
      <c r="AX178" s="208" t="s">
        <v>68</v>
      </c>
      <c r="AY178" s="204" t="s">
        <v>114</v>
      </c>
    </row>
    <row r="179" spans="2:51" s="228" customFormat="1" ht="12">
      <c r="B179" s="222"/>
      <c r="D179" s="193" t="s">
        <v>121</v>
      </c>
      <c r="E179" s="224" t="s">
        <v>1</v>
      </c>
      <c r="F179" s="225" t="s">
        <v>150</v>
      </c>
      <c r="H179" s="264">
        <f>H178</f>
        <v>60</v>
      </c>
      <c r="I179" s="72"/>
      <c r="L179" s="222"/>
      <c r="M179" s="229"/>
      <c r="N179" s="230"/>
      <c r="O179" s="230"/>
      <c r="P179" s="230"/>
      <c r="Q179" s="230"/>
      <c r="R179" s="230"/>
      <c r="S179" s="230"/>
      <c r="T179" s="231"/>
      <c r="AT179" s="224" t="s">
        <v>121</v>
      </c>
      <c r="AU179" s="224" t="s">
        <v>76</v>
      </c>
      <c r="AV179" s="228" t="s">
        <v>119</v>
      </c>
      <c r="AW179" s="228" t="s">
        <v>32</v>
      </c>
      <c r="AX179" s="228" t="s">
        <v>73</v>
      </c>
      <c r="AY179" s="224" t="s">
        <v>114</v>
      </c>
    </row>
    <row r="180" spans="2:65" s="92" customFormat="1" ht="16.5" customHeight="1">
      <c r="B180" s="90"/>
      <c r="C180" s="178" t="s">
        <v>188</v>
      </c>
      <c r="D180" s="178" t="s">
        <v>116</v>
      </c>
      <c r="E180" s="179" t="s">
        <v>168</v>
      </c>
      <c r="F180" s="232" t="s">
        <v>169</v>
      </c>
      <c r="G180" s="181" t="s">
        <v>170</v>
      </c>
      <c r="H180" s="182">
        <v>15</v>
      </c>
      <c r="I180" s="69"/>
      <c r="J180" s="184">
        <f>ROUND(I180*H180,2)</f>
        <v>0</v>
      </c>
      <c r="K180" s="180" t="s">
        <v>154</v>
      </c>
      <c r="L180" s="90"/>
      <c r="M180" s="185" t="s">
        <v>1</v>
      </c>
      <c r="N180" s="186" t="s">
        <v>41</v>
      </c>
      <c r="O180" s="187"/>
      <c r="P180" s="188">
        <f>O180*H180</f>
        <v>0</v>
      </c>
      <c r="Q180" s="188">
        <v>0</v>
      </c>
      <c r="R180" s="188">
        <f>Q180*H180</f>
        <v>0</v>
      </c>
      <c r="S180" s="188">
        <v>0</v>
      </c>
      <c r="T180" s="189">
        <f>S180*H180</f>
        <v>0</v>
      </c>
      <c r="V180" s="81"/>
      <c r="AR180" s="81" t="s">
        <v>119</v>
      </c>
      <c r="AT180" s="81" t="s">
        <v>116</v>
      </c>
      <c r="AU180" s="81" t="s">
        <v>76</v>
      </c>
      <c r="AY180" s="81" t="s">
        <v>114</v>
      </c>
      <c r="BE180" s="190">
        <f>IF(N180="základní",J180,0)</f>
        <v>0</v>
      </c>
      <c r="BF180" s="190">
        <f>IF(N180="snížená",J180,0)</f>
        <v>0</v>
      </c>
      <c r="BG180" s="190">
        <f>IF(N180="zákl. přenesená",J180,0)</f>
        <v>0</v>
      </c>
      <c r="BH180" s="190">
        <f>IF(N180="sníž. přenesená",J180,0)</f>
        <v>0</v>
      </c>
      <c r="BI180" s="190">
        <f>IF(N180="nulová",J180,0)</f>
        <v>0</v>
      </c>
      <c r="BJ180" s="81" t="s">
        <v>73</v>
      </c>
      <c r="BK180" s="190">
        <f>ROUND(I180*H180,2)</f>
        <v>0</v>
      </c>
      <c r="BL180" s="81" t="s">
        <v>119</v>
      </c>
      <c r="BM180" s="81" t="s">
        <v>895</v>
      </c>
    </row>
    <row r="181" spans="2:51" s="198" customFormat="1" ht="12">
      <c r="B181" s="191"/>
      <c r="D181" s="193" t="s">
        <v>121</v>
      </c>
      <c r="E181" s="194" t="s">
        <v>1</v>
      </c>
      <c r="F181" s="259"/>
      <c r="H181" s="194" t="s">
        <v>1</v>
      </c>
      <c r="I181" s="71"/>
      <c r="L181" s="191"/>
      <c r="M181" s="199"/>
      <c r="N181" s="200"/>
      <c r="O181" s="200"/>
      <c r="P181" s="200"/>
      <c r="Q181" s="200"/>
      <c r="R181" s="200"/>
      <c r="S181" s="200"/>
      <c r="T181" s="201"/>
      <c r="AT181" s="194" t="s">
        <v>121</v>
      </c>
      <c r="AU181" s="194" t="s">
        <v>76</v>
      </c>
      <c r="AV181" s="198" t="s">
        <v>73</v>
      </c>
      <c r="AW181" s="198" t="s">
        <v>32</v>
      </c>
      <c r="AX181" s="198" t="s">
        <v>68</v>
      </c>
      <c r="AY181" s="194" t="s">
        <v>114</v>
      </c>
    </row>
    <row r="182" spans="2:51" s="208" customFormat="1" ht="12">
      <c r="B182" s="202"/>
      <c r="D182" s="193" t="s">
        <v>121</v>
      </c>
      <c r="E182" s="204" t="s">
        <v>1</v>
      </c>
      <c r="F182" s="260">
        <v>15</v>
      </c>
      <c r="H182" s="261">
        <v>15</v>
      </c>
      <c r="I182" s="70"/>
      <c r="L182" s="202"/>
      <c r="M182" s="209"/>
      <c r="N182" s="210"/>
      <c r="O182" s="210"/>
      <c r="P182" s="210"/>
      <c r="Q182" s="210"/>
      <c r="R182" s="210"/>
      <c r="S182" s="210"/>
      <c r="T182" s="211"/>
      <c r="AT182" s="204" t="s">
        <v>121</v>
      </c>
      <c r="AU182" s="204" t="s">
        <v>76</v>
      </c>
      <c r="AV182" s="208" t="s">
        <v>76</v>
      </c>
      <c r="AW182" s="208" t="s">
        <v>32</v>
      </c>
      <c r="AX182" s="208" t="s">
        <v>68</v>
      </c>
      <c r="AY182" s="204" t="s">
        <v>114</v>
      </c>
    </row>
    <row r="183" spans="2:51" s="228" customFormat="1" ht="12">
      <c r="B183" s="222"/>
      <c r="D183" s="193" t="s">
        <v>121</v>
      </c>
      <c r="E183" s="224" t="s">
        <v>1</v>
      </c>
      <c r="F183" s="266" t="s">
        <v>150</v>
      </c>
      <c r="H183" s="264">
        <v>15</v>
      </c>
      <c r="I183" s="72"/>
      <c r="L183" s="222"/>
      <c r="M183" s="229"/>
      <c r="N183" s="230"/>
      <c r="O183" s="230"/>
      <c r="P183" s="230"/>
      <c r="Q183" s="230"/>
      <c r="R183" s="230"/>
      <c r="S183" s="230"/>
      <c r="T183" s="231"/>
      <c r="AT183" s="224" t="s">
        <v>121</v>
      </c>
      <c r="AU183" s="224" t="s">
        <v>76</v>
      </c>
      <c r="AV183" s="228" t="s">
        <v>119</v>
      </c>
      <c r="AW183" s="228" t="s">
        <v>32</v>
      </c>
      <c r="AX183" s="228" t="s">
        <v>73</v>
      </c>
      <c r="AY183" s="224" t="s">
        <v>114</v>
      </c>
    </row>
    <row r="184" spans="2:65" s="92" customFormat="1" ht="16.5" customHeight="1">
      <c r="B184" s="90"/>
      <c r="C184" s="178" t="s">
        <v>199</v>
      </c>
      <c r="D184" s="178" t="s">
        <v>116</v>
      </c>
      <c r="E184" s="179" t="s">
        <v>174</v>
      </c>
      <c r="F184" s="180" t="s">
        <v>175</v>
      </c>
      <c r="G184" s="181" t="s">
        <v>176</v>
      </c>
      <c r="H184" s="182">
        <v>23.2</v>
      </c>
      <c r="I184" s="69"/>
      <c r="J184" s="184">
        <f>ROUND(I184*H184,2)</f>
        <v>0</v>
      </c>
      <c r="K184" s="180" t="s">
        <v>154</v>
      </c>
      <c r="L184" s="90"/>
      <c r="M184" s="185" t="s">
        <v>1</v>
      </c>
      <c r="N184" s="186" t="s">
        <v>41</v>
      </c>
      <c r="O184" s="187"/>
      <c r="P184" s="188">
        <f>O184*H184</f>
        <v>0</v>
      </c>
      <c r="Q184" s="188">
        <v>0.00868</v>
      </c>
      <c r="R184" s="188">
        <f>Q184*H184</f>
        <v>0.201376</v>
      </c>
      <c r="S184" s="188">
        <v>0</v>
      </c>
      <c r="T184" s="189">
        <f>S184*H184</f>
        <v>0</v>
      </c>
      <c r="AR184" s="81" t="s">
        <v>119</v>
      </c>
      <c r="AT184" s="81" t="s">
        <v>116</v>
      </c>
      <c r="AU184" s="81" t="s">
        <v>76</v>
      </c>
      <c r="AY184" s="81" t="s">
        <v>114</v>
      </c>
      <c r="BE184" s="190">
        <f>IF(N184="základní",J184,0)</f>
        <v>0</v>
      </c>
      <c r="BF184" s="190">
        <f>IF(N184="snížená",J184,0)</f>
        <v>0</v>
      </c>
      <c r="BG184" s="190">
        <f>IF(N184="zákl. přenesená",J184,0)</f>
        <v>0</v>
      </c>
      <c r="BH184" s="190">
        <f>IF(N184="sníž. přenesená",J184,0)</f>
        <v>0</v>
      </c>
      <c r="BI184" s="190">
        <f>IF(N184="nulová",J184,0)</f>
        <v>0</v>
      </c>
      <c r="BJ184" s="81" t="s">
        <v>73</v>
      </c>
      <c r="BK184" s="190">
        <f>ROUND(I184*H184,2)</f>
        <v>0</v>
      </c>
      <c r="BL184" s="81" t="s">
        <v>119</v>
      </c>
      <c r="BM184" s="81" t="s">
        <v>896</v>
      </c>
    </row>
    <row r="185" spans="2:51" s="208" customFormat="1" ht="12">
      <c r="B185" s="202"/>
      <c r="D185" s="193" t="s">
        <v>121</v>
      </c>
      <c r="E185" s="204" t="s">
        <v>1</v>
      </c>
      <c r="F185" s="260" t="s">
        <v>897</v>
      </c>
      <c r="H185" s="261">
        <v>23.2</v>
      </c>
      <c r="I185" s="70"/>
      <c r="L185" s="202"/>
      <c r="M185" s="209"/>
      <c r="N185" s="210"/>
      <c r="O185" s="210"/>
      <c r="P185" s="210"/>
      <c r="Q185" s="210"/>
      <c r="R185" s="210"/>
      <c r="S185" s="210"/>
      <c r="T185" s="211"/>
      <c r="AT185" s="204" t="s">
        <v>121</v>
      </c>
      <c r="AU185" s="204" t="s">
        <v>76</v>
      </c>
      <c r="AV185" s="208" t="s">
        <v>76</v>
      </c>
      <c r="AW185" s="208" t="s">
        <v>32</v>
      </c>
      <c r="AX185" s="208" t="s">
        <v>68</v>
      </c>
      <c r="AY185" s="204" t="s">
        <v>114</v>
      </c>
    </row>
    <row r="186" spans="2:51" s="228" customFormat="1" ht="12">
      <c r="B186" s="222"/>
      <c r="D186" s="193" t="s">
        <v>121</v>
      </c>
      <c r="E186" s="224" t="s">
        <v>1</v>
      </c>
      <c r="F186" s="266" t="s">
        <v>150</v>
      </c>
      <c r="H186" s="264">
        <v>23.2</v>
      </c>
      <c r="I186" s="72"/>
      <c r="L186" s="222"/>
      <c r="M186" s="229"/>
      <c r="N186" s="230"/>
      <c r="O186" s="230"/>
      <c r="P186" s="230"/>
      <c r="Q186" s="230"/>
      <c r="R186" s="230"/>
      <c r="S186" s="230"/>
      <c r="T186" s="231"/>
      <c r="AT186" s="224" t="s">
        <v>121</v>
      </c>
      <c r="AU186" s="224" t="s">
        <v>76</v>
      </c>
      <c r="AV186" s="228" t="s">
        <v>119</v>
      </c>
      <c r="AW186" s="228" t="s">
        <v>32</v>
      </c>
      <c r="AX186" s="228" t="s">
        <v>73</v>
      </c>
      <c r="AY186" s="224" t="s">
        <v>114</v>
      </c>
    </row>
    <row r="187" spans="2:65" s="92" customFormat="1" ht="16.5" customHeight="1">
      <c r="B187" s="90"/>
      <c r="C187" s="178" t="s">
        <v>204</v>
      </c>
      <c r="D187" s="178" t="s">
        <v>116</v>
      </c>
      <c r="E187" s="179" t="s">
        <v>898</v>
      </c>
      <c r="F187" s="180" t="s">
        <v>899</v>
      </c>
      <c r="G187" s="181" t="s">
        <v>176</v>
      </c>
      <c r="H187" s="182">
        <v>18.4</v>
      </c>
      <c r="I187" s="69"/>
      <c r="J187" s="184">
        <f>ROUND(I187*H187,2)</f>
        <v>0</v>
      </c>
      <c r="K187" s="180" t="s">
        <v>154</v>
      </c>
      <c r="L187" s="90"/>
      <c r="M187" s="185" t="s">
        <v>1</v>
      </c>
      <c r="N187" s="186" t="s">
        <v>41</v>
      </c>
      <c r="O187" s="187"/>
      <c r="P187" s="188">
        <f>O187*H187</f>
        <v>0</v>
      </c>
      <c r="Q187" s="188">
        <v>0.0369</v>
      </c>
      <c r="R187" s="188">
        <f>Q187*H187</f>
        <v>0.67896</v>
      </c>
      <c r="S187" s="188">
        <v>0</v>
      </c>
      <c r="T187" s="189">
        <f>S187*H187</f>
        <v>0</v>
      </c>
      <c r="AR187" s="81" t="s">
        <v>119</v>
      </c>
      <c r="AT187" s="81" t="s">
        <v>116</v>
      </c>
      <c r="AU187" s="81" t="s">
        <v>76</v>
      </c>
      <c r="AY187" s="81" t="s">
        <v>114</v>
      </c>
      <c r="BE187" s="190">
        <f>IF(N187="základní",J187,0)</f>
        <v>0</v>
      </c>
      <c r="BF187" s="190">
        <f>IF(N187="snížená",J187,0)</f>
        <v>0</v>
      </c>
      <c r="BG187" s="190">
        <f>IF(N187="zákl. přenesená",J187,0)</f>
        <v>0</v>
      </c>
      <c r="BH187" s="190">
        <f>IF(N187="sníž. přenesená",J187,0)</f>
        <v>0</v>
      </c>
      <c r="BI187" s="190">
        <f>IF(N187="nulová",J187,0)</f>
        <v>0</v>
      </c>
      <c r="BJ187" s="81" t="s">
        <v>73</v>
      </c>
      <c r="BK187" s="190">
        <f>ROUND(I187*H187,2)</f>
        <v>0</v>
      </c>
      <c r="BL187" s="81" t="s">
        <v>119</v>
      </c>
      <c r="BM187" s="81" t="s">
        <v>900</v>
      </c>
    </row>
    <row r="188" spans="2:51" s="208" customFormat="1" ht="12">
      <c r="B188" s="202"/>
      <c r="D188" s="193" t="s">
        <v>121</v>
      </c>
      <c r="E188" s="204" t="s">
        <v>1</v>
      </c>
      <c r="F188" s="260" t="s">
        <v>901</v>
      </c>
      <c r="H188" s="261">
        <v>18.4</v>
      </c>
      <c r="I188" s="70"/>
      <c r="L188" s="202"/>
      <c r="M188" s="209"/>
      <c r="N188" s="210"/>
      <c r="O188" s="210"/>
      <c r="P188" s="210"/>
      <c r="Q188" s="210"/>
      <c r="R188" s="210"/>
      <c r="S188" s="210"/>
      <c r="T188" s="211"/>
      <c r="AT188" s="204" t="s">
        <v>121</v>
      </c>
      <c r="AU188" s="204" t="s">
        <v>76</v>
      </c>
      <c r="AV188" s="208" t="s">
        <v>76</v>
      </c>
      <c r="AW188" s="208" t="s">
        <v>32</v>
      </c>
      <c r="AX188" s="208" t="s">
        <v>68</v>
      </c>
      <c r="AY188" s="204" t="s">
        <v>114</v>
      </c>
    </row>
    <row r="189" spans="2:51" s="228" customFormat="1" ht="12">
      <c r="B189" s="222"/>
      <c r="D189" s="193" t="s">
        <v>121</v>
      </c>
      <c r="E189" s="224" t="s">
        <v>1</v>
      </c>
      <c r="F189" s="266" t="s">
        <v>150</v>
      </c>
      <c r="H189" s="264">
        <v>18.4</v>
      </c>
      <c r="I189" s="72"/>
      <c r="L189" s="222"/>
      <c r="M189" s="229"/>
      <c r="N189" s="230"/>
      <c r="O189" s="230"/>
      <c r="P189" s="230"/>
      <c r="Q189" s="230"/>
      <c r="R189" s="230"/>
      <c r="S189" s="230"/>
      <c r="T189" s="231"/>
      <c r="AT189" s="224" t="s">
        <v>121</v>
      </c>
      <c r="AU189" s="224" t="s">
        <v>76</v>
      </c>
      <c r="AV189" s="228" t="s">
        <v>119</v>
      </c>
      <c r="AW189" s="228" t="s">
        <v>32</v>
      </c>
      <c r="AX189" s="228" t="s">
        <v>73</v>
      </c>
      <c r="AY189" s="224" t="s">
        <v>114</v>
      </c>
    </row>
    <row r="190" spans="2:65" s="92" customFormat="1" ht="16.5" customHeight="1">
      <c r="B190" s="90"/>
      <c r="C190" s="178" t="s">
        <v>209</v>
      </c>
      <c r="D190" s="178" t="s">
        <v>116</v>
      </c>
      <c r="E190" s="179" t="s">
        <v>180</v>
      </c>
      <c r="F190" s="180" t="s">
        <v>181</v>
      </c>
      <c r="G190" s="181" t="s">
        <v>176</v>
      </c>
      <c r="H190" s="182">
        <v>1.6</v>
      </c>
      <c r="I190" s="69"/>
      <c r="J190" s="184">
        <f>ROUND(I190*H190,2)</f>
        <v>0</v>
      </c>
      <c r="K190" s="180" t="s">
        <v>154</v>
      </c>
      <c r="L190" s="90"/>
      <c r="M190" s="185" t="s">
        <v>1</v>
      </c>
      <c r="N190" s="186" t="s">
        <v>41</v>
      </c>
      <c r="O190" s="187"/>
      <c r="P190" s="188">
        <f>O190*H190</f>
        <v>0</v>
      </c>
      <c r="Q190" s="188">
        <v>0.01269</v>
      </c>
      <c r="R190" s="188">
        <f>Q190*H190</f>
        <v>0.020304000000000003</v>
      </c>
      <c r="S190" s="188">
        <v>0</v>
      </c>
      <c r="T190" s="189">
        <f>S190*H190</f>
        <v>0</v>
      </c>
      <c r="AR190" s="81" t="s">
        <v>119</v>
      </c>
      <c r="AT190" s="81" t="s">
        <v>116</v>
      </c>
      <c r="AU190" s="81" t="s">
        <v>76</v>
      </c>
      <c r="AY190" s="81" t="s">
        <v>114</v>
      </c>
      <c r="BE190" s="190">
        <f>IF(N190="základní",J190,0)</f>
        <v>0</v>
      </c>
      <c r="BF190" s="190">
        <f>IF(N190="snížená",J190,0)</f>
        <v>0</v>
      </c>
      <c r="BG190" s="190">
        <f>IF(N190="zákl. přenesená",J190,0)</f>
        <v>0</v>
      </c>
      <c r="BH190" s="190">
        <f>IF(N190="sníž. přenesená",J190,0)</f>
        <v>0</v>
      </c>
      <c r="BI190" s="190">
        <f>IF(N190="nulová",J190,0)</f>
        <v>0</v>
      </c>
      <c r="BJ190" s="81" t="s">
        <v>73</v>
      </c>
      <c r="BK190" s="190">
        <f>ROUND(I190*H190,2)</f>
        <v>0</v>
      </c>
      <c r="BL190" s="81" t="s">
        <v>119</v>
      </c>
      <c r="BM190" s="81" t="s">
        <v>902</v>
      </c>
    </row>
    <row r="191" spans="2:65" s="92" customFormat="1" ht="16.5" customHeight="1">
      <c r="B191" s="90"/>
      <c r="C191" s="178" t="s">
        <v>213</v>
      </c>
      <c r="D191" s="178" t="s">
        <v>116</v>
      </c>
      <c r="E191" s="179" t="s">
        <v>184</v>
      </c>
      <c r="F191" s="180" t="s">
        <v>185</v>
      </c>
      <c r="G191" s="181" t="s">
        <v>176</v>
      </c>
      <c r="H191" s="182">
        <v>6.4</v>
      </c>
      <c r="I191" s="69"/>
      <c r="J191" s="184">
        <f>ROUND(I191*H191,2)</f>
        <v>0</v>
      </c>
      <c r="K191" s="180" t="s">
        <v>154</v>
      </c>
      <c r="L191" s="90"/>
      <c r="M191" s="185" t="s">
        <v>1</v>
      </c>
      <c r="N191" s="186" t="s">
        <v>41</v>
      </c>
      <c r="O191" s="187"/>
      <c r="P191" s="188">
        <f>O191*H191</f>
        <v>0</v>
      </c>
      <c r="Q191" s="188">
        <v>0.10775</v>
      </c>
      <c r="R191" s="188">
        <f>Q191*H191</f>
        <v>0.6896</v>
      </c>
      <c r="S191" s="188">
        <v>0</v>
      </c>
      <c r="T191" s="189">
        <f>S191*H191</f>
        <v>0</v>
      </c>
      <c r="AR191" s="81" t="s">
        <v>119</v>
      </c>
      <c r="AT191" s="81" t="s">
        <v>116</v>
      </c>
      <c r="AU191" s="81" t="s">
        <v>76</v>
      </c>
      <c r="AY191" s="81" t="s">
        <v>114</v>
      </c>
      <c r="BE191" s="190">
        <f>IF(N191="základní",J191,0)</f>
        <v>0</v>
      </c>
      <c r="BF191" s="190">
        <f>IF(N191="snížená",J191,0)</f>
        <v>0</v>
      </c>
      <c r="BG191" s="190">
        <f>IF(N191="zákl. přenesená",J191,0)</f>
        <v>0</v>
      </c>
      <c r="BH191" s="190">
        <f>IF(N191="sníž. přenesená",J191,0)</f>
        <v>0</v>
      </c>
      <c r="BI191" s="190">
        <f>IF(N191="nulová",J191,0)</f>
        <v>0</v>
      </c>
      <c r="BJ191" s="81" t="s">
        <v>73</v>
      </c>
      <c r="BK191" s="190">
        <f>ROUND(I191*H191,2)</f>
        <v>0</v>
      </c>
      <c r="BL191" s="81" t="s">
        <v>119</v>
      </c>
      <c r="BM191" s="81" t="s">
        <v>903</v>
      </c>
    </row>
    <row r="192" spans="2:51" s="208" customFormat="1" ht="12">
      <c r="B192" s="202"/>
      <c r="D192" s="193" t="s">
        <v>121</v>
      </c>
      <c r="E192" s="204" t="s">
        <v>1</v>
      </c>
      <c r="F192" s="260" t="s">
        <v>904</v>
      </c>
      <c r="H192" s="261">
        <v>6.4</v>
      </c>
      <c r="I192" s="70"/>
      <c r="L192" s="202"/>
      <c r="M192" s="209"/>
      <c r="N192" s="210"/>
      <c r="O192" s="210"/>
      <c r="P192" s="210"/>
      <c r="Q192" s="210"/>
      <c r="R192" s="210"/>
      <c r="S192" s="210"/>
      <c r="T192" s="211"/>
      <c r="AT192" s="204" t="s">
        <v>121</v>
      </c>
      <c r="AU192" s="204" t="s">
        <v>76</v>
      </c>
      <c r="AV192" s="208" t="s">
        <v>76</v>
      </c>
      <c r="AW192" s="208" t="s">
        <v>32</v>
      </c>
      <c r="AX192" s="208" t="s">
        <v>68</v>
      </c>
      <c r="AY192" s="204" t="s">
        <v>114</v>
      </c>
    </row>
    <row r="193" spans="2:51" s="228" customFormat="1" ht="12">
      <c r="B193" s="222"/>
      <c r="D193" s="193" t="s">
        <v>121</v>
      </c>
      <c r="E193" s="224" t="s">
        <v>1</v>
      </c>
      <c r="F193" s="266" t="s">
        <v>150</v>
      </c>
      <c r="H193" s="264">
        <v>6.4</v>
      </c>
      <c r="I193" s="72"/>
      <c r="L193" s="222"/>
      <c r="M193" s="229"/>
      <c r="N193" s="230"/>
      <c r="O193" s="230"/>
      <c r="P193" s="230"/>
      <c r="Q193" s="230"/>
      <c r="R193" s="230"/>
      <c r="S193" s="230"/>
      <c r="T193" s="231"/>
      <c r="AT193" s="224" t="s">
        <v>121</v>
      </c>
      <c r="AU193" s="224" t="s">
        <v>76</v>
      </c>
      <c r="AV193" s="228" t="s">
        <v>119</v>
      </c>
      <c r="AW193" s="228" t="s">
        <v>32</v>
      </c>
      <c r="AX193" s="228" t="s">
        <v>73</v>
      </c>
      <c r="AY193" s="224" t="s">
        <v>114</v>
      </c>
    </row>
    <row r="194" spans="2:65" s="92" customFormat="1" ht="16.5" customHeight="1">
      <c r="B194" s="90"/>
      <c r="C194" s="178" t="s">
        <v>218</v>
      </c>
      <c r="D194" s="178" t="s">
        <v>116</v>
      </c>
      <c r="E194" s="179" t="s">
        <v>189</v>
      </c>
      <c r="F194" s="232" t="s">
        <v>190</v>
      </c>
      <c r="G194" s="181" t="s">
        <v>191</v>
      </c>
      <c r="H194" s="182">
        <f>H204</f>
        <v>66.3</v>
      </c>
      <c r="I194" s="69"/>
      <c r="J194" s="184">
        <f>ROUND(I194*H194,2)</f>
        <v>0</v>
      </c>
      <c r="K194" s="180" t="s">
        <v>1</v>
      </c>
      <c r="L194" s="90"/>
      <c r="M194" s="185" t="s">
        <v>1</v>
      </c>
      <c r="N194" s="186" t="s">
        <v>41</v>
      </c>
      <c r="O194" s="187"/>
      <c r="P194" s="188">
        <f>O194*H194</f>
        <v>0</v>
      </c>
      <c r="Q194" s="188">
        <v>0</v>
      </c>
      <c r="R194" s="188">
        <f>Q194*H194</f>
        <v>0</v>
      </c>
      <c r="S194" s="188">
        <v>0</v>
      </c>
      <c r="T194" s="189">
        <f>S194*H194</f>
        <v>0</v>
      </c>
      <c r="AR194" s="81" t="s">
        <v>119</v>
      </c>
      <c r="AT194" s="81" t="s">
        <v>116</v>
      </c>
      <c r="AU194" s="81" t="s">
        <v>76</v>
      </c>
      <c r="AY194" s="81" t="s">
        <v>114</v>
      </c>
      <c r="BE194" s="190">
        <f>IF(N194="základní",J194,0)</f>
        <v>0</v>
      </c>
      <c r="BF194" s="190">
        <f>IF(N194="snížená",J194,0)</f>
        <v>0</v>
      </c>
      <c r="BG194" s="190">
        <f>IF(N194="zákl. přenesená",J194,0)</f>
        <v>0</v>
      </c>
      <c r="BH194" s="190">
        <f>IF(N194="sníž. přenesená",J194,0)</f>
        <v>0</v>
      </c>
      <c r="BI194" s="190">
        <f>IF(N194="nulová",J194,0)</f>
        <v>0</v>
      </c>
      <c r="BJ194" s="81" t="s">
        <v>73</v>
      </c>
      <c r="BK194" s="190">
        <f>ROUND(I194*H194,2)</f>
        <v>0</v>
      </c>
      <c r="BL194" s="81" t="s">
        <v>119</v>
      </c>
      <c r="BM194" s="81" t="s">
        <v>905</v>
      </c>
    </row>
    <row r="195" spans="2:51" s="198" customFormat="1" ht="12">
      <c r="B195" s="191"/>
      <c r="D195" s="193" t="s">
        <v>121</v>
      </c>
      <c r="E195" s="194" t="s">
        <v>1</v>
      </c>
      <c r="F195" s="259" t="s">
        <v>193</v>
      </c>
      <c r="H195" s="194" t="s">
        <v>1</v>
      </c>
      <c r="I195" s="71"/>
      <c r="L195" s="191"/>
      <c r="M195" s="199"/>
      <c r="N195" s="200"/>
      <c r="O195" s="200"/>
      <c r="P195" s="200"/>
      <c r="Q195" s="200"/>
      <c r="R195" s="200"/>
      <c r="S195" s="200"/>
      <c r="T195" s="201"/>
      <c r="AT195" s="194" t="s">
        <v>121</v>
      </c>
      <c r="AU195" s="194" t="s">
        <v>76</v>
      </c>
      <c r="AV195" s="198" t="s">
        <v>73</v>
      </c>
      <c r="AW195" s="198" t="s">
        <v>32</v>
      </c>
      <c r="AX195" s="198" t="s">
        <v>68</v>
      </c>
      <c r="AY195" s="194" t="s">
        <v>114</v>
      </c>
    </row>
    <row r="196" spans="2:51" s="198" customFormat="1" ht="12">
      <c r="B196" s="191"/>
      <c r="D196" s="193" t="s">
        <v>121</v>
      </c>
      <c r="E196" s="194" t="s">
        <v>1</v>
      </c>
      <c r="F196" s="259" t="s">
        <v>194</v>
      </c>
      <c r="H196" s="194" t="s">
        <v>1</v>
      </c>
      <c r="I196" s="71"/>
      <c r="L196" s="191"/>
      <c r="M196" s="199"/>
      <c r="N196" s="200"/>
      <c r="O196" s="200"/>
      <c r="P196" s="200"/>
      <c r="Q196" s="200"/>
      <c r="R196" s="200"/>
      <c r="S196" s="200"/>
      <c r="T196" s="201"/>
      <c r="AT196" s="194" t="s">
        <v>121</v>
      </c>
      <c r="AU196" s="194" t="s">
        <v>76</v>
      </c>
      <c r="AV196" s="198" t="s">
        <v>73</v>
      </c>
      <c r="AW196" s="198" t="s">
        <v>32</v>
      </c>
      <c r="AX196" s="198" t="s">
        <v>68</v>
      </c>
      <c r="AY196" s="194" t="s">
        <v>114</v>
      </c>
    </row>
    <row r="197" spans="2:51" s="198" customFormat="1" ht="12">
      <c r="B197" s="191"/>
      <c r="D197" s="193" t="s">
        <v>121</v>
      </c>
      <c r="E197" s="194" t="s">
        <v>1</v>
      </c>
      <c r="F197" s="259" t="s">
        <v>195</v>
      </c>
      <c r="H197" s="194" t="s">
        <v>1</v>
      </c>
      <c r="I197" s="71"/>
      <c r="L197" s="191"/>
      <c r="M197" s="199"/>
      <c r="N197" s="200"/>
      <c r="O197" s="200"/>
      <c r="P197" s="200"/>
      <c r="Q197" s="200"/>
      <c r="R197" s="200"/>
      <c r="S197" s="200"/>
      <c r="T197" s="201"/>
      <c r="AT197" s="194" t="s">
        <v>121</v>
      </c>
      <c r="AU197" s="194" t="s">
        <v>76</v>
      </c>
      <c r="AV197" s="198" t="s">
        <v>73</v>
      </c>
      <c r="AW197" s="198" t="s">
        <v>32</v>
      </c>
      <c r="AX197" s="198" t="s">
        <v>68</v>
      </c>
      <c r="AY197" s="194" t="s">
        <v>114</v>
      </c>
    </row>
    <row r="198" spans="2:51" s="198" customFormat="1" ht="12">
      <c r="B198" s="191"/>
      <c r="D198" s="193" t="s">
        <v>121</v>
      </c>
      <c r="E198" s="194" t="s">
        <v>1</v>
      </c>
      <c r="F198" s="259" t="s">
        <v>196</v>
      </c>
      <c r="H198" s="194" t="s">
        <v>1</v>
      </c>
      <c r="I198" s="71"/>
      <c r="L198" s="191"/>
      <c r="M198" s="199"/>
      <c r="N198" s="200"/>
      <c r="O198" s="200"/>
      <c r="P198" s="200"/>
      <c r="Q198" s="200"/>
      <c r="R198" s="200"/>
      <c r="S198" s="200"/>
      <c r="T198" s="201"/>
      <c r="AT198" s="194" t="s">
        <v>121</v>
      </c>
      <c r="AU198" s="194" t="s">
        <v>76</v>
      </c>
      <c r="AV198" s="198" t="s">
        <v>73</v>
      </c>
      <c r="AW198" s="198" t="s">
        <v>32</v>
      </c>
      <c r="AX198" s="198" t="s">
        <v>68</v>
      </c>
      <c r="AY198" s="194" t="s">
        <v>114</v>
      </c>
    </row>
    <row r="199" spans="2:51" s="208" customFormat="1" ht="12">
      <c r="B199" s="202"/>
      <c r="D199" s="193" t="s">
        <v>121</v>
      </c>
      <c r="E199" s="204" t="s">
        <v>1</v>
      </c>
      <c r="F199" s="205" t="s">
        <v>1480</v>
      </c>
      <c r="H199" s="261">
        <f>(2+45.5+9+25.5+13.5+14.5-32-14)*3*0.3</f>
        <v>57.599999999999994</v>
      </c>
      <c r="I199" s="70"/>
      <c r="L199" s="202"/>
      <c r="M199" s="209"/>
      <c r="N199" s="210"/>
      <c r="O199" s="210"/>
      <c r="P199" s="210"/>
      <c r="Q199" s="210"/>
      <c r="R199" s="210"/>
      <c r="S199" s="210"/>
      <c r="T199" s="211"/>
      <c r="AT199" s="204" t="s">
        <v>121</v>
      </c>
      <c r="AU199" s="204" t="s">
        <v>76</v>
      </c>
      <c r="AV199" s="208" t="s">
        <v>76</v>
      </c>
      <c r="AW199" s="208" t="s">
        <v>32</v>
      </c>
      <c r="AX199" s="208" t="s">
        <v>68</v>
      </c>
      <c r="AY199" s="204" t="s">
        <v>114</v>
      </c>
    </row>
    <row r="200" spans="2:51" s="208" customFormat="1" ht="12">
      <c r="B200" s="202"/>
      <c r="D200" s="193" t="s">
        <v>121</v>
      </c>
      <c r="E200" s="204" t="s">
        <v>1</v>
      </c>
      <c r="F200" s="260" t="s">
        <v>906</v>
      </c>
      <c r="H200" s="261">
        <f>4*3*0.3</f>
        <v>3.5999999999999996</v>
      </c>
      <c r="I200" s="70"/>
      <c r="L200" s="202"/>
      <c r="M200" s="209"/>
      <c r="N200" s="210"/>
      <c r="O200" s="210"/>
      <c r="P200" s="210"/>
      <c r="Q200" s="210"/>
      <c r="R200" s="210"/>
      <c r="S200" s="210"/>
      <c r="T200" s="211"/>
      <c r="AT200" s="204" t="s">
        <v>121</v>
      </c>
      <c r="AU200" s="204" t="s">
        <v>76</v>
      </c>
      <c r="AV200" s="208" t="s">
        <v>76</v>
      </c>
      <c r="AW200" s="208" t="s">
        <v>32</v>
      </c>
      <c r="AX200" s="208" t="s">
        <v>68</v>
      </c>
      <c r="AY200" s="204" t="s">
        <v>114</v>
      </c>
    </row>
    <row r="201" spans="2:51" s="198" customFormat="1" ht="12">
      <c r="B201" s="191"/>
      <c r="D201" s="193" t="s">
        <v>121</v>
      </c>
      <c r="E201" s="194" t="s">
        <v>1</v>
      </c>
      <c r="F201" s="259" t="s">
        <v>907</v>
      </c>
      <c r="H201" s="194" t="s">
        <v>1</v>
      </c>
      <c r="I201" s="71"/>
      <c r="L201" s="191"/>
      <c r="M201" s="199"/>
      <c r="N201" s="200"/>
      <c r="O201" s="200"/>
      <c r="P201" s="200"/>
      <c r="Q201" s="200"/>
      <c r="R201" s="200"/>
      <c r="S201" s="200"/>
      <c r="T201" s="201"/>
      <c r="AT201" s="194" t="s">
        <v>121</v>
      </c>
      <c r="AU201" s="194" t="s">
        <v>76</v>
      </c>
      <c r="AV201" s="198" t="s">
        <v>73</v>
      </c>
      <c r="AW201" s="198" t="s">
        <v>32</v>
      </c>
      <c r="AX201" s="198" t="s">
        <v>68</v>
      </c>
      <c r="AY201" s="194" t="s">
        <v>114</v>
      </c>
    </row>
    <row r="202" spans="2:51" s="208" customFormat="1" ht="12">
      <c r="B202" s="202"/>
      <c r="D202" s="193" t="s">
        <v>121</v>
      </c>
      <c r="E202" s="204" t="s">
        <v>1</v>
      </c>
      <c r="F202" s="205" t="s">
        <v>1466</v>
      </c>
      <c r="G202" s="206"/>
      <c r="H202" s="207">
        <f>6*0.3*2</f>
        <v>3.5999999999999996</v>
      </c>
      <c r="I202" s="70"/>
      <c r="L202" s="202"/>
      <c r="M202" s="209"/>
      <c r="N202" s="210"/>
      <c r="O202" s="210"/>
      <c r="P202" s="210"/>
      <c r="Q202" s="210"/>
      <c r="R202" s="210"/>
      <c r="S202" s="210"/>
      <c r="T202" s="211"/>
      <c r="AT202" s="204" t="s">
        <v>121</v>
      </c>
      <c r="AU202" s="204" t="s">
        <v>76</v>
      </c>
      <c r="AV202" s="208" t="s">
        <v>76</v>
      </c>
      <c r="AW202" s="208" t="s">
        <v>32</v>
      </c>
      <c r="AX202" s="208" t="s">
        <v>68</v>
      </c>
      <c r="AY202" s="204" t="s">
        <v>114</v>
      </c>
    </row>
    <row r="203" spans="2:51" s="208" customFormat="1" ht="12">
      <c r="B203" s="202"/>
      <c r="D203" s="193" t="s">
        <v>121</v>
      </c>
      <c r="E203" s="204" t="s">
        <v>1</v>
      </c>
      <c r="F203" s="205" t="s">
        <v>1465</v>
      </c>
      <c r="G203" s="206"/>
      <c r="H203" s="207">
        <f>2.5*0.3*2</f>
        <v>1.5</v>
      </c>
      <c r="I203" s="70"/>
      <c r="L203" s="202"/>
      <c r="M203" s="209"/>
      <c r="N203" s="210"/>
      <c r="O203" s="210"/>
      <c r="P203" s="210"/>
      <c r="Q203" s="210"/>
      <c r="R203" s="210"/>
      <c r="S203" s="210"/>
      <c r="T203" s="211"/>
      <c r="AT203" s="204" t="s">
        <v>121</v>
      </c>
      <c r="AU203" s="204" t="s">
        <v>76</v>
      </c>
      <c r="AV203" s="208" t="s">
        <v>76</v>
      </c>
      <c r="AW203" s="208" t="s">
        <v>32</v>
      </c>
      <c r="AX203" s="208" t="s">
        <v>68</v>
      </c>
      <c r="AY203" s="204" t="s">
        <v>114</v>
      </c>
    </row>
    <row r="204" spans="2:51" s="228" customFormat="1" ht="12">
      <c r="B204" s="222"/>
      <c r="D204" s="193" t="s">
        <v>121</v>
      </c>
      <c r="E204" s="224" t="s">
        <v>1</v>
      </c>
      <c r="F204" s="225" t="s">
        <v>150</v>
      </c>
      <c r="G204" s="226"/>
      <c r="H204" s="227">
        <f>SUM(H199:H203)</f>
        <v>66.3</v>
      </c>
      <c r="I204" s="72"/>
      <c r="L204" s="222"/>
      <c r="M204" s="229"/>
      <c r="N204" s="230"/>
      <c r="O204" s="230"/>
      <c r="P204" s="230"/>
      <c r="Q204" s="230"/>
      <c r="R204" s="230"/>
      <c r="S204" s="230"/>
      <c r="T204" s="231"/>
      <c r="AT204" s="224" t="s">
        <v>121</v>
      </c>
      <c r="AU204" s="224" t="s">
        <v>76</v>
      </c>
      <c r="AV204" s="228" t="s">
        <v>119</v>
      </c>
      <c r="AW204" s="228" t="s">
        <v>32</v>
      </c>
      <c r="AX204" s="228" t="s">
        <v>73</v>
      </c>
      <c r="AY204" s="224" t="s">
        <v>114</v>
      </c>
    </row>
    <row r="205" spans="2:65" s="92" customFormat="1" ht="16.5" customHeight="1">
      <c r="B205" s="90"/>
      <c r="C205" s="178" t="s">
        <v>8</v>
      </c>
      <c r="D205" s="178" t="s">
        <v>116</v>
      </c>
      <c r="E205" s="179" t="s">
        <v>200</v>
      </c>
      <c r="F205" s="180" t="s">
        <v>201</v>
      </c>
      <c r="G205" s="181" t="s">
        <v>191</v>
      </c>
      <c r="H205" s="182">
        <v>79.36</v>
      </c>
      <c r="I205" s="69"/>
      <c r="J205" s="184">
        <f>ROUND(I205*H205,2)</f>
        <v>0</v>
      </c>
      <c r="K205" s="180" t="s">
        <v>154</v>
      </c>
      <c r="L205" s="90"/>
      <c r="M205" s="185" t="s">
        <v>1</v>
      </c>
      <c r="N205" s="186" t="s">
        <v>41</v>
      </c>
      <c r="O205" s="187"/>
      <c r="P205" s="188">
        <f>O205*H205</f>
        <v>0</v>
      </c>
      <c r="Q205" s="188">
        <v>0</v>
      </c>
      <c r="R205" s="188">
        <f>Q205*H205</f>
        <v>0</v>
      </c>
      <c r="S205" s="188">
        <v>0</v>
      </c>
      <c r="T205" s="189">
        <f>S205*H205</f>
        <v>0</v>
      </c>
      <c r="AR205" s="81" t="s">
        <v>119</v>
      </c>
      <c r="AT205" s="81" t="s">
        <v>116</v>
      </c>
      <c r="AU205" s="81" t="s">
        <v>76</v>
      </c>
      <c r="AY205" s="81" t="s">
        <v>114</v>
      </c>
      <c r="BE205" s="190">
        <f>IF(N205="základní",J205,0)</f>
        <v>0</v>
      </c>
      <c r="BF205" s="190">
        <f>IF(N205="snížená",J205,0)</f>
        <v>0</v>
      </c>
      <c r="BG205" s="190">
        <f>IF(N205="zákl. přenesená",J205,0)</f>
        <v>0</v>
      </c>
      <c r="BH205" s="190">
        <f>IF(N205="sníž. přenesená",J205,0)</f>
        <v>0</v>
      </c>
      <c r="BI205" s="190">
        <f>IF(N205="nulová",J205,0)</f>
        <v>0</v>
      </c>
      <c r="BJ205" s="81" t="s">
        <v>73</v>
      </c>
      <c r="BK205" s="190">
        <f>ROUND(I205*H205,2)</f>
        <v>0</v>
      </c>
      <c r="BL205" s="81" t="s">
        <v>119</v>
      </c>
      <c r="BM205" s="81" t="s">
        <v>909</v>
      </c>
    </row>
    <row r="206" spans="2:51" s="208" customFormat="1" ht="12">
      <c r="B206" s="202"/>
      <c r="D206" s="193" t="s">
        <v>121</v>
      </c>
      <c r="E206" s="204" t="s">
        <v>1</v>
      </c>
      <c r="F206" s="260" t="s">
        <v>910</v>
      </c>
      <c r="H206" s="261">
        <v>79.36</v>
      </c>
      <c r="I206" s="70"/>
      <c r="L206" s="202"/>
      <c r="M206" s="209"/>
      <c r="N206" s="210"/>
      <c r="O206" s="210"/>
      <c r="P206" s="210"/>
      <c r="Q206" s="210"/>
      <c r="R206" s="210"/>
      <c r="S206" s="210"/>
      <c r="T206" s="211"/>
      <c r="AT206" s="204" t="s">
        <v>121</v>
      </c>
      <c r="AU206" s="204" t="s">
        <v>76</v>
      </c>
      <c r="AV206" s="208" t="s">
        <v>76</v>
      </c>
      <c r="AW206" s="208" t="s">
        <v>32</v>
      </c>
      <c r="AX206" s="208" t="s">
        <v>68</v>
      </c>
      <c r="AY206" s="204" t="s">
        <v>114</v>
      </c>
    </row>
    <row r="207" spans="2:51" s="228" customFormat="1" ht="12">
      <c r="B207" s="222"/>
      <c r="D207" s="193" t="s">
        <v>121</v>
      </c>
      <c r="E207" s="224" t="s">
        <v>1</v>
      </c>
      <c r="F207" s="266" t="s">
        <v>150</v>
      </c>
      <c r="H207" s="264">
        <v>79.36</v>
      </c>
      <c r="I207" s="72"/>
      <c r="L207" s="222"/>
      <c r="M207" s="229"/>
      <c r="N207" s="230"/>
      <c r="O207" s="230"/>
      <c r="P207" s="230"/>
      <c r="Q207" s="230"/>
      <c r="R207" s="230"/>
      <c r="S207" s="230"/>
      <c r="T207" s="231"/>
      <c r="AT207" s="224" t="s">
        <v>121</v>
      </c>
      <c r="AU207" s="224" t="s">
        <v>76</v>
      </c>
      <c r="AV207" s="228" t="s">
        <v>119</v>
      </c>
      <c r="AW207" s="228" t="s">
        <v>32</v>
      </c>
      <c r="AX207" s="228" t="s">
        <v>73</v>
      </c>
      <c r="AY207" s="224" t="s">
        <v>114</v>
      </c>
    </row>
    <row r="208" spans="2:65" s="92" customFormat="1" ht="16.5" customHeight="1">
      <c r="B208" s="90"/>
      <c r="C208" s="178" t="s">
        <v>245</v>
      </c>
      <c r="D208" s="178" t="s">
        <v>116</v>
      </c>
      <c r="E208" s="179" t="s">
        <v>205</v>
      </c>
      <c r="F208" s="232" t="s">
        <v>206</v>
      </c>
      <c r="G208" s="181" t="s">
        <v>191</v>
      </c>
      <c r="H208" s="182">
        <f>H211</f>
        <v>375.08639999999997</v>
      </c>
      <c r="I208" s="69"/>
      <c r="J208" s="184">
        <f>ROUND(I208*H208,2)</f>
        <v>0</v>
      </c>
      <c r="K208" s="180" t="s">
        <v>154</v>
      </c>
      <c r="L208" s="90"/>
      <c r="M208" s="185" t="s">
        <v>1</v>
      </c>
      <c r="N208" s="186" t="s">
        <v>41</v>
      </c>
      <c r="O208" s="187"/>
      <c r="P208" s="188">
        <f>O208*H208</f>
        <v>0</v>
      </c>
      <c r="Q208" s="188">
        <v>0</v>
      </c>
      <c r="R208" s="188">
        <f>Q208*H208</f>
        <v>0</v>
      </c>
      <c r="S208" s="188">
        <v>0</v>
      </c>
      <c r="T208" s="189">
        <f>S208*H208</f>
        <v>0</v>
      </c>
      <c r="AR208" s="81" t="s">
        <v>119</v>
      </c>
      <c r="AT208" s="81" t="s">
        <v>116</v>
      </c>
      <c r="AU208" s="81" t="s">
        <v>76</v>
      </c>
      <c r="AY208" s="81" t="s">
        <v>114</v>
      </c>
      <c r="BE208" s="190">
        <f>IF(N208="základní",J208,0)</f>
        <v>0</v>
      </c>
      <c r="BF208" s="190">
        <f>IF(N208="snížená",J208,0)</f>
        <v>0</v>
      </c>
      <c r="BG208" s="190">
        <f>IF(N208="zákl. přenesená",J208,0)</f>
        <v>0</v>
      </c>
      <c r="BH208" s="190">
        <f>IF(N208="sníž. přenesená",J208,0)</f>
        <v>0</v>
      </c>
      <c r="BI208" s="190">
        <f>IF(N208="nulová",J208,0)</f>
        <v>0</v>
      </c>
      <c r="BJ208" s="81" t="s">
        <v>73</v>
      </c>
      <c r="BK208" s="190">
        <f>ROUND(I208*H208,2)</f>
        <v>0</v>
      </c>
      <c r="BL208" s="81" t="s">
        <v>119</v>
      </c>
      <c r="BM208" s="81" t="s">
        <v>911</v>
      </c>
    </row>
    <row r="209" spans="2:51" s="198" customFormat="1" ht="12">
      <c r="B209" s="191"/>
      <c r="D209" s="193" t="s">
        <v>121</v>
      </c>
      <c r="E209" s="194" t="s">
        <v>1</v>
      </c>
      <c r="F209" s="195" t="s">
        <v>208</v>
      </c>
      <c r="H209" s="194" t="s">
        <v>1</v>
      </c>
      <c r="I209" s="71"/>
      <c r="L209" s="191"/>
      <c r="M209" s="199"/>
      <c r="N209" s="200"/>
      <c r="O209" s="200"/>
      <c r="P209" s="200"/>
      <c r="Q209" s="200"/>
      <c r="R209" s="200"/>
      <c r="S209" s="200"/>
      <c r="T209" s="201"/>
      <c r="AT209" s="194" t="s">
        <v>121</v>
      </c>
      <c r="AU209" s="194" t="s">
        <v>76</v>
      </c>
      <c r="AV209" s="198" t="s">
        <v>73</v>
      </c>
      <c r="AW209" s="198" t="s">
        <v>32</v>
      </c>
      <c r="AX209" s="198" t="s">
        <v>68</v>
      </c>
      <c r="AY209" s="194" t="s">
        <v>114</v>
      </c>
    </row>
    <row r="210" spans="2:51" s="208" customFormat="1" ht="12">
      <c r="B210" s="202"/>
      <c r="D210" s="193" t="s">
        <v>121</v>
      </c>
      <c r="E210" s="204" t="s">
        <v>1</v>
      </c>
      <c r="F210" s="205" t="s">
        <v>1482</v>
      </c>
      <c r="H210" s="261">
        <f>625.144*0.6</f>
        <v>375.08639999999997</v>
      </c>
      <c r="I210" s="70"/>
      <c r="L210" s="202"/>
      <c r="M210" s="209"/>
      <c r="N210" s="210"/>
      <c r="O210" s="210"/>
      <c r="P210" s="210"/>
      <c r="Q210" s="210"/>
      <c r="R210" s="210"/>
      <c r="S210" s="210"/>
      <c r="T210" s="211"/>
      <c r="AT210" s="204" t="s">
        <v>121</v>
      </c>
      <c r="AU210" s="204" t="s">
        <v>76</v>
      </c>
      <c r="AV210" s="208" t="s">
        <v>76</v>
      </c>
      <c r="AW210" s="208" t="s">
        <v>32</v>
      </c>
      <c r="AX210" s="208" t="s">
        <v>68</v>
      </c>
      <c r="AY210" s="204" t="s">
        <v>114</v>
      </c>
    </row>
    <row r="211" spans="2:51" s="228" customFormat="1" ht="12">
      <c r="B211" s="222"/>
      <c r="D211" s="193" t="s">
        <v>121</v>
      </c>
      <c r="E211" s="224" t="s">
        <v>1</v>
      </c>
      <c r="F211" s="225" t="s">
        <v>150</v>
      </c>
      <c r="H211" s="264">
        <f>H210</f>
        <v>375.08639999999997</v>
      </c>
      <c r="I211" s="72"/>
      <c r="L211" s="222"/>
      <c r="M211" s="229"/>
      <c r="N211" s="230"/>
      <c r="O211" s="230"/>
      <c r="P211" s="230"/>
      <c r="Q211" s="230"/>
      <c r="R211" s="230"/>
      <c r="S211" s="230"/>
      <c r="T211" s="231"/>
      <c r="AT211" s="224" t="s">
        <v>121</v>
      </c>
      <c r="AU211" s="224" t="s">
        <v>76</v>
      </c>
      <c r="AV211" s="228" t="s">
        <v>119</v>
      </c>
      <c r="AW211" s="228" t="s">
        <v>32</v>
      </c>
      <c r="AX211" s="228" t="s">
        <v>73</v>
      </c>
      <c r="AY211" s="224" t="s">
        <v>114</v>
      </c>
    </row>
    <row r="212" spans="2:65" s="92" customFormat="1" ht="16.5" customHeight="1">
      <c r="B212" s="90"/>
      <c r="C212" s="178" t="s">
        <v>252</v>
      </c>
      <c r="D212" s="178" t="s">
        <v>116</v>
      </c>
      <c r="E212" s="179" t="s">
        <v>210</v>
      </c>
      <c r="F212" s="232" t="s">
        <v>211</v>
      </c>
      <c r="G212" s="181" t="s">
        <v>191</v>
      </c>
      <c r="H212" s="182">
        <f>H208</f>
        <v>375.08639999999997</v>
      </c>
      <c r="I212" s="69"/>
      <c r="J212" s="184">
        <f>ROUND(I212*H212,2)</f>
        <v>0</v>
      </c>
      <c r="K212" s="180" t="s">
        <v>154</v>
      </c>
      <c r="L212" s="90"/>
      <c r="M212" s="185" t="s">
        <v>1</v>
      </c>
      <c r="N212" s="186" t="s">
        <v>41</v>
      </c>
      <c r="O212" s="187"/>
      <c r="P212" s="188">
        <f>O212*H212</f>
        <v>0</v>
      </c>
      <c r="Q212" s="188">
        <v>0</v>
      </c>
      <c r="R212" s="188">
        <f>Q212*H212</f>
        <v>0</v>
      </c>
      <c r="S212" s="188">
        <v>0</v>
      </c>
      <c r="T212" s="189">
        <f>S212*H212</f>
        <v>0</v>
      </c>
      <c r="AR212" s="81" t="s">
        <v>119</v>
      </c>
      <c r="AT212" s="81" t="s">
        <v>116</v>
      </c>
      <c r="AU212" s="81" t="s">
        <v>76</v>
      </c>
      <c r="AY212" s="81" t="s">
        <v>114</v>
      </c>
      <c r="BE212" s="190">
        <f>IF(N212="základní",J212,0)</f>
        <v>0</v>
      </c>
      <c r="BF212" s="190">
        <f>IF(N212="snížená",J212,0)</f>
        <v>0</v>
      </c>
      <c r="BG212" s="190">
        <f>IF(N212="zákl. přenesená",J212,0)</f>
        <v>0</v>
      </c>
      <c r="BH212" s="190">
        <f>IF(N212="sníž. přenesená",J212,0)</f>
        <v>0</v>
      </c>
      <c r="BI212" s="190">
        <f>IF(N212="nulová",J212,0)</f>
        <v>0</v>
      </c>
      <c r="BJ212" s="81" t="s">
        <v>73</v>
      </c>
      <c r="BK212" s="190">
        <f>ROUND(I212*H212,2)</f>
        <v>0</v>
      </c>
      <c r="BL212" s="81" t="s">
        <v>119</v>
      </c>
      <c r="BM212" s="81" t="s">
        <v>912</v>
      </c>
    </row>
    <row r="213" spans="2:65" s="92" customFormat="1" ht="16.5" customHeight="1">
      <c r="B213" s="90"/>
      <c r="C213" s="178" t="s">
        <v>256</v>
      </c>
      <c r="D213" s="178" t="s">
        <v>116</v>
      </c>
      <c r="E213" s="179" t="s">
        <v>214</v>
      </c>
      <c r="F213" s="232" t="s">
        <v>215</v>
      </c>
      <c r="G213" s="181" t="s">
        <v>191</v>
      </c>
      <c r="H213" s="182">
        <f>H216</f>
        <v>250.0576</v>
      </c>
      <c r="I213" s="69"/>
      <c r="J213" s="184">
        <f>ROUND(I213*H213,2)</f>
        <v>0</v>
      </c>
      <c r="K213" s="180" t="s">
        <v>154</v>
      </c>
      <c r="L213" s="90"/>
      <c r="M213" s="185" t="s">
        <v>1</v>
      </c>
      <c r="N213" s="186" t="s">
        <v>41</v>
      </c>
      <c r="O213" s="187"/>
      <c r="P213" s="188">
        <f>O213*H213</f>
        <v>0</v>
      </c>
      <c r="Q213" s="188">
        <v>0</v>
      </c>
      <c r="R213" s="188">
        <f>Q213*H213</f>
        <v>0</v>
      </c>
      <c r="S213" s="188">
        <v>0</v>
      </c>
      <c r="T213" s="189">
        <f>S213*H213</f>
        <v>0</v>
      </c>
      <c r="AR213" s="81" t="s">
        <v>119</v>
      </c>
      <c r="AT213" s="81" t="s">
        <v>116</v>
      </c>
      <c r="AU213" s="81" t="s">
        <v>76</v>
      </c>
      <c r="AY213" s="81" t="s">
        <v>114</v>
      </c>
      <c r="BE213" s="190">
        <f>IF(N213="základní",J213,0)</f>
        <v>0</v>
      </c>
      <c r="BF213" s="190">
        <f>IF(N213="snížená",J213,0)</f>
        <v>0</v>
      </c>
      <c r="BG213" s="190">
        <f>IF(N213="zákl. přenesená",J213,0)</f>
        <v>0</v>
      </c>
      <c r="BH213" s="190">
        <f>IF(N213="sníž. přenesená",J213,0)</f>
        <v>0</v>
      </c>
      <c r="BI213" s="190">
        <f>IF(N213="nulová",J213,0)</f>
        <v>0</v>
      </c>
      <c r="BJ213" s="81" t="s">
        <v>73</v>
      </c>
      <c r="BK213" s="190">
        <f>ROUND(I213*H213,2)</f>
        <v>0</v>
      </c>
      <c r="BL213" s="81" t="s">
        <v>119</v>
      </c>
      <c r="BM213" s="81" t="s">
        <v>913</v>
      </c>
    </row>
    <row r="214" spans="2:51" s="198" customFormat="1" ht="12">
      <c r="B214" s="191"/>
      <c r="D214" s="193" t="s">
        <v>121</v>
      </c>
      <c r="E214" s="194" t="s">
        <v>1</v>
      </c>
      <c r="F214" s="195" t="s">
        <v>217</v>
      </c>
      <c r="H214" s="194" t="s">
        <v>1</v>
      </c>
      <c r="I214" s="71"/>
      <c r="L214" s="191"/>
      <c r="M214" s="199"/>
      <c r="N214" s="200"/>
      <c r="O214" s="200"/>
      <c r="P214" s="200"/>
      <c r="Q214" s="200"/>
      <c r="R214" s="200"/>
      <c r="S214" s="200"/>
      <c r="T214" s="201"/>
      <c r="AT214" s="194" t="s">
        <v>121</v>
      </c>
      <c r="AU214" s="194" t="s">
        <v>76</v>
      </c>
      <c r="AV214" s="198" t="s">
        <v>73</v>
      </c>
      <c r="AW214" s="198" t="s">
        <v>32</v>
      </c>
      <c r="AX214" s="198" t="s">
        <v>68</v>
      </c>
      <c r="AY214" s="194" t="s">
        <v>114</v>
      </c>
    </row>
    <row r="215" spans="2:51" s="208" customFormat="1" ht="12">
      <c r="B215" s="202"/>
      <c r="D215" s="193" t="s">
        <v>121</v>
      </c>
      <c r="E215" s="204" t="s">
        <v>1</v>
      </c>
      <c r="F215" s="205" t="s">
        <v>1483</v>
      </c>
      <c r="H215" s="261">
        <f>625.144*0.4</f>
        <v>250.0576</v>
      </c>
      <c r="I215" s="70"/>
      <c r="L215" s="202"/>
      <c r="M215" s="209"/>
      <c r="N215" s="210"/>
      <c r="O215" s="210"/>
      <c r="P215" s="210"/>
      <c r="Q215" s="210"/>
      <c r="R215" s="210"/>
      <c r="S215" s="210"/>
      <c r="T215" s="211"/>
      <c r="AT215" s="204" t="s">
        <v>121</v>
      </c>
      <c r="AU215" s="204" t="s">
        <v>76</v>
      </c>
      <c r="AV215" s="208" t="s">
        <v>76</v>
      </c>
      <c r="AW215" s="208" t="s">
        <v>32</v>
      </c>
      <c r="AX215" s="208" t="s">
        <v>68</v>
      </c>
      <c r="AY215" s="204" t="s">
        <v>114</v>
      </c>
    </row>
    <row r="216" spans="2:51" s="228" customFormat="1" ht="12">
      <c r="B216" s="222"/>
      <c r="D216" s="193" t="s">
        <v>121</v>
      </c>
      <c r="E216" s="224" t="s">
        <v>1</v>
      </c>
      <c r="F216" s="225" t="s">
        <v>150</v>
      </c>
      <c r="H216" s="264">
        <f>H215</f>
        <v>250.0576</v>
      </c>
      <c r="I216" s="72"/>
      <c r="L216" s="222"/>
      <c r="M216" s="229"/>
      <c r="N216" s="230"/>
      <c r="O216" s="230"/>
      <c r="P216" s="230"/>
      <c r="Q216" s="230"/>
      <c r="R216" s="230"/>
      <c r="S216" s="230"/>
      <c r="T216" s="231"/>
      <c r="AT216" s="224" t="s">
        <v>121</v>
      </c>
      <c r="AU216" s="224" t="s">
        <v>76</v>
      </c>
      <c r="AV216" s="228" t="s">
        <v>119</v>
      </c>
      <c r="AW216" s="228" t="s">
        <v>32</v>
      </c>
      <c r="AX216" s="228" t="s">
        <v>73</v>
      </c>
      <c r="AY216" s="224" t="s">
        <v>114</v>
      </c>
    </row>
    <row r="217" spans="2:65" s="92" customFormat="1" ht="16.5" customHeight="1">
      <c r="B217" s="90"/>
      <c r="C217" s="178" t="s">
        <v>260</v>
      </c>
      <c r="D217" s="178" t="s">
        <v>116</v>
      </c>
      <c r="E217" s="179" t="s">
        <v>219</v>
      </c>
      <c r="F217" s="232" t="s">
        <v>220</v>
      </c>
      <c r="G217" s="181" t="s">
        <v>191</v>
      </c>
      <c r="H217" s="182">
        <f>H213</f>
        <v>250.0576</v>
      </c>
      <c r="I217" s="69"/>
      <c r="J217" s="184">
        <f>ROUND(I217*H217,2)</f>
        <v>0</v>
      </c>
      <c r="K217" s="180" t="s">
        <v>154</v>
      </c>
      <c r="L217" s="90"/>
      <c r="M217" s="185" t="s">
        <v>1</v>
      </c>
      <c r="N217" s="186" t="s">
        <v>41</v>
      </c>
      <c r="O217" s="187"/>
      <c r="P217" s="188">
        <f>O217*H217</f>
        <v>0</v>
      </c>
      <c r="Q217" s="188">
        <v>0</v>
      </c>
      <c r="R217" s="188">
        <f>Q217*H217</f>
        <v>0</v>
      </c>
      <c r="S217" s="188">
        <v>0</v>
      </c>
      <c r="T217" s="189">
        <f>S217*H217</f>
        <v>0</v>
      </c>
      <c r="AR217" s="81" t="s">
        <v>119</v>
      </c>
      <c r="AT217" s="81" t="s">
        <v>116</v>
      </c>
      <c r="AU217" s="81" t="s">
        <v>76</v>
      </c>
      <c r="AY217" s="81" t="s">
        <v>114</v>
      </c>
      <c r="BE217" s="190">
        <f>IF(N217="základní",J217,0)</f>
        <v>0</v>
      </c>
      <c r="BF217" s="190">
        <f>IF(N217="snížená",J217,0)</f>
        <v>0</v>
      </c>
      <c r="BG217" s="190">
        <f>IF(N217="zákl. přenesená",J217,0)</f>
        <v>0</v>
      </c>
      <c r="BH217" s="190">
        <f>IF(N217="sníž. přenesená",J217,0)</f>
        <v>0</v>
      </c>
      <c r="BI217" s="190">
        <f>IF(N217="nulová",J217,0)</f>
        <v>0</v>
      </c>
      <c r="BJ217" s="81" t="s">
        <v>73</v>
      </c>
      <c r="BK217" s="190">
        <f>ROUND(I217*H217,2)</f>
        <v>0</v>
      </c>
      <c r="BL217" s="81" t="s">
        <v>119</v>
      </c>
      <c r="BM217" s="81" t="s">
        <v>914</v>
      </c>
    </row>
    <row r="218" spans="2:65" s="92" customFormat="1" ht="16.5" customHeight="1">
      <c r="B218" s="90"/>
      <c r="C218" s="178" t="s">
        <v>266</v>
      </c>
      <c r="D218" s="178" t="s">
        <v>116</v>
      </c>
      <c r="E218" s="179" t="s">
        <v>915</v>
      </c>
      <c r="F218" s="232" t="s">
        <v>916</v>
      </c>
      <c r="G218" s="181" t="s">
        <v>176</v>
      </c>
      <c r="H218" s="182">
        <v>26</v>
      </c>
      <c r="I218" s="69"/>
      <c r="J218" s="184">
        <f>ROUND(I218*H218,2)</f>
        <v>0</v>
      </c>
      <c r="K218" s="180" t="s">
        <v>154</v>
      </c>
      <c r="L218" s="90"/>
      <c r="M218" s="185" t="s">
        <v>1</v>
      </c>
      <c r="N218" s="186" t="s">
        <v>41</v>
      </c>
      <c r="O218" s="187"/>
      <c r="P218" s="188">
        <f>O218*H218</f>
        <v>0</v>
      </c>
      <c r="Q218" s="188">
        <v>0</v>
      </c>
      <c r="R218" s="188">
        <f>Q218*H218</f>
        <v>0</v>
      </c>
      <c r="S218" s="188">
        <v>0</v>
      </c>
      <c r="T218" s="189">
        <f>S218*H218</f>
        <v>0</v>
      </c>
      <c r="AR218" s="81" t="s">
        <v>119</v>
      </c>
      <c r="AT218" s="81" t="s">
        <v>116</v>
      </c>
      <c r="AU218" s="81" t="s">
        <v>76</v>
      </c>
      <c r="AY218" s="81" t="s">
        <v>114</v>
      </c>
      <c r="BE218" s="190">
        <f>IF(N218="základní",J218,0)</f>
        <v>0</v>
      </c>
      <c r="BF218" s="190">
        <f>IF(N218="snížená",J218,0)</f>
        <v>0</v>
      </c>
      <c r="BG218" s="190">
        <f>IF(N218="zákl. přenesená",J218,0)</f>
        <v>0</v>
      </c>
      <c r="BH218" s="190">
        <f>IF(N218="sníž. přenesená",J218,0)</f>
        <v>0</v>
      </c>
      <c r="BI218" s="190">
        <f>IF(N218="nulová",J218,0)</f>
        <v>0</v>
      </c>
      <c r="BJ218" s="81" t="s">
        <v>73</v>
      </c>
      <c r="BK218" s="190">
        <f>ROUND(I218*H218,2)</f>
        <v>0</v>
      </c>
      <c r="BL218" s="81" t="s">
        <v>119</v>
      </c>
      <c r="BM218" s="81" t="s">
        <v>917</v>
      </c>
    </row>
    <row r="219" spans="2:51" s="208" customFormat="1" ht="12">
      <c r="B219" s="202"/>
      <c r="D219" s="193" t="s">
        <v>121</v>
      </c>
      <c r="E219" s="204" t="s">
        <v>1</v>
      </c>
      <c r="F219" s="260" t="s">
        <v>918</v>
      </c>
      <c r="H219" s="261">
        <v>26</v>
      </c>
      <c r="I219" s="70"/>
      <c r="L219" s="202"/>
      <c r="M219" s="209"/>
      <c r="N219" s="210"/>
      <c r="O219" s="210"/>
      <c r="P219" s="210"/>
      <c r="Q219" s="210"/>
      <c r="R219" s="210"/>
      <c r="S219" s="210"/>
      <c r="T219" s="211"/>
      <c r="AT219" s="204" t="s">
        <v>121</v>
      </c>
      <c r="AU219" s="204" t="s">
        <v>76</v>
      </c>
      <c r="AV219" s="208" t="s">
        <v>76</v>
      </c>
      <c r="AW219" s="208" t="s">
        <v>32</v>
      </c>
      <c r="AX219" s="208" t="s">
        <v>68</v>
      </c>
      <c r="AY219" s="204" t="s">
        <v>114</v>
      </c>
    </row>
    <row r="220" spans="2:51" s="228" customFormat="1" ht="12">
      <c r="B220" s="222"/>
      <c r="D220" s="193" t="s">
        <v>121</v>
      </c>
      <c r="E220" s="224" t="s">
        <v>1</v>
      </c>
      <c r="F220" s="266" t="s">
        <v>150</v>
      </c>
      <c r="H220" s="264">
        <v>26</v>
      </c>
      <c r="I220" s="72"/>
      <c r="L220" s="222"/>
      <c r="M220" s="229"/>
      <c r="N220" s="230"/>
      <c r="O220" s="230"/>
      <c r="P220" s="230"/>
      <c r="Q220" s="230"/>
      <c r="R220" s="230"/>
      <c r="S220" s="230"/>
      <c r="T220" s="231"/>
      <c r="AT220" s="224" t="s">
        <v>121</v>
      </c>
      <c r="AU220" s="224" t="s">
        <v>76</v>
      </c>
      <c r="AV220" s="228" t="s">
        <v>119</v>
      </c>
      <c r="AW220" s="228" t="s">
        <v>32</v>
      </c>
      <c r="AX220" s="228" t="s">
        <v>73</v>
      </c>
      <c r="AY220" s="224" t="s">
        <v>114</v>
      </c>
    </row>
    <row r="221" spans="2:65" s="92" customFormat="1" ht="16.5" customHeight="1">
      <c r="B221" s="90"/>
      <c r="C221" s="247" t="s">
        <v>7</v>
      </c>
      <c r="D221" s="247" t="s">
        <v>319</v>
      </c>
      <c r="E221" s="248" t="s">
        <v>919</v>
      </c>
      <c r="F221" s="253" t="s">
        <v>920</v>
      </c>
      <c r="G221" s="262" t="s">
        <v>176</v>
      </c>
      <c r="H221" s="263">
        <v>26.78</v>
      </c>
      <c r="I221" s="76"/>
      <c r="J221" s="252">
        <f>ROUND(I221*H221,2)</f>
        <v>0</v>
      </c>
      <c r="K221" s="253" t="s">
        <v>154</v>
      </c>
      <c r="L221" s="254"/>
      <c r="M221" s="255" t="s">
        <v>1</v>
      </c>
      <c r="N221" s="256" t="s">
        <v>41</v>
      </c>
      <c r="O221" s="187"/>
      <c r="P221" s="188">
        <f>O221*H221</f>
        <v>0</v>
      </c>
      <c r="Q221" s="188">
        <v>0.04536</v>
      </c>
      <c r="R221" s="188">
        <f>Q221*H221</f>
        <v>1.2147408</v>
      </c>
      <c r="S221" s="188">
        <v>0</v>
      </c>
      <c r="T221" s="189">
        <f>S221*H221</f>
        <v>0</v>
      </c>
      <c r="AR221" s="81" t="s">
        <v>183</v>
      </c>
      <c r="AT221" s="81" t="s">
        <v>319</v>
      </c>
      <c r="AU221" s="81" t="s">
        <v>76</v>
      </c>
      <c r="AY221" s="81" t="s">
        <v>114</v>
      </c>
      <c r="BE221" s="190">
        <f>IF(N221="základní",J221,0)</f>
        <v>0</v>
      </c>
      <c r="BF221" s="190">
        <f>IF(N221="snížená",J221,0)</f>
        <v>0</v>
      </c>
      <c r="BG221" s="190">
        <f>IF(N221="zákl. přenesená",J221,0)</f>
        <v>0</v>
      </c>
      <c r="BH221" s="190">
        <f>IF(N221="sníž. přenesená",J221,0)</f>
        <v>0</v>
      </c>
      <c r="BI221" s="190">
        <f>IF(N221="nulová",J221,0)</f>
        <v>0</v>
      </c>
      <c r="BJ221" s="81" t="s">
        <v>73</v>
      </c>
      <c r="BK221" s="190">
        <f>ROUND(I221*H221,2)</f>
        <v>0</v>
      </c>
      <c r="BL221" s="81" t="s">
        <v>119</v>
      </c>
      <c r="BM221" s="81" t="s">
        <v>921</v>
      </c>
    </row>
    <row r="222" spans="2:51" s="208" customFormat="1" ht="12">
      <c r="B222" s="202"/>
      <c r="D222" s="193" t="s">
        <v>121</v>
      </c>
      <c r="F222" s="260" t="s">
        <v>922</v>
      </c>
      <c r="H222" s="261">
        <v>26.78</v>
      </c>
      <c r="I222" s="70"/>
      <c r="L222" s="202"/>
      <c r="M222" s="209"/>
      <c r="N222" s="210"/>
      <c r="O222" s="210"/>
      <c r="P222" s="210"/>
      <c r="Q222" s="210"/>
      <c r="R222" s="210"/>
      <c r="S222" s="210"/>
      <c r="T222" s="211"/>
      <c r="AT222" s="204" t="s">
        <v>121</v>
      </c>
      <c r="AU222" s="204" t="s">
        <v>76</v>
      </c>
      <c r="AV222" s="208" t="s">
        <v>76</v>
      </c>
      <c r="AW222" s="208" t="s">
        <v>3</v>
      </c>
      <c r="AX222" s="208" t="s">
        <v>73</v>
      </c>
      <c r="AY222" s="204" t="s">
        <v>114</v>
      </c>
    </row>
    <row r="223" spans="2:65" s="92" customFormat="1" ht="16.5" customHeight="1">
      <c r="B223" s="90"/>
      <c r="C223" s="178" t="s">
        <v>292</v>
      </c>
      <c r="D223" s="178" t="s">
        <v>116</v>
      </c>
      <c r="E223" s="179" t="s">
        <v>222</v>
      </c>
      <c r="F223" s="180" t="s">
        <v>223</v>
      </c>
      <c r="G223" s="181" t="s">
        <v>153</v>
      </c>
      <c r="H223" s="182">
        <f>H274</f>
        <v>2037.0599999999997</v>
      </c>
      <c r="I223" s="69"/>
      <c r="J223" s="184">
        <f>ROUND(I223*H223,2)</f>
        <v>0</v>
      </c>
      <c r="K223" s="180" t="s">
        <v>154</v>
      </c>
      <c r="L223" s="90"/>
      <c r="M223" s="185" t="s">
        <v>1</v>
      </c>
      <c r="N223" s="186" t="s">
        <v>41</v>
      </c>
      <c r="O223" s="187"/>
      <c r="P223" s="188">
        <f>O223*H223</f>
        <v>0</v>
      </c>
      <c r="Q223" s="188">
        <v>0.00084</v>
      </c>
      <c r="R223" s="188">
        <f>Q223*H223</f>
        <v>1.7111303999999998</v>
      </c>
      <c r="S223" s="188">
        <v>0</v>
      </c>
      <c r="T223" s="189">
        <f>S223*H223</f>
        <v>0</v>
      </c>
      <c r="AR223" s="81" t="s">
        <v>119</v>
      </c>
      <c r="AT223" s="81" t="s">
        <v>116</v>
      </c>
      <c r="AU223" s="81" t="s">
        <v>76</v>
      </c>
      <c r="AY223" s="81" t="s">
        <v>114</v>
      </c>
      <c r="BE223" s="190">
        <f>IF(N223="základní",J223,0)</f>
        <v>0</v>
      </c>
      <c r="BF223" s="190">
        <f>IF(N223="snížená",J223,0)</f>
        <v>0</v>
      </c>
      <c r="BG223" s="190">
        <f>IF(N223="zákl. přenesená",J223,0)</f>
        <v>0</v>
      </c>
      <c r="BH223" s="190">
        <f>IF(N223="sníž. přenesená",J223,0)</f>
        <v>0</v>
      </c>
      <c r="BI223" s="190">
        <f>IF(N223="nulová",J223,0)</f>
        <v>0</v>
      </c>
      <c r="BJ223" s="81" t="s">
        <v>73</v>
      </c>
      <c r="BK223" s="190">
        <f>ROUND(I223*H223,2)</f>
        <v>0</v>
      </c>
      <c r="BL223" s="81" t="s">
        <v>119</v>
      </c>
      <c r="BM223" s="81" t="s">
        <v>930</v>
      </c>
    </row>
    <row r="224" spans="2:51" s="198" customFormat="1" ht="12">
      <c r="B224" s="191"/>
      <c r="D224" s="193" t="s">
        <v>121</v>
      </c>
      <c r="E224" s="194" t="s">
        <v>1</v>
      </c>
      <c r="F224" s="259" t="s">
        <v>819</v>
      </c>
      <c r="H224" s="194" t="s">
        <v>1</v>
      </c>
      <c r="I224" s="71"/>
      <c r="L224" s="191"/>
      <c r="M224" s="199"/>
      <c r="N224" s="200"/>
      <c r="O224" s="200"/>
      <c r="P224" s="200"/>
      <c r="Q224" s="200"/>
      <c r="R224" s="200"/>
      <c r="S224" s="200"/>
      <c r="T224" s="201"/>
      <c r="AT224" s="194" t="s">
        <v>121</v>
      </c>
      <c r="AU224" s="194" t="s">
        <v>76</v>
      </c>
      <c r="AV224" s="198" t="s">
        <v>73</v>
      </c>
      <c r="AW224" s="198" t="s">
        <v>32</v>
      </c>
      <c r="AX224" s="198" t="s">
        <v>68</v>
      </c>
      <c r="AY224" s="194" t="s">
        <v>114</v>
      </c>
    </row>
    <row r="225" spans="2:51" s="208" customFormat="1" ht="12">
      <c r="B225" s="202"/>
      <c r="D225" s="193" t="s">
        <v>121</v>
      </c>
      <c r="E225" s="204" t="s">
        <v>1</v>
      </c>
      <c r="F225" s="260" t="s">
        <v>943</v>
      </c>
      <c r="H225" s="261">
        <v>67.158</v>
      </c>
      <c r="I225" s="70"/>
      <c r="L225" s="202"/>
      <c r="M225" s="209"/>
      <c r="N225" s="210"/>
      <c r="O225" s="210"/>
      <c r="P225" s="210"/>
      <c r="Q225" s="210"/>
      <c r="R225" s="210"/>
      <c r="S225" s="210"/>
      <c r="T225" s="211"/>
      <c r="AT225" s="204" t="s">
        <v>121</v>
      </c>
      <c r="AU225" s="204" t="s">
        <v>76</v>
      </c>
      <c r="AV225" s="208" t="s">
        <v>76</v>
      </c>
      <c r="AW225" s="208" t="s">
        <v>32</v>
      </c>
      <c r="AX225" s="208" t="s">
        <v>68</v>
      </c>
      <c r="AY225" s="204" t="s">
        <v>114</v>
      </c>
    </row>
    <row r="226" spans="2:51" s="208" customFormat="1" ht="12">
      <c r="B226" s="202"/>
      <c r="D226" s="193" t="s">
        <v>121</v>
      </c>
      <c r="E226" s="204" t="s">
        <v>1</v>
      </c>
      <c r="F226" s="260" t="s">
        <v>944</v>
      </c>
      <c r="H226" s="261">
        <v>78.442</v>
      </c>
      <c r="I226" s="70"/>
      <c r="L226" s="202"/>
      <c r="M226" s="209"/>
      <c r="N226" s="210"/>
      <c r="O226" s="210"/>
      <c r="P226" s="210"/>
      <c r="Q226" s="210"/>
      <c r="R226" s="210"/>
      <c r="S226" s="210"/>
      <c r="T226" s="211"/>
      <c r="AT226" s="204" t="s">
        <v>121</v>
      </c>
      <c r="AU226" s="204" t="s">
        <v>76</v>
      </c>
      <c r="AV226" s="208" t="s">
        <v>76</v>
      </c>
      <c r="AW226" s="208" t="s">
        <v>32</v>
      </c>
      <c r="AX226" s="208" t="s">
        <v>68</v>
      </c>
      <c r="AY226" s="204" t="s">
        <v>114</v>
      </c>
    </row>
    <row r="227" spans="2:51" s="208" customFormat="1" ht="12">
      <c r="B227" s="202"/>
      <c r="D227" s="193" t="s">
        <v>121</v>
      </c>
      <c r="E227" s="204" t="s">
        <v>1</v>
      </c>
      <c r="F227" s="260" t="s">
        <v>945</v>
      </c>
      <c r="H227" s="261">
        <v>64.225</v>
      </c>
      <c r="I227" s="70"/>
      <c r="L227" s="202"/>
      <c r="M227" s="209"/>
      <c r="N227" s="210"/>
      <c r="O227" s="210"/>
      <c r="P227" s="210"/>
      <c r="Q227" s="210"/>
      <c r="R227" s="210"/>
      <c r="S227" s="210"/>
      <c r="T227" s="211"/>
      <c r="AT227" s="204" t="s">
        <v>121</v>
      </c>
      <c r="AU227" s="204" t="s">
        <v>76</v>
      </c>
      <c r="AV227" s="208" t="s">
        <v>76</v>
      </c>
      <c r="AW227" s="208" t="s">
        <v>32</v>
      </c>
      <c r="AX227" s="208" t="s">
        <v>68</v>
      </c>
      <c r="AY227" s="204" t="s">
        <v>114</v>
      </c>
    </row>
    <row r="228" spans="2:51" s="208" customFormat="1" ht="12">
      <c r="B228" s="202"/>
      <c r="D228" s="193" t="s">
        <v>121</v>
      </c>
      <c r="E228" s="204" t="s">
        <v>1</v>
      </c>
      <c r="F228" s="260" t="s">
        <v>946</v>
      </c>
      <c r="H228" s="261">
        <v>52.78</v>
      </c>
      <c r="I228" s="70"/>
      <c r="L228" s="202"/>
      <c r="M228" s="209"/>
      <c r="N228" s="210"/>
      <c r="O228" s="210"/>
      <c r="P228" s="210"/>
      <c r="Q228" s="210"/>
      <c r="R228" s="210"/>
      <c r="S228" s="210"/>
      <c r="T228" s="211"/>
      <c r="AT228" s="204" t="s">
        <v>121</v>
      </c>
      <c r="AU228" s="204" t="s">
        <v>76</v>
      </c>
      <c r="AV228" s="208" t="s">
        <v>76</v>
      </c>
      <c r="AW228" s="208" t="s">
        <v>32</v>
      </c>
      <c r="AX228" s="208" t="s">
        <v>68</v>
      </c>
      <c r="AY228" s="204" t="s">
        <v>114</v>
      </c>
    </row>
    <row r="229" spans="2:51" s="208" customFormat="1" ht="12">
      <c r="B229" s="202"/>
      <c r="D229" s="193" t="s">
        <v>121</v>
      </c>
      <c r="E229" s="204" t="s">
        <v>1</v>
      </c>
      <c r="F229" s="260" t="s">
        <v>947</v>
      </c>
      <c r="H229" s="261">
        <v>67.155</v>
      </c>
      <c r="I229" s="70"/>
      <c r="L229" s="202"/>
      <c r="M229" s="209"/>
      <c r="N229" s="210"/>
      <c r="O229" s="210"/>
      <c r="P229" s="210"/>
      <c r="Q229" s="210"/>
      <c r="R229" s="210"/>
      <c r="S229" s="210"/>
      <c r="T229" s="211"/>
      <c r="AT229" s="204" t="s">
        <v>121</v>
      </c>
      <c r="AU229" s="204" t="s">
        <v>76</v>
      </c>
      <c r="AV229" s="208" t="s">
        <v>76</v>
      </c>
      <c r="AW229" s="208" t="s">
        <v>32</v>
      </c>
      <c r="AX229" s="208" t="s">
        <v>68</v>
      </c>
      <c r="AY229" s="204" t="s">
        <v>114</v>
      </c>
    </row>
    <row r="230" spans="2:51" s="208" customFormat="1" ht="12">
      <c r="B230" s="202"/>
      <c r="D230" s="193" t="s">
        <v>121</v>
      </c>
      <c r="E230" s="204" t="s">
        <v>1</v>
      </c>
      <c r="F230" s="260" t="s">
        <v>948</v>
      </c>
      <c r="H230" s="261">
        <v>76.65</v>
      </c>
      <c r="I230" s="70"/>
      <c r="L230" s="202"/>
      <c r="M230" s="209"/>
      <c r="N230" s="210"/>
      <c r="O230" s="210"/>
      <c r="P230" s="210"/>
      <c r="Q230" s="210"/>
      <c r="R230" s="210"/>
      <c r="S230" s="210"/>
      <c r="T230" s="211"/>
      <c r="AT230" s="204" t="s">
        <v>121</v>
      </c>
      <c r="AU230" s="204" t="s">
        <v>76</v>
      </c>
      <c r="AV230" s="208" t="s">
        <v>76</v>
      </c>
      <c r="AW230" s="208" t="s">
        <v>32</v>
      </c>
      <c r="AX230" s="208" t="s">
        <v>68</v>
      </c>
      <c r="AY230" s="204" t="s">
        <v>114</v>
      </c>
    </row>
    <row r="231" spans="2:51" s="208" customFormat="1" ht="12">
      <c r="B231" s="202"/>
      <c r="D231" s="193" t="s">
        <v>121</v>
      </c>
      <c r="E231" s="204" t="s">
        <v>1</v>
      </c>
      <c r="F231" s="260" t="s">
        <v>949</v>
      </c>
      <c r="H231" s="261">
        <v>94.282</v>
      </c>
      <c r="I231" s="70"/>
      <c r="L231" s="202"/>
      <c r="M231" s="209"/>
      <c r="N231" s="210"/>
      <c r="O231" s="210"/>
      <c r="P231" s="210"/>
      <c r="Q231" s="210"/>
      <c r="R231" s="210"/>
      <c r="S231" s="210"/>
      <c r="T231" s="211"/>
      <c r="AT231" s="204" t="s">
        <v>121</v>
      </c>
      <c r="AU231" s="204" t="s">
        <v>76</v>
      </c>
      <c r="AV231" s="208" t="s">
        <v>76</v>
      </c>
      <c r="AW231" s="208" t="s">
        <v>32</v>
      </c>
      <c r="AX231" s="208" t="s">
        <v>68</v>
      </c>
      <c r="AY231" s="204" t="s">
        <v>114</v>
      </c>
    </row>
    <row r="232" spans="2:51" s="208" customFormat="1" ht="12">
      <c r="B232" s="202"/>
      <c r="D232" s="193" t="s">
        <v>121</v>
      </c>
      <c r="E232" s="204" t="s">
        <v>1</v>
      </c>
      <c r="F232" s="260" t="s">
        <v>950</v>
      </c>
      <c r="H232" s="261">
        <v>66.066</v>
      </c>
      <c r="I232" s="70"/>
      <c r="L232" s="202"/>
      <c r="M232" s="209"/>
      <c r="N232" s="210"/>
      <c r="O232" s="210"/>
      <c r="P232" s="210"/>
      <c r="Q232" s="210"/>
      <c r="R232" s="210"/>
      <c r="S232" s="210"/>
      <c r="T232" s="211"/>
      <c r="AT232" s="204" t="s">
        <v>121</v>
      </c>
      <c r="AU232" s="204" t="s">
        <v>76</v>
      </c>
      <c r="AV232" s="208" t="s">
        <v>76</v>
      </c>
      <c r="AW232" s="208" t="s">
        <v>32</v>
      </c>
      <c r="AX232" s="208" t="s">
        <v>68</v>
      </c>
      <c r="AY232" s="204" t="s">
        <v>114</v>
      </c>
    </row>
    <row r="233" spans="2:51" s="208" customFormat="1" ht="12">
      <c r="B233" s="202"/>
      <c r="D233" s="193" t="s">
        <v>121</v>
      </c>
      <c r="E233" s="204" t="s">
        <v>1</v>
      </c>
      <c r="F233" s="260" t="s">
        <v>951</v>
      </c>
      <c r="H233" s="261">
        <v>52.344</v>
      </c>
      <c r="I233" s="70"/>
      <c r="L233" s="202"/>
      <c r="M233" s="209"/>
      <c r="N233" s="210"/>
      <c r="O233" s="210"/>
      <c r="P233" s="210"/>
      <c r="Q233" s="210"/>
      <c r="R233" s="210"/>
      <c r="S233" s="210"/>
      <c r="T233" s="211"/>
      <c r="AT233" s="204" t="s">
        <v>121</v>
      </c>
      <c r="AU233" s="204" t="s">
        <v>76</v>
      </c>
      <c r="AV233" s="208" t="s">
        <v>76</v>
      </c>
      <c r="AW233" s="208" t="s">
        <v>32</v>
      </c>
      <c r="AX233" s="208" t="s">
        <v>68</v>
      </c>
      <c r="AY233" s="204" t="s">
        <v>114</v>
      </c>
    </row>
    <row r="234" spans="2:51" s="208" customFormat="1" ht="12">
      <c r="B234" s="202"/>
      <c r="D234" s="193" t="s">
        <v>121</v>
      </c>
      <c r="E234" s="204" t="s">
        <v>1</v>
      </c>
      <c r="F234" s="260" t="s">
        <v>952</v>
      </c>
      <c r="H234" s="261">
        <v>70.2</v>
      </c>
      <c r="I234" s="70"/>
      <c r="L234" s="202"/>
      <c r="M234" s="209"/>
      <c r="N234" s="210"/>
      <c r="O234" s="210"/>
      <c r="P234" s="210"/>
      <c r="Q234" s="210"/>
      <c r="R234" s="210"/>
      <c r="S234" s="210"/>
      <c r="T234" s="211"/>
      <c r="AT234" s="204" t="s">
        <v>121</v>
      </c>
      <c r="AU234" s="204" t="s">
        <v>76</v>
      </c>
      <c r="AV234" s="208" t="s">
        <v>76</v>
      </c>
      <c r="AW234" s="208" t="s">
        <v>32</v>
      </c>
      <c r="AX234" s="208" t="s">
        <v>68</v>
      </c>
      <c r="AY234" s="204" t="s">
        <v>114</v>
      </c>
    </row>
    <row r="235" spans="2:51" s="208" customFormat="1" ht="12">
      <c r="B235" s="202"/>
      <c r="D235" s="193" t="s">
        <v>121</v>
      </c>
      <c r="E235" s="204" t="s">
        <v>1</v>
      </c>
      <c r="F235" s="260" t="s">
        <v>953</v>
      </c>
      <c r="H235" s="261">
        <v>58.03</v>
      </c>
      <c r="I235" s="70"/>
      <c r="L235" s="202"/>
      <c r="M235" s="209"/>
      <c r="N235" s="210"/>
      <c r="O235" s="210"/>
      <c r="P235" s="210"/>
      <c r="Q235" s="210"/>
      <c r="R235" s="210"/>
      <c r="S235" s="210"/>
      <c r="T235" s="211"/>
      <c r="AT235" s="204" t="s">
        <v>121</v>
      </c>
      <c r="AU235" s="204" t="s">
        <v>76</v>
      </c>
      <c r="AV235" s="208" t="s">
        <v>76</v>
      </c>
      <c r="AW235" s="208" t="s">
        <v>32</v>
      </c>
      <c r="AX235" s="208" t="s">
        <v>68</v>
      </c>
      <c r="AY235" s="204" t="s">
        <v>114</v>
      </c>
    </row>
    <row r="236" spans="2:51" s="208" customFormat="1" ht="12">
      <c r="B236" s="202"/>
      <c r="D236" s="193" t="s">
        <v>121</v>
      </c>
      <c r="E236" s="204" t="s">
        <v>1</v>
      </c>
      <c r="F236" s="260" t="s">
        <v>954</v>
      </c>
      <c r="H236" s="261">
        <v>77.346</v>
      </c>
      <c r="I236" s="70"/>
      <c r="L236" s="202"/>
      <c r="M236" s="209"/>
      <c r="N236" s="210"/>
      <c r="O236" s="210"/>
      <c r="P236" s="210"/>
      <c r="Q236" s="210"/>
      <c r="R236" s="210"/>
      <c r="S236" s="210"/>
      <c r="T236" s="211"/>
      <c r="AT236" s="204" t="s">
        <v>121</v>
      </c>
      <c r="AU236" s="204" t="s">
        <v>76</v>
      </c>
      <c r="AV236" s="208" t="s">
        <v>76</v>
      </c>
      <c r="AW236" s="208" t="s">
        <v>32</v>
      </c>
      <c r="AX236" s="208" t="s">
        <v>68</v>
      </c>
      <c r="AY236" s="204" t="s">
        <v>114</v>
      </c>
    </row>
    <row r="237" spans="2:51" s="208" customFormat="1" ht="12">
      <c r="B237" s="202"/>
      <c r="D237" s="193" t="s">
        <v>121</v>
      </c>
      <c r="E237" s="204" t="s">
        <v>1</v>
      </c>
      <c r="F237" s="260" t="s">
        <v>955</v>
      </c>
      <c r="H237" s="261">
        <v>66.835</v>
      </c>
      <c r="I237" s="70"/>
      <c r="L237" s="202"/>
      <c r="M237" s="209"/>
      <c r="N237" s="210"/>
      <c r="O237" s="210"/>
      <c r="P237" s="210"/>
      <c r="Q237" s="210"/>
      <c r="R237" s="210"/>
      <c r="S237" s="210"/>
      <c r="T237" s="211"/>
      <c r="AT237" s="204" t="s">
        <v>121</v>
      </c>
      <c r="AU237" s="204" t="s">
        <v>76</v>
      </c>
      <c r="AV237" s="208" t="s">
        <v>76</v>
      </c>
      <c r="AW237" s="208" t="s">
        <v>32</v>
      </c>
      <c r="AX237" s="208" t="s">
        <v>68</v>
      </c>
      <c r="AY237" s="204" t="s">
        <v>114</v>
      </c>
    </row>
    <row r="238" spans="2:51" s="208" customFormat="1" ht="12">
      <c r="B238" s="202"/>
      <c r="D238" s="193" t="s">
        <v>121</v>
      </c>
      <c r="E238" s="204" t="s">
        <v>1</v>
      </c>
      <c r="F238" s="260" t="s">
        <v>956</v>
      </c>
      <c r="H238" s="261">
        <v>35.7</v>
      </c>
      <c r="I238" s="70"/>
      <c r="L238" s="202"/>
      <c r="M238" s="209"/>
      <c r="N238" s="210"/>
      <c r="O238" s="210"/>
      <c r="P238" s="210"/>
      <c r="Q238" s="210"/>
      <c r="R238" s="210"/>
      <c r="S238" s="210"/>
      <c r="T238" s="211"/>
      <c r="AT238" s="204" t="s">
        <v>121</v>
      </c>
      <c r="AU238" s="204" t="s">
        <v>76</v>
      </c>
      <c r="AV238" s="208" t="s">
        <v>76</v>
      </c>
      <c r="AW238" s="208" t="s">
        <v>32</v>
      </c>
      <c r="AX238" s="208" t="s">
        <v>68</v>
      </c>
      <c r="AY238" s="204" t="s">
        <v>114</v>
      </c>
    </row>
    <row r="239" spans="2:51" s="208" customFormat="1" ht="12">
      <c r="B239" s="202"/>
      <c r="D239" s="193" t="s">
        <v>121</v>
      </c>
      <c r="E239" s="204" t="s">
        <v>1</v>
      </c>
      <c r="F239" s="260" t="s">
        <v>957</v>
      </c>
      <c r="H239" s="261">
        <v>56.543</v>
      </c>
      <c r="I239" s="70"/>
      <c r="L239" s="202"/>
      <c r="M239" s="209"/>
      <c r="N239" s="210"/>
      <c r="O239" s="210"/>
      <c r="P239" s="210"/>
      <c r="Q239" s="210"/>
      <c r="R239" s="210"/>
      <c r="S239" s="210"/>
      <c r="T239" s="211"/>
      <c r="AT239" s="204" t="s">
        <v>121</v>
      </c>
      <c r="AU239" s="204" t="s">
        <v>76</v>
      </c>
      <c r="AV239" s="208" t="s">
        <v>76</v>
      </c>
      <c r="AW239" s="208" t="s">
        <v>32</v>
      </c>
      <c r="AX239" s="208" t="s">
        <v>68</v>
      </c>
      <c r="AY239" s="204" t="s">
        <v>114</v>
      </c>
    </row>
    <row r="240" spans="2:51" s="208" customFormat="1" ht="12">
      <c r="B240" s="202"/>
      <c r="D240" s="193" t="s">
        <v>121</v>
      </c>
      <c r="E240" s="204" t="s">
        <v>1</v>
      </c>
      <c r="F240" s="260" t="s">
        <v>958</v>
      </c>
      <c r="H240" s="261">
        <v>96.93</v>
      </c>
      <c r="I240" s="70"/>
      <c r="L240" s="202"/>
      <c r="M240" s="209"/>
      <c r="N240" s="210"/>
      <c r="O240" s="210"/>
      <c r="P240" s="210"/>
      <c r="Q240" s="210"/>
      <c r="R240" s="210"/>
      <c r="S240" s="210"/>
      <c r="T240" s="211"/>
      <c r="AT240" s="204" t="s">
        <v>121</v>
      </c>
      <c r="AU240" s="204" t="s">
        <v>76</v>
      </c>
      <c r="AV240" s="208" t="s">
        <v>76</v>
      </c>
      <c r="AW240" s="208" t="s">
        <v>32</v>
      </c>
      <c r="AX240" s="208" t="s">
        <v>68</v>
      </c>
      <c r="AY240" s="204" t="s">
        <v>114</v>
      </c>
    </row>
    <row r="241" spans="2:51" s="198" customFormat="1" ht="12">
      <c r="B241" s="191"/>
      <c r="D241" s="193" t="s">
        <v>121</v>
      </c>
      <c r="E241" s="194" t="s">
        <v>1</v>
      </c>
      <c r="F241" s="259" t="s">
        <v>804</v>
      </c>
      <c r="H241" s="194" t="s">
        <v>1</v>
      </c>
      <c r="I241" s="71"/>
      <c r="L241" s="191"/>
      <c r="M241" s="199"/>
      <c r="N241" s="200"/>
      <c r="O241" s="200"/>
      <c r="P241" s="200"/>
      <c r="Q241" s="200"/>
      <c r="R241" s="200"/>
      <c r="S241" s="200"/>
      <c r="T241" s="201"/>
      <c r="AT241" s="194" t="s">
        <v>121</v>
      </c>
      <c r="AU241" s="194" t="s">
        <v>76</v>
      </c>
      <c r="AV241" s="198" t="s">
        <v>73</v>
      </c>
      <c r="AW241" s="198" t="s">
        <v>32</v>
      </c>
      <c r="AX241" s="198" t="s">
        <v>68</v>
      </c>
      <c r="AY241" s="194" t="s">
        <v>114</v>
      </c>
    </row>
    <row r="242" spans="2:51" s="208" customFormat="1" ht="12">
      <c r="B242" s="202"/>
      <c r="D242" s="193" t="s">
        <v>121</v>
      </c>
      <c r="E242" s="204" t="s">
        <v>1</v>
      </c>
      <c r="F242" s="260" t="s">
        <v>959</v>
      </c>
      <c r="H242" s="261">
        <v>30.6</v>
      </c>
      <c r="I242" s="70"/>
      <c r="L242" s="202"/>
      <c r="M242" s="209"/>
      <c r="N242" s="210"/>
      <c r="O242" s="210"/>
      <c r="P242" s="210"/>
      <c r="Q242" s="210"/>
      <c r="R242" s="210"/>
      <c r="S242" s="210"/>
      <c r="T242" s="211"/>
      <c r="AT242" s="204" t="s">
        <v>121</v>
      </c>
      <c r="AU242" s="204" t="s">
        <v>76</v>
      </c>
      <c r="AV242" s="208" t="s">
        <v>76</v>
      </c>
      <c r="AW242" s="208" t="s">
        <v>32</v>
      </c>
      <c r="AX242" s="208" t="s">
        <v>68</v>
      </c>
      <c r="AY242" s="204" t="s">
        <v>114</v>
      </c>
    </row>
    <row r="243" spans="2:51" s="208" customFormat="1" ht="12">
      <c r="B243" s="202"/>
      <c r="D243" s="193" t="s">
        <v>121</v>
      </c>
      <c r="E243" s="204" t="s">
        <v>1</v>
      </c>
      <c r="F243" s="260" t="s">
        <v>960</v>
      </c>
      <c r="H243" s="261">
        <v>16.2</v>
      </c>
      <c r="I243" s="70"/>
      <c r="L243" s="202"/>
      <c r="M243" s="209"/>
      <c r="N243" s="210"/>
      <c r="O243" s="210"/>
      <c r="P243" s="210"/>
      <c r="Q243" s="210"/>
      <c r="R243" s="210"/>
      <c r="S243" s="210"/>
      <c r="T243" s="211"/>
      <c r="AT243" s="204" t="s">
        <v>121</v>
      </c>
      <c r="AU243" s="204" t="s">
        <v>76</v>
      </c>
      <c r="AV243" s="208" t="s">
        <v>76</v>
      </c>
      <c r="AW243" s="208" t="s">
        <v>32</v>
      </c>
      <c r="AX243" s="208" t="s">
        <v>68</v>
      </c>
      <c r="AY243" s="204" t="s">
        <v>114</v>
      </c>
    </row>
    <row r="244" spans="2:51" s="208" customFormat="1" ht="12">
      <c r="B244" s="202"/>
      <c r="D244" s="193" t="s">
        <v>121</v>
      </c>
      <c r="E244" s="204" t="s">
        <v>1</v>
      </c>
      <c r="F244" s="260" t="s">
        <v>961</v>
      </c>
      <c r="H244" s="261">
        <v>-36.36</v>
      </c>
      <c r="I244" s="70"/>
      <c r="L244" s="202"/>
      <c r="M244" s="209"/>
      <c r="N244" s="210"/>
      <c r="O244" s="210"/>
      <c r="P244" s="210"/>
      <c r="Q244" s="210"/>
      <c r="R244" s="210"/>
      <c r="S244" s="210"/>
      <c r="T244" s="211"/>
      <c r="AT244" s="204" t="s">
        <v>121</v>
      </c>
      <c r="AU244" s="204" t="s">
        <v>76</v>
      </c>
      <c r="AV244" s="208" t="s">
        <v>76</v>
      </c>
      <c r="AW244" s="208" t="s">
        <v>32</v>
      </c>
      <c r="AX244" s="208" t="s">
        <v>68</v>
      </c>
      <c r="AY244" s="204" t="s">
        <v>114</v>
      </c>
    </row>
    <row r="245" spans="2:51" s="198" customFormat="1" ht="12">
      <c r="B245" s="191"/>
      <c r="D245" s="193" t="s">
        <v>121</v>
      </c>
      <c r="E245" s="194" t="s">
        <v>1</v>
      </c>
      <c r="F245" s="259" t="s">
        <v>809</v>
      </c>
      <c r="H245" s="194" t="s">
        <v>1</v>
      </c>
      <c r="I245" s="71"/>
      <c r="L245" s="191"/>
      <c r="M245" s="199"/>
      <c r="N245" s="200"/>
      <c r="O245" s="200"/>
      <c r="P245" s="200"/>
      <c r="Q245" s="200"/>
      <c r="R245" s="200"/>
      <c r="S245" s="200"/>
      <c r="T245" s="201"/>
      <c r="AT245" s="194" t="s">
        <v>121</v>
      </c>
      <c r="AU245" s="194" t="s">
        <v>76</v>
      </c>
      <c r="AV245" s="198" t="s">
        <v>73</v>
      </c>
      <c r="AW245" s="198" t="s">
        <v>32</v>
      </c>
      <c r="AX245" s="198" t="s">
        <v>68</v>
      </c>
      <c r="AY245" s="194" t="s">
        <v>114</v>
      </c>
    </row>
    <row r="246" spans="2:51" s="208" customFormat="1" ht="12">
      <c r="B246" s="202"/>
      <c r="D246" s="193" t="s">
        <v>121</v>
      </c>
      <c r="E246" s="204" t="s">
        <v>1</v>
      </c>
      <c r="F246" s="260" t="s">
        <v>962</v>
      </c>
      <c r="H246" s="261">
        <v>94.34</v>
      </c>
      <c r="I246" s="70"/>
      <c r="L246" s="202"/>
      <c r="M246" s="209"/>
      <c r="N246" s="210"/>
      <c r="O246" s="210"/>
      <c r="P246" s="210"/>
      <c r="Q246" s="210"/>
      <c r="R246" s="210"/>
      <c r="S246" s="210"/>
      <c r="T246" s="211"/>
      <c r="AT246" s="204" t="s">
        <v>121</v>
      </c>
      <c r="AU246" s="204" t="s">
        <v>76</v>
      </c>
      <c r="AV246" s="208" t="s">
        <v>76</v>
      </c>
      <c r="AW246" s="208" t="s">
        <v>32</v>
      </c>
      <c r="AX246" s="208" t="s">
        <v>68</v>
      </c>
      <c r="AY246" s="204" t="s">
        <v>114</v>
      </c>
    </row>
    <row r="247" spans="2:51" s="208" customFormat="1" ht="12">
      <c r="B247" s="202"/>
      <c r="D247" s="193" t="s">
        <v>121</v>
      </c>
      <c r="E247" s="204" t="s">
        <v>1</v>
      </c>
      <c r="F247" s="260" t="s">
        <v>963</v>
      </c>
      <c r="H247" s="261">
        <v>58.56</v>
      </c>
      <c r="I247" s="70"/>
      <c r="L247" s="202"/>
      <c r="M247" s="209"/>
      <c r="N247" s="210"/>
      <c r="O247" s="210"/>
      <c r="P247" s="210"/>
      <c r="Q247" s="210"/>
      <c r="R247" s="210"/>
      <c r="S247" s="210"/>
      <c r="T247" s="211"/>
      <c r="AT247" s="204" t="s">
        <v>121</v>
      </c>
      <c r="AU247" s="204" t="s">
        <v>76</v>
      </c>
      <c r="AV247" s="208" t="s">
        <v>76</v>
      </c>
      <c r="AW247" s="208" t="s">
        <v>32</v>
      </c>
      <c r="AX247" s="208" t="s">
        <v>68</v>
      </c>
      <c r="AY247" s="204" t="s">
        <v>114</v>
      </c>
    </row>
    <row r="248" spans="2:51" s="208" customFormat="1" ht="12">
      <c r="B248" s="202"/>
      <c r="D248" s="193" t="s">
        <v>121</v>
      </c>
      <c r="E248" s="204" t="s">
        <v>1</v>
      </c>
      <c r="F248" s="260" t="s">
        <v>964</v>
      </c>
      <c r="H248" s="261">
        <v>42.975</v>
      </c>
      <c r="I248" s="70"/>
      <c r="L248" s="202"/>
      <c r="M248" s="209"/>
      <c r="N248" s="210"/>
      <c r="O248" s="210"/>
      <c r="P248" s="210"/>
      <c r="Q248" s="210"/>
      <c r="R248" s="210"/>
      <c r="S248" s="210"/>
      <c r="T248" s="211"/>
      <c r="AT248" s="204" t="s">
        <v>121</v>
      </c>
      <c r="AU248" s="204" t="s">
        <v>76</v>
      </c>
      <c r="AV248" s="208" t="s">
        <v>76</v>
      </c>
      <c r="AW248" s="208" t="s">
        <v>32</v>
      </c>
      <c r="AX248" s="208" t="s">
        <v>68</v>
      </c>
      <c r="AY248" s="204" t="s">
        <v>114</v>
      </c>
    </row>
    <row r="249" spans="2:51" s="208" customFormat="1" ht="12">
      <c r="B249" s="202"/>
      <c r="D249" s="193" t="s">
        <v>121</v>
      </c>
      <c r="E249" s="204" t="s">
        <v>1</v>
      </c>
      <c r="F249" s="260" t="s">
        <v>965</v>
      </c>
      <c r="H249" s="261">
        <v>75.33</v>
      </c>
      <c r="I249" s="70"/>
      <c r="L249" s="202"/>
      <c r="M249" s="209"/>
      <c r="N249" s="210"/>
      <c r="O249" s="210"/>
      <c r="P249" s="210"/>
      <c r="Q249" s="210"/>
      <c r="R249" s="210"/>
      <c r="S249" s="210"/>
      <c r="T249" s="211"/>
      <c r="AT249" s="204" t="s">
        <v>121</v>
      </c>
      <c r="AU249" s="204" t="s">
        <v>76</v>
      </c>
      <c r="AV249" s="208" t="s">
        <v>76</v>
      </c>
      <c r="AW249" s="208" t="s">
        <v>32</v>
      </c>
      <c r="AX249" s="208" t="s">
        <v>68</v>
      </c>
      <c r="AY249" s="204" t="s">
        <v>114</v>
      </c>
    </row>
    <row r="250" spans="2:51" s="208" customFormat="1" ht="12">
      <c r="B250" s="202"/>
      <c r="D250" s="193" t="s">
        <v>121</v>
      </c>
      <c r="E250" s="204" t="s">
        <v>1</v>
      </c>
      <c r="F250" s="260" t="s">
        <v>966</v>
      </c>
      <c r="H250" s="261">
        <v>81.948</v>
      </c>
      <c r="I250" s="70"/>
      <c r="L250" s="202"/>
      <c r="M250" s="209"/>
      <c r="N250" s="210"/>
      <c r="O250" s="210"/>
      <c r="P250" s="210"/>
      <c r="Q250" s="210"/>
      <c r="R250" s="210"/>
      <c r="S250" s="210"/>
      <c r="T250" s="211"/>
      <c r="AT250" s="204" t="s">
        <v>121</v>
      </c>
      <c r="AU250" s="204" t="s">
        <v>76</v>
      </c>
      <c r="AV250" s="208" t="s">
        <v>76</v>
      </c>
      <c r="AW250" s="208" t="s">
        <v>32</v>
      </c>
      <c r="AX250" s="208" t="s">
        <v>68</v>
      </c>
      <c r="AY250" s="204" t="s">
        <v>114</v>
      </c>
    </row>
    <row r="251" spans="2:51" s="208" customFormat="1" ht="12">
      <c r="B251" s="202"/>
      <c r="D251" s="193" t="s">
        <v>121</v>
      </c>
      <c r="E251" s="204" t="s">
        <v>1</v>
      </c>
      <c r="F251" s="260" t="s">
        <v>967</v>
      </c>
      <c r="H251" s="261">
        <v>45.124</v>
      </c>
      <c r="I251" s="70"/>
      <c r="L251" s="202"/>
      <c r="M251" s="209"/>
      <c r="N251" s="210"/>
      <c r="O251" s="210"/>
      <c r="P251" s="210"/>
      <c r="Q251" s="210"/>
      <c r="R251" s="210"/>
      <c r="S251" s="210"/>
      <c r="T251" s="211"/>
      <c r="AT251" s="204" t="s">
        <v>121</v>
      </c>
      <c r="AU251" s="204" t="s">
        <v>76</v>
      </c>
      <c r="AV251" s="208" t="s">
        <v>76</v>
      </c>
      <c r="AW251" s="208" t="s">
        <v>32</v>
      </c>
      <c r="AX251" s="208" t="s">
        <v>68</v>
      </c>
      <c r="AY251" s="204" t="s">
        <v>114</v>
      </c>
    </row>
    <row r="252" spans="2:51" s="208" customFormat="1" ht="12">
      <c r="B252" s="202"/>
      <c r="D252" s="193" t="s">
        <v>121</v>
      </c>
      <c r="E252" s="204" t="s">
        <v>1</v>
      </c>
      <c r="F252" s="260" t="s">
        <v>968</v>
      </c>
      <c r="H252" s="261">
        <v>44.006</v>
      </c>
      <c r="I252" s="70"/>
      <c r="L252" s="202"/>
      <c r="M252" s="209"/>
      <c r="N252" s="210"/>
      <c r="O252" s="210"/>
      <c r="P252" s="210"/>
      <c r="Q252" s="210"/>
      <c r="R252" s="210"/>
      <c r="S252" s="210"/>
      <c r="T252" s="211"/>
      <c r="AT252" s="204" t="s">
        <v>121</v>
      </c>
      <c r="AU252" s="204" t="s">
        <v>76</v>
      </c>
      <c r="AV252" s="208" t="s">
        <v>76</v>
      </c>
      <c r="AW252" s="208" t="s">
        <v>32</v>
      </c>
      <c r="AX252" s="208" t="s">
        <v>68</v>
      </c>
      <c r="AY252" s="204" t="s">
        <v>114</v>
      </c>
    </row>
    <row r="253" spans="2:51" s="198" customFormat="1" ht="12">
      <c r="B253" s="191"/>
      <c r="D253" s="193" t="s">
        <v>121</v>
      </c>
      <c r="E253" s="194" t="s">
        <v>1</v>
      </c>
      <c r="F253" s="259" t="s">
        <v>804</v>
      </c>
      <c r="H253" s="194" t="s">
        <v>1</v>
      </c>
      <c r="I253" s="71"/>
      <c r="L253" s="191"/>
      <c r="M253" s="199"/>
      <c r="N253" s="200"/>
      <c r="O253" s="200"/>
      <c r="P253" s="200"/>
      <c r="Q253" s="200"/>
      <c r="R253" s="200"/>
      <c r="S253" s="200"/>
      <c r="T253" s="201"/>
      <c r="AT253" s="194" t="s">
        <v>121</v>
      </c>
      <c r="AU253" s="194" t="s">
        <v>76</v>
      </c>
      <c r="AV253" s="198" t="s">
        <v>73</v>
      </c>
      <c r="AW253" s="198" t="s">
        <v>32</v>
      </c>
      <c r="AX253" s="198" t="s">
        <v>68</v>
      </c>
      <c r="AY253" s="194" t="s">
        <v>114</v>
      </c>
    </row>
    <row r="254" spans="2:51" s="208" customFormat="1" ht="12">
      <c r="B254" s="202"/>
      <c r="D254" s="193" t="s">
        <v>121</v>
      </c>
      <c r="E254" s="204" t="s">
        <v>1</v>
      </c>
      <c r="F254" s="260" t="s">
        <v>969</v>
      </c>
      <c r="H254" s="261">
        <v>30.24</v>
      </c>
      <c r="I254" s="70"/>
      <c r="L254" s="202"/>
      <c r="M254" s="209"/>
      <c r="N254" s="210"/>
      <c r="O254" s="210"/>
      <c r="P254" s="210"/>
      <c r="Q254" s="210"/>
      <c r="R254" s="210"/>
      <c r="S254" s="210"/>
      <c r="T254" s="211"/>
      <c r="AT254" s="204" t="s">
        <v>121</v>
      </c>
      <c r="AU254" s="204" t="s">
        <v>76</v>
      </c>
      <c r="AV254" s="208" t="s">
        <v>76</v>
      </c>
      <c r="AW254" s="208" t="s">
        <v>32</v>
      </c>
      <c r="AX254" s="208" t="s">
        <v>68</v>
      </c>
      <c r="AY254" s="204" t="s">
        <v>114</v>
      </c>
    </row>
    <row r="255" spans="2:51" s="208" customFormat="1" ht="12">
      <c r="B255" s="202"/>
      <c r="D255" s="193" t="s">
        <v>121</v>
      </c>
      <c r="E255" s="204" t="s">
        <v>1</v>
      </c>
      <c r="F255" s="260" t="s">
        <v>970</v>
      </c>
      <c r="H255" s="261">
        <v>16.11</v>
      </c>
      <c r="I255" s="70"/>
      <c r="L255" s="202"/>
      <c r="M255" s="209"/>
      <c r="N255" s="210"/>
      <c r="O255" s="210"/>
      <c r="P255" s="210"/>
      <c r="Q255" s="210"/>
      <c r="R255" s="210"/>
      <c r="S255" s="210"/>
      <c r="T255" s="211"/>
      <c r="AT255" s="204" t="s">
        <v>121</v>
      </c>
      <c r="AU255" s="204" t="s">
        <v>76</v>
      </c>
      <c r="AV255" s="208" t="s">
        <v>76</v>
      </c>
      <c r="AW255" s="208" t="s">
        <v>32</v>
      </c>
      <c r="AX255" s="208" t="s">
        <v>68</v>
      </c>
      <c r="AY255" s="204" t="s">
        <v>114</v>
      </c>
    </row>
    <row r="256" spans="2:51" s="208" customFormat="1" ht="12">
      <c r="B256" s="202"/>
      <c r="D256" s="193" t="s">
        <v>121</v>
      </c>
      <c r="E256" s="204" t="s">
        <v>1</v>
      </c>
      <c r="F256" s="260" t="s">
        <v>971</v>
      </c>
      <c r="H256" s="261">
        <v>-25.704</v>
      </c>
      <c r="I256" s="70"/>
      <c r="L256" s="202"/>
      <c r="M256" s="209"/>
      <c r="N256" s="210"/>
      <c r="O256" s="210"/>
      <c r="P256" s="210"/>
      <c r="Q256" s="210"/>
      <c r="R256" s="210"/>
      <c r="S256" s="210"/>
      <c r="T256" s="211"/>
      <c r="AT256" s="204" t="s">
        <v>121</v>
      </c>
      <c r="AU256" s="204" t="s">
        <v>76</v>
      </c>
      <c r="AV256" s="208" t="s">
        <v>76</v>
      </c>
      <c r="AW256" s="208" t="s">
        <v>32</v>
      </c>
      <c r="AX256" s="208" t="s">
        <v>68</v>
      </c>
      <c r="AY256" s="204" t="s">
        <v>114</v>
      </c>
    </row>
    <row r="257" spans="2:51" s="198" customFormat="1" ht="12">
      <c r="B257" s="191"/>
      <c r="D257" s="193" t="s">
        <v>121</v>
      </c>
      <c r="E257" s="194" t="s">
        <v>1</v>
      </c>
      <c r="F257" s="259" t="s">
        <v>849</v>
      </c>
      <c r="H257" s="194" t="s">
        <v>1</v>
      </c>
      <c r="I257" s="71"/>
      <c r="L257" s="191"/>
      <c r="M257" s="199"/>
      <c r="N257" s="200"/>
      <c r="O257" s="200"/>
      <c r="P257" s="200"/>
      <c r="Q257" s="200"/>
      <c r="R257" s="200"/>
      <c r="S257" s="200"/>
      <c r="T257" s="201"/>
      <c r="AT257" s="194" t="s">
        <v>121</v>
      </c>
      <c r="AU257" s="194" t="s">
        <v>76</v>
      </c>
      <c r="AV257" s="198" t="s">
        <v>73</v>
      </c>
      <c r="AW257" s="198" t="s">
        <v>32</v>
      </c>
      <c r="AX257" s="198" t="s">
        <v>68</v>
      </c>
      <c r="AY257" s="194" t="s">
        <v>114</v>
      </c>
    </row>
    <row r="258" spans="2:51" s="198" customFormat="1" ht="12">
      <c r="B258" s="191"/>
      <c r="D258" s="193" t="s">
        <v>121</v>
      </c>
      <c r="E258" s="194" t="s">
        <v>1</v>
      </c>
      <c r="F258" s="259" t="s">
        <v>804</v>
      </c>
      <c r="H258" s="194" t="s">
        <v>1</v>
      </c>
      <c r="I258" s="71"/>
      <c r="L258" s="191"/>
      <c r="M258" s="199"/>
      <c r="N258" s="200"/>
      <c r="O258" s="200"/>
      <c r="P258" s="200"/>
      <c r="Q258" s="200"/>
      <c r="R258" s="200"/>
      <c r="S258" s="200"/>
      <c r="T258" s="201"/>
      <c r="AT258" s="194" t="s">
        <v>121</v>
      </c>
      <c r="AU258" s="194" t="s">
        <v>76</v>
      </c>
      <c r="AV258" s="198" t="s">
        <v>73</v>
      </c>
      <c r="AW258" s="198" t="s">
        <v>32</v>
      </c>
      <c r="AX258" s="198" t="s">
        <v>68</v>
      </c>
      <c r="AY258" s="194" t="s">
        <v>114</v>
      </c>
    </row>
    <row r="259" spans="2:51" s="208" customFormat="1" ht="12">
      <c r="B259" s="202"/>
      <c r="D259" s="193" t="s">
        <v>121</v>
      </c>
      <c r="E259" s="204" t="s">
        <v>1</v>
      </c>
      <c r="F259" s="260" t="s">
        <v>972</v>
      </c>
      <c r="H259" s="261">
        <v>29.12</v>
      </c>
      <c r="I259" s="70"/>
      <c r="L259" s="202"/>
      <c r="M259" s="209"/>
      <c r="N259" s="210"/>
      <c r="O259" s="210"/>
      <c r="P259" s="210"/>
      <c r="Q259" s="210"/>
      <c r="R259" s="210"/>
      <c r="S259" s="210"/>
      <c r="T259" s="211"/>
      <c r="AT259" s="204" t="s">
        <v>121</v>
      </c>
      <c r="AU259" s="204" t="s">
        <v>76</v>
      </c>
      <c r="AV259" s="208" t="s">
        <v>76</v>
      </c>
      <c r="AW259" s="208" t="s">
        <v>32</v>
      </c>
      <c r="AX259" s="208" t="s">
        <v>68</v>
      </c>
      <c r="AY259" s="204" t="s">
        <v>114</v>
      </c>
    </row>
    <row r="260" spans="2:51" s="208" customFormat="1" ht="12">
      <c r="B260" s="202"/>
      <c r="D260" s="193" t="s">
        <v>121</v>
      </c>
      <c r="E260" s="204" t="s">
        <v>1</v>
      </c>
      <c r="F260" s="260" t="s">
        <v>973</v>
      </c>
      <c r="H260" s="261">
        <v>15.3</v>
      </c>
      <c r="I260" s="70"/>
      <c r="L260" s="202"/>
      <c r="M260" s="209"/>
      <c r="N260" s="210"/>
      <c r="O260" s="210"/>
      <c r="P260" s="210"/>
      <c r="Q260" s="210"/>
      <c r="R260" s="210"/>
      <c r="S260" s="210"/>
      <c r="T260" s="211"/>
      <c r="AT260" s="204" t="s">
        <v>121</v>
      </c>
      <c r="AU260" s="204" t="s">
        <v>76</v>
      </c>
      <c r="AV260" s="208" t="s">
        <v>76</v>
      </c>
      <c r="AW260" s="208" t="s">
        <v>32</v>
      </c>
      <c r="AX260" s="208" t="s">
        <v>68</v>
      </c>
      <c r="AY260" s="204" t="s">
        <v>114</v>
      </c>
    </row>
    <row r="261" spans="2:51" s="198" customFormat="1" ht="12">
      <c r="B261" s="191"/>
      <c r="D261" s="193" t="s">
        <v>121</v>
      </c>
      <c r="E261" s="194" t="s">
        <v>1</v>
      </c>
      <c r="F261" s="259" t="s">
        <v>852</v>
      </c>
      <c r="H261" s="194" t="s">
        <v>1</v>
      </c>
      <c r="I261" s="71"/>
      <c r="L261" s="191"/>
      <c r="M261" s="199"/>
      <c r="N261" s="200"/>
      <c r="O261" s="200"/>
      <c r="P261" s="200"/>
      <c r="Q261" s="200"/>
      <c r="R261" s="200"/>
      <c r="S261" s="200"/>
      <c r="T261" s="201"/>
      <c r="AT261" s="194" t="s">
        <v>121</v>
      </c>
      <c r="AU261" s="194" t="s">
        <v>76</v>
      </c>
      <c r="AV261" s="198" t="s">
        <v>73</v>
      </c>
      <c r="AW261" s="198" t="s">
        <v>32</v>
      </c>
      <c r="AX261" s="198" t="s">
        <v>68</v>
      </c>
      <c r="AY261" s="194" t="s">
        <v>114</v>
      </c>
    </row>
    <row r="262" spans="2:51" s="208" customFormat="1" ht="12">
      <c r="B262" s="202"/>
      <c r="D262" s="193" t="s">
        <v>121</v>
      </c>
      <c r="E262" s="204" t="s">
        <v>1</v>
      </c>
      <c r="F262" s="260" t="s">
        <v>974</v>
      </c>
      <c r="H262" s="261">
        <v>8.5</v>
      </c>
      <c r="I262" s="70"/>
      <c r="L262" s="202"/>
      <c r="M262" s="209"/>
      <c r="N262" s="210"/>
      <c r="O262" s="210"/>
      <c r="P262" s="210"/>
      <c r="Q262" s="210"/>
      <c r="R262" s="210"/>
      <c r="S262" s="210"/>
      <c r="T262" s="211"/>
      <c r="AT262" s="204" t="s">
        <v>121</v>
      </c>
      <c r="AU262" s="204" t="s">
        <v>76</v>
      </c>
      <c r="AV262" s="208" t="s">
        <v>76</v>
      </c>
      <c r="AW262" s="208" t="s">
        <v>32</v>
      </c>
      <c r="AX262" s="208" t="s">
        <v>68</v>
      </c>
      <c r="AY262" s="204" t="s">
        <v>114</v>
      </c>
    </row>
    <row r="263" spans="2:51" s="198" customFormat="1" ht="12">
      <c r="B263" s="191"/>
      <c r="D263" s="193" t="s">
        <v>121</v>
      </c>
      <c r="E263" s="194" t="s">
        <v>1</v>
      </c>
      <c r="F263" s="259" t="s">
        <v>854</v>
      </c>
      <c r="H263" s="194" t="s">
        <v>1</v>
      </c>
      <c r="I263" s="71"/>
      <c r="L263" s="191"/>
      <c r="M263" s="199"/>
      <c r="N263" s="200"/>
      <c r="O263" s="200"/>
      <c r="P263" s="200"/>
      <c r="Q263" s="200"/>
      <c r="R263" s="200"/>
      <c r="S263" s="200"/>
      <c r="T263" s="201"/>
      <c r="AT263" s="194" t="s">
        <v>121</v>
      </c>
      <c r="AU263" s="194" t="s">
        <v>76</v>
      </c>
      <c r="AV263" s="198" t="s">
        <v>73</v>
      </c>
      <c r="AW263" s="198" t="s">
        <v>32</v>
      </c>
      <c r="AX263" s="198" t="s">
        <v>68</v>
      </c>
      <c r="AY263" s="194" t="s">
        <v>114</v>
      </c>
    </row>
    <row r="264" spans="2:51" s="208" customFormat="1" ht="12">
      <c r="B264" s="202"/>
      <c r="D264" s="193" t="s">
        <v>121</v>
      </c>
      <c r="E264" s="204" t="s">
        <v>1</v>
      </c>
      <c r="F264" s="260" t="s">
        <v>975</v>
      </c>
      <c r="H264" s="261">
        <v>56.405</v>
      </c>
      <c r="I264" s="70"/>
      <c r="L264" s="202"/>
      <c r="M264" s="209"/>
      <c r="N264" s="210"/>
      <c r="O264" s="210"/>
      <c r="P264" s="210"/>
      <c r="Q264" s="210"/>
      <c r="R264" s="210"/>
      <c r="S264" s="210"/>
      <c r="T264" s="211"/>
      <c r="AT264" s="204" t="s">
        <v>121</v>
      </c>
      <c r="AU264" s="204" t="s">
        <v>76</v>
      </c>
      <c r="AV264" s="208" t="s">
        <v>76</v>
      </c>
      <c r="AW264" s="208" t="s">
        <v>32</v>
      </c>
      <c r="AX264" s="208" t="s">
        <v>68</v>
      </c>
      <c r="AY264" s="204" t="s">
        <v>114</v>
      </c>
    </row>
    <row r="265" spans="2:51" s="208" customFormat="1" ht="12">
      <c r="B265" s="202"/>
      <c r="D265" s="193" t="s">
        <v>121</v>
      </c>
      <c r="E265" s="204" t="s">
        <v>1</v>
      </c>
      <c r="F265" s="260" t="s">
        <v>976</v>
      </c>
      <c r="H265" s="261">
        <v>27.84</v>
      </c>
      <c r="I265" s="70"/>
      <c r="L265" s="202"/>
      <c r="M265" s="209"/>
      <c r="N265" s="210"/>
      <c r="O265" s="210"/>
      <c r="P265" s="210"/>
      <c r="Q265" s="210"/>
      <c r="R265" s="210"/>
      <c r="S265" s="210"/>
      <c r="T265" s="211"/>
      <c r="AT265" s="204" t="s">
        <v>121</v>
      </c>
      <c r="AU265" s="204" t="s">
        <v>76</v>
      </c>
      <c r="AV265" s="208" t="s">
        <v>76</v>
      </c>
      <c r="AW265" s="208" t="s">
        <v>32</v>
      </c>
      <c r="AX265" s="208" t="s">
        <v>68</v>
      </c>
      <c r="AY265" s="204" t="s">
        <v>114</v>
      </c>
    </row>
    <row r="266" spans="2:51" s="198" customFormat="1" ht="12">
      <c r="B266" s="191"/>
      <c r="D266" s="193" t="s">
        <v>121</v>
      </c>
      <c r="E266" s="194" t="s">
        <v>1</v>
      </c>
      <c r="F266" s="259" t="s">
        <v>858</v>
      </c>
      <c r="H266" s="194" t="s">
        <v>1</v>
      </c>
      <c r="I266" s="71"/>
      <c r="L266" s="191"/>
      <c r="M266" s="199"/>
      <c r="N266" s="200"/>
      <c r="O266" s="200"/>
      <c r="P266" s="200"/>
      <c r="Q266" s="200"/>
      <c r="R266" s="200"/>
      <c r="S266" s="200"/>
      <c r="T266" s="201"/>
      <c r="AT266" s="194" t="s">
        <v>121</v>
      </c>
      <c r="AU266" s="194" t="s">
        <v>76</v>
      </c>
      <c r="AV266" s="198" t="s">
        <v>73</v>
      </c>
      <c r="AW266" s="198" t="s">
        <v>32</v>
      </c>
      <c r="AX266" s="198" t="s">
        <v>68</v>
      </c>
      <c r="AY266" s="194" t="s">
        <v>114</v>
      </c>
    </row>
    <row r="267" spans="2:51" s="208" customFormat="1" ht="12">
      <c r="B267" s="202"/>
      <c r="D267" s="193" t="s">
        <v>121</v>
      </c>
      <c r="E267" s="204" t="s">
        <v>1</v>
      </c>
      <c r="F267" s="260" t="s">
        <v>977</v>
      </c>
      <c r="H267" s="261">
        <v>19.8</v>
      </c>
      <c r="I267" s="70"/>
      <c r="L267" s="202"/>
      <c r="M267" s="209"/>
      <c r="N267" s="210"/>
      <c r="O267" s="210"/>
      <c r="P267" s="210"/>
      <c r="Q267" s="210"/>
      <c r="R267" s="210"/>
      <c r="S267" s="210"/>
      <c r="T267" s="211"/>
      <c r="AT267" s="204" t="s">
        <v>121</v>
      </c>
      <c r="AU267" s="204" t="s">
        <v>76</v>
      </c>
      <c r="AV267" s="208" t="s">
        <v>76</v>
      </c>
      <c r="AW267" s="208" t="s">
        <v>32</v>
      </c>
      <c r="AX267" s="208" t="s">
        <v>68</v>
      </c>
      <c r="AY267" s="204" t="s">
        <v>114</v>
      </c>
    </row>
    <row r="268" spans="2:51" s="198" customFormat="1" ht="12">
      <c r="B268" s="191"/>
      <c r="D268" s="193" t="s">
        <v>121</v>
      </c>
      <c r="E268" s="194" t="s">
        <v>1</v>
      </c>
      <c r="F268" s="259" t="s">
        <v>860</v>
      </c>
      <c r="H268" s="194" t="s">
        <v>1</v>
      </c>
      <c r="I268" s="71"/>
      <c r="L268" s="191"/>
      <c r="M268" s="199"/>
      <c r="N268" s="200"/>
      <c r="O268" s="200"/>
      <c r="P268" s="200"/>
      <c r="Q268" s="200"/>
      <c r="R268" s="200"/>
      <c r="S268" s="200"/>
      <c r="T268" s="201"/>
      <c r="AT268" s="194" t="s">
        <v>121</v>
      </c>
      <c r="AU268" s="194" t="s">
        <v>76</v>
      </c>
      <c r="AV268" s="198" t="s">
        <v>73</v>
      </c>
      <c r="AW268" s="198" t="s">
        <v>32</v>
      </c>
      <c r="AX268" s="198" t="s">
        <v>68</v>
      </c>
      <c r="AY268" s="194" t="s">
        <v>114</v>
      </c>
    </row>
    <row r="269" spans="2:51" s="208" customFormat="1" ht="12">
      <c r="B269" s="202"/>
      <c r="D269" s="193" t="s">
        <v>121</v>
      </c>
      <c r="E269" s="204" t="s">
        <v>1</v>
      </c>
      <c r="F269" s="260" t="s">
        <v>978</v>
      </c>
      <c r="H269" s="261">
        <v>56.695</v>
      </c>
      <c r="I269" s="70"/>
      <c r="L269" s="202"/>
      <c r="M269" s="209"/>
      <c r="N269" s="210"/>
      <c r="O269" s="210"/>
      <c r="P269" s="210"/>
      <c r="Q269" s="210"/>
      <c r="R269" s="210"/>
      <c r="S269" s="210"/>
      <c r="T269" s="211"/>
      <c r="AT269" s="204" t="s">
        <v>121</v>
      </c>
      <c r="AU269" s="204" t="s">
        <v>76</v>
      </c>
      <c r="AV269" s="208" t="s">
        <v>76</v>
      </c>
      <c r="AW269" s="208" t="s">
        <v>32</v>
      </c>
      <c r="AX269" s="208" t="s">
        <v>68</v>
      </c>
      <c r="AY269" s="204" t="s">
        <v>114</v>
      </c>
    </row>
    <row r="270" spans="2:51" s="208" customFormat="1" ht="12">
      <c r="B270" s="202"/>
      <c r="D270" s="193" t="s">
        <v>121</v>
      </c>
      <c r="E270" s="204" t="s">
        <v>1</v>
      </c>
      <c r="F270" s="260" t="s">
        <v>979</v>
      </c>
      <c r="H270" s="261">
        <v>13.405</v>
      </c>
      <c r="I270" s="70"/>
      <c r="L270" s="202"/>
      <c r="M270" s="209"/>
      <c r="N270" s="210"/>
      <c r="O270" s="210"/>
      <c r="P270" s="210"/>
      <c r="Q270" s="210"/>
      <c r="R270" s="210"/>
      <c r="S270" s="210"/>
      <c r="T270" s="211"/>
      <c r="AT270" s="204" t="s">
        <v>121</v>
      </c>
      <c r="AU270" s="204" t="s">
        <v>76</v>
      </c>
      <c r="AV270" s="208" t="s">
        <v>76</v>
      </c>
      <c r="AW270" s="208" t="s">
        <v>32</v>
      </c>
      <c r="AX270" s="208" t="s">
        <v>68</v>
      </c>
      <c r="AY270" s="204" t="s">
        <v>114</v>
      </c>
    </row>
    <row r="271" spans="2:51" s="208" customFormat="1" ht="12">
      <c r="B271" s="202"/>
      <c r="D271" s="193" t="s">
        <v>121</v>
      </c>
      <c r="E271" s="204" t="s">
        <v>1</v>
      </c>
      <c r="F271" s="260" t="s">
        <v>980</v>
      </c>
      <c r="H271" s="261">
        <v>23.94</v>
      </c>
      <c r="I271" s="70"/>
      <c r="L271" s="202"/>
      <c r="M271" s="209"/>
      <c r="N271" s="210"/>
      <c r="O271" s="210"/>
      <c r="P271" s="210"/>
      <c r="Q271" s="210"/>
      <c r="R271" s="210"/>
      <c r="S271" s="210"/>
      <c r="T271" s="211"/>
      <c r="AT271" s="204" t="s">
        <v>121</v>
      </c>
      <c r="AU271" s="204" t="s">
        <v>76</v>
      </c>
      <c r="AV271" s="208" t="s">
        <v>76</v>
      </c>
      <c r="AW271" s="208" t="s">
        <v>32</v>
      </c>
      <c r="AX271" s="208" t="s">
        <v>68</v>
      </c>
      <c r="AY271" s="204" t="s">
        <v>114</v>
      </c>
    </row>
    <row r="272" spans="2:51" s="198" customFormat="1" ht="12">
      <c r="B272" s="191"/>
      <c r="D272" s="193" t="s">
        <v>121</v>
      </c>
      <c r="E272" s="194" t="s">
        <v>1</v>
      </c>
      <c r="F272" s="259" t="s">
        <v>864</v>
      </c>
      <c r="H272" s="194" t="s">
        <v>1</v>
      </c>
      <c r="I272" s="71"/>
      <c r="L272" s="191"/>
      <c r="M272" s="199"/>
      <c r="N272" s="200"/>
      <c r="O272" s="200"/>
      <c r="P272" s="200"/>
      <c r="Q272" s="200"/>
      <c r="R272" s="200"/>
      <c r="S272" s="200"/>
      <c r="T272" s="201"/>
      <c r="AT272" s="194" t="s">
        <v>121</v>
      </c>
      <c r="AU272" s="194" t="s">
        <v>76</v>
      </c>
      <c r="AV272" s="198" t="s">
        <v>73</v>
      </c>
      <c r="AW272" s="198" t="s">
        <v>32</v>
      </c>
      <c r="AX272" s="198" t="s">
        <v>68</v>
      </c>
      <c r="AY272" s="194" t="s">
        <v>114</v>
      </c>
    </row>
    <row r="273" spans="2:51" s="208" customFormat="1" ht="12">
      <c r="B273" s="202"/>
      <c r="D273" s="193" t="s">
        <v>121</v>
      </c>
      <c r="E273" s="204" t="s">
        <v>1</v>
      </c>
      <c r="F273" s="260" t="s">
        <v>981</v>
      </c>
      <c r="H273" s="261">
        <v>232</v>
      </c>
      <c r="I273" s="70"/>
      <c r="L273" s="202"/>
      <c r="M273" s="209"/>
      <c r="N273" s="210"/>
      <c r="O273" s="210"/>
      <c r="P273" s="210"/>
      <c r="Q273" s="210"/>
      <c r="R273" s="210"/>
      <c r="S273" s="210"/>
      <c r="T273" s="211"/>
      <c r="AT273" s="204" t="s">
        <v>121</v>
      </c>
      <c r="AU273" s="204" t="s">
        <v>76</v>
      </c>
      <c r="AV273" s="208" t="s">
        <v>76</v>
      </c>
      <c r="AW273" s="208" t="s">
        <v>32</v>
      </c>
      <c r="AX273" s="208" t="s">
        <v>68</v>
      </c>
      <c r="AY273" s="204" t="s">
        <v>114</v>
      </c>
    </row>
    <row r="274" spans="2:51" s="228" customFormat="1" ht="12">
      <c r="B274" s="222"/>
      <c r="D274" s="193" t="s">
        <v>121</v>
      </c>
      <c r="E274" s="224" t="s">
        <v>1</v>
      </c>
      <c r="F274" s="266" t="s">
        <v>150</v>
      </c>
      <c r="H274" s="264">
        <f>SUM(H225:H273)</f>
        <v>2037.0599999999997</v>
      </c>
      <c r="I274" s="72"/>
      <c r="L274" s="222"/>
      <c r="M274" s="229"/>
      <c r="N274" s="230"/>
      <c r="O274" s="230"/>
      <c r="P274" s="230"/>
      <c r="Q274" s="230"/>
      <c r="R274" s="230"/>
      <c r="S274" s="230"/>
      <c r="T274" s="231"/>
      <c r="AT274" s="224" t="s">
        <v>121</v>
      </c>
      <c r="AU274" s="224" t="s">
        <v>76</v>
      </c>
      <c r="AV274" s="228" t="s">
        <v>119</v>
      </c>
      <c r="AW274" s="228" t="s">
        <v>32</v>
      </c>
      <c r="AX274" s="228" t="s">
        <v>73</v>
      </c>
      <c r="AY274" s="224" t="s">
        <v>114</v>
      </c>
    </row>
    <row r="275" spans="2:65" s="92" customFormat="1" ht="16.5" customHeight="1">
      <c r="B275" s="90"/>
      <c r="C275" s="178" t="s">
        <v>297</v>
      </c>
      <c r="D275" s="178" t="s">
        <v>116</v>
      </c>
      <c r="E275" s="179" t="s">
        <v>246</v>
      </c>
      <c r="F275" s="232" t="s">
        <v>247</v>
      </c>
      <c r="G275" s="181" t="s">
        <v>153</v>
      </c>
      <c r="H275" s="182">
        <f>H278</f>
        <v>14.35</v>
      </c>
      <c r="I275" s="69"/>
      <c r="J275" s="184">
        <f>ROUND(I275*H275,2)</f>
        <v>0</v>
      </c>
      <c r="K275" s="180" t="s">
        <v>154</v>
      </c>
      <c r="L275" s="90"/>
      <c r="M275" s="185" t="s">
        <v>1</v>
      </c>
      <c r="N275" s="186" t="s">
        <v>41</v>
      </c>
      <c r="O275" s="187"/>
      <c r="P275" s="188">
        <f>O275*H275</f>
        <v>0</v>
      </c>
      <c r="Q275" s="188">
        <v>0.00085</v>
      </c>
      <c r="R275" s="188">
        <f>Q275*H275</f>
        <v>0.012197499999999998</v>
      </c>
      <c r="S275" s="188">
        <v>0</v>
      </c>
      <c r="T275" s="189">
        <f>S275*H275</f>
        <v>0</v>
      </c>
      <c r="AR275" s="81" t="s">
        <v>119</v>
      </c>
      <c r="AT275" s="81" t="s">
        <v>116</v>
      </c>
      <c r="AU275" s="81" t="s">
        <v>76</v>
      </c>
      <c r="AY275" s="81" t="s">
        <v>114</v>
      </c>
      <c r="BE275" s="190">
        <f>IF(N275="základní",J275,0)</f>
        <v>0</v>
      </c>
      <c r="BF275" s="190">
        <f>IF(N275="snížená",J275,0)</f>
        <v>0</v>
      </c>
      <c r="BG275" s="190">
        <f>IF(N275="zákl. přenesená",J275,0)</f>
        <v>0</v>
      </c>
      <c r="BH275" s="190">
        <f>IF(N275="sníž. přenesená",J275,0)</f>
        <v>0</v>
      </c>
      <c r="BI275" s="190">
        <f>IF(N275="nulová",J275,0)</f>
        <v>0</v>
      </c>
      <c r="BJ275" s="81" t="s">
        <v>73</v>
      </c>
      <c r="BK275" s="190">
        <f>ROUND(I275*H275,2)</f>
        <v>0</v>
      </c>
      <c r="BL275" s="81" t="s">
        <v>119</v>
      </c>
      <c r="BM275" s="81" t="s">
        <v>982</v>
      </c>
    </row>
    <row r="276" spans="2:51" s="198" customFormat="1" ht="12">
      <c r="B276" s="191"/>
      <c r="D276" s="193" t="s">
        <v>121</v>
      </c>
      <c r="E276" s="194" t="s">
        <v>1</v>
      </c>
      <c r="F276" s="195" t="s">
        <v>854</v>
      </c>
      <c r="H276" s="194" t="s">
        <v>1</v>
      </c>
      <c r="I276" s="71"/>
      <c r="L276" s="191"/>
      <c r="M276" s="199"/>
      <c r="N276" s="200"/>
      <c r="O276" s="200"/>
      <c r="P276" s="200"/>
      <c r="Q276" s="200"/>
      <c r="R276" s="200"/>
      <c r="S276" s="200"/>
      <c r="T276" s="201"/>
      <c r="AT276" s="194" t="s">
        <v>121</v>
      </c>
      <c r="AU276" s="194" t="s">
        <v>76</v>
      </c>
      <c r="AV276" s="198" t="s">
        <v>73</v>
      </c>
      <c r="AW276" s="198" t="s">
        <v>32</v>
      </c>
      <c r="AX276" s="198" t="s">
        <v>68</v>
      </c>
      <c r="AY276" s="194" t="s">
        <v>114</v>
      </c>
    </row>
    <row r="277" spans="2:51" s="208" customFormat="1" ht="12">
      <c r="B277" s="202"/>
      <c r="D277" s="193" t="s">
        <v>121</v>
      </c>
      <c r="E277" s="204" t="s">
        <v>1</v>
      </c>
      <c r="F277" s="205" t="s">
        <v>985</v>
      </c>
      <c r="H277" s="261">
        <v>14.35</v>
      </c>
      <c r="I277" s="70"/>
      <c r="L277" s="202"/>
      <c r="M277" s="209"/>
      <c r="N277" s="210"/>
      <c r="O277" s="210"/>
      <c r="P277" s="210"/>
      <c r="Q277" s="210"/>
      <c r="R277" s="210"/>
      <c r="S277" s="210"/>
      <c r="T277" s="211"/>
      <c r="AT277" s="204" t="s">
        <v>121</v>
      </c>
      <c r="AU277" s="204" t="s">
        <v>76</v>
      </c>
      <c r="AV277" s="208" t="s">
        <v>76</v>
      </c>
      <c r="AW277" s="208" t="s">
        <v>32</v>
      </c>
      <c r="AX277" s="208" t="s">
        <v>68</v>
      </c>
      <c r="AY277" s="204" t="s">
        <v>114</v>
      </c>
    </row>
    <row r="278" spans="2:51" s="228" customFormat="1" ht="12">
      <c r="B278" s="222"/>
      <c r="D278" s="193" t="s">
        <v>121</v>
      </c>
      <c r="E278" s="224" t="s">
        <v>1</v>
      </c>
      <c r="F278" s="225" t="s">
        <v>150</v>
      </c>
      <c r="H278" s="264">
        <f>H277</f>
        <v>14.35</v>
      </c>
      <c r="I278" s="72"/>
      <c r="L278" s="222"/>
      <c r="M278" s="229"/>
      <c r="N278" s="230"/>
      <c r="O278" s="230"/>
      <c r="P278" s="230"/>
      <c r="Q278" s="230"/>
      <c r="R278" s="230"/>
      <c r="S278" s="230"/>
      <c r="T278" s="231"/>
      <c r="AT278" s="224" t="s">
        <v>121</v>
      </c>
      <c r="AU278" s="224" t="s">
        <v>76</v>
      </c>
      <c r="AV278" s="228" t="s">
        <v>119</v>
      </c>
      <c r="AW278" s="228" t="s">
        <v>32</v>
      </c>
      <c r="AX278" s="228" t="s">
        <v>73</v>
      </c>
      <c r="AY278" s="224" t="s">
        <v>114</v>
      </c>
    </row>
    <row r="279" spans="2:65" s="92" customFormat="1" ht="16.5" customHeight="1">
      <c r="B279" s="90"/>
      <c r="C279" s="178" t="s">
        <v>302</v>
      </c>
      <c r="D279" s="178" t="s">
        <v>116</v>
      </c>
      <c r="E279" s="179" t="s">
        <v>253</v>
      </c>
      <c r="F279" s="232" t="s">
        <v>254</v>
      </c>
      <c r="G279" s="181" t="s">
        <v>153</v>
      </c>
      <c r="H279" s="182">
        <f>H223</f>
        <v>2037.0599999999997</v>
      </c>
      <c r="I279" s="69"/>
      <c r="J279" s="184">
        <f>ROUND(I279*H279,2)</f>
        <v>0</v>
      </c>
      <c r="K279" s="180" t="s">
        <v>154</v>
      </c>
      <c r="L279" s="90"/>
      <c r="M279" s="185" t="s">
        <v>1</v>
      </c>
      <c r="N279" s="186" t="s">
        <v>41</v>
      </c>
      <c r="O279" s="187"/>
      <c r="P279" s="188">
        <f>O279*H279</f>
        <v>0</v>
      </c>
      <c r="Q279" s="188">
        <v>0</v>
      </c>
      <c r="R279" s="188">
        <f>Q279*H279</f>
        <v>0</v>
      </c>
      <c r="S279" s="188">
        <v>0</v>
      </c>
      <c r="T279" s="189">
        <f>S279*H279</f>
        <v>0</v>
      </c>
      <c r="AR279" s="81" t="s">
        <v>119</v>
      </c>
      <c r="AT279" s="81" t="s">
        <v>116</v>
      </c>
      <c r="AU279" s="81" t="s">
        <v>76</v>
      </c>
      <c r="AY279" s="81" t="s">
        <v>114</v>
      </c>
      <c r="BE279" s="190">
        <f>IF(N279="základní",J279,0)</f>
        <v>0</v>
      </c>
      <c r="BF279" s="190">
        <f>IF(N279="snížená",J279,0)</f>
        <v>0</v>
      </c>
      <c r="BG279" s="190">
        <f>IF(N279="zákl. přenesená",J279,0)</f>
        <v>0</v>
      </c>
      <c r="BH279" s="190">
        <f>IF(N279="sníž. přenesená",J279,0)</f>
        <v>0</v>
      </c>
      <c r="BI279" s="190">
        <f>IF(N279="nulová",J279,0)</f>
        <v>0</v>
      </c>
      <c r="BJ279" s="81" t="s">
        <v>73</v>
      </c>
      <c r="BK279" s="190">
        <f>ROUND(I279*H279,2)</f>
        <v>0</v>
      </c>
      <c r="BL279" s="81" t="s">
        <v>119</v>
      </c>
      <c r="BM279" s="81" t="s">
        <v>986</v>
      </c>
    </row>
    <row r="280" spans="2:65" s="92" customFormat="1" ht="16.5" customHeight="1">
      <c r="B280" s="90"/>
      <c r="C280" s="178" t="s">
        <v>318</v>
      </c>
      <c r="D280" s="178" t="s">
        <v>116</v>
      </c>
      <c r="E280" s="179" t="s">
        <v>257</v>
      </c>
      <c r="F280" s="232" t="s">
        <v>258</v>
      </c>
      <c r="G280" s="181" t="s">
        <v>153</v>
      </c>
      <c r="H280" s="182">
        <f>H275</f>
        <v>14.35</v>
      </c>
      <c r="I280" s="69"/>
      <c r="J280" s="184">
        <f>ROUND(I280*H280,2)</f>
        <v>0</v>
      </c>
      <c r="K280" s="180" t="s">
        <v>154</v>
      </c>
      <c r="L280" s="90"/>
      <c r="M280" s="185" t="s">
        <v>1</v>
      </c>
      <c r="N280" s="186" t="s">
        <v>41</v>
      </c>
      <c r="O280" s="187"/>
      <c r="P280" s="188">
        <f>O280*H280</f>
        <v>0</v>
      </c>
      <c r="Q280" s="188">
        <v>0</v>
      </c>
      <c r="R280" s="188">
        <f>Q280*H280</f>
        <v>0</v>
      </c>
      <c r="S280" s="188">
        <v>0</v>
      </c>
      <c r="T280" s="189">
        <f>S280*H280</f>
        <v>0</v>
      </c>
      <c r="AR280" s="81" t="s">
        <v>119</v>
      </c>
      <c r="AT280" s="81" t="s">
        <v>116</v>
      </c>
      <c r="AU280" s="81" t="s">
        <v>76</v>
      </c>
      <c r="AY280" s="81" t="s">
        <v>114</v>
      </c>
      <c r="BE280" s="190">
        <f>IF(N280="základní",J280,0)</f>
        <v>0</v>
      </c>
      <c r="BF280" s="190">
        <f>IF(N280="snížená",J280,0)</f>
        <v>0</v>
      </c>
      <c r="BG280" s="190">
        <f>IF(N280="zákl. přenesená",J280,0)</f>
        <v>0</v>
      </c>
      <c r="BH280" s="190">
        <f>IF(N280="sníž. přenesená",J280,0)</f>
        <v>0</v>
      </c>
      <c r="BI280" s="190">
        <f>IF(N280="nulová",J280,0)</f>
        <v>0</v>
      </c>
      <c r="BJ280" s="81" t="s">
        <v>73</v>
      </c>
      <c r="BK280" s="190">
        <f>ROUND(I280*H280,2)</f>
        <v>0</v>
      </c>
      <c r="BL280" s="81" t="s">
        <v>119</v>
      </c>
      <c r="BM280" s="81" t="s">
        <v>987</v>
      </c>
    </row>
    <row r="281" spans="2:65" s="92" customFormat="1" ht="16.5" customHeight="1">
      <c r="B281" s="90"/>
      <c r="C281" s="178" t="s">
        <v>326</v>
      </c>
      <c r="D281" s="178" t="s">
        <v>116</v>
      </c>
      <c r="E281" s="179" t="s">
        <v>261</v>
      </c>
      <c r="F281" s="232" t="s">
        <v>262</v>
      </c>
      <c r="G281" s="181" t="s">
        <v>191</v>
      </c>
      <c r="H281" s="182">
        <f>H285</f>
        <v>312.572</v>
      </c>
      <c r="I281" s="69"/>
      <c r="J281" s="184">
        <f>ROUND(I281*H281,2)</f>
        <v>0</v>
      </c>
      <c r="K281" s="180" t="s">
        <v>154</v>
      </c>
      <c r="L281" s="90"/>
      <c r="M281" s="185" t="s">
        <v>1</v>
      </c>
      <c r="N281" s="186" t="s">
        <v>41</v>
      </c>
      <c r="O281" s="187"/>
      <c r="P281" s="188">
        <f>O281*H281</f>
        <v>0</v>
      </c>
      <c r="Q281" s="188">
        <v>0</v>
      </c>
      <c r="R281" s="188">
        <f>Q281*H281</f>
        <v>0</v>
      </c>
      <c r="S281" s="188">
        <v>0</v>
      </c>
      <c r="T281" s="189">
        <f>S281*H281</f>
        <v>0</v>
      </c>
      <c r="AR281" s="81" t="s">
        <v>119</v>
      </c>
      <c r="AT281" s="81" t="s">
        <v>116</v>
      </c>
      <c r="AU281" s="81" t="s">
        <v>76</v>
      </c>
      <c r="AY281" s="81" t="s">
        <v>114</v>
      </c>
      <c r="BE281" s="190">
        <f>IF(N281="základní",J281,0)</f>
        <v>0</v>
      </c>
      <c r="BF281" s="190">
        <f>IF(N281="snížená",J281,0)</f>
        <v>0</v>
      </c>
      <c r="BG281" s="190">
        <f>IF(N281="zákl. přenesená",J281,0)</f>
        <v>0</v>
      </c>
      <c r="BH281" s="190">
        <f>IF(N281="sníž. přenesená",J281,0)</f>
        <v>0</v>
      </c>
      <c r="BI281" s="190">
        <f>IF(N281="nulová",J281,0)</f>
        <v>0</v>
      </c>
      <c r="BJ281" s="81" t="s">
        <v>73</v>
      </c>
      <c r="BK281" s="190">
        <f>ROUND(I281*H281,2)</f>
        <v>0</v>
      </c>
      <c r="BL281" s="81" t="s">
        <v>119</v>
      </c>
      <c r="BM281" s="81" t="s">
        <v>988</v>
      </c>
    </row>
    <row r="282" spans="2:51" s="198" customFormat="1" ht="12">
      <c r="B282" s="191"/>
      <c r="D282" s="193" t="s">
        <v>121</v>
      </c>
      <c r="E282" s="194" t="s">
        <v>1</v>
      </c>
      <c r="F282" s="259" t="s">
        <v>264</v>
      </c>
      <c r="H282" s="194" t="s">
        <v>1</v>
      </c>
      <c r="I282" s="71"/>
      <c r="L282" s="191"/>
      <c r="M282" s="199"/>
      <c r="N282" s="200"/>
      <c r="O282" s="200"/>
      <c r="P282" s="200"/>
      <c r="Q282" s="200"/>
      <c r="R282" s="200"/>
      <c r="S282" s="200"/>
      <c r="T282" s="201"/>
      <c r="AT282" s="194" t="s">
        <v>121</v>
      </c>
      <c r="AU282" s="194" t="s">
        <v>76</v>
      </c>
      <c r="AV282" s="198" t="s">
        <v>73</v>
      </c>
      <c r="AW282" s="198" t="s">
        <v>32</v>
      </c>
      <c r="AX282" s="198" t="s">
        <v>68</v>
      </c>
      <c r="AY282" s="194" t="s">
        <v>114</v>
      </c>
    </row>
    <row r="283" spans="2:51" s="198" customFormat="1" ht="12">
      <c r="B283" s="191"/>
      <c r="D283" s="193" t="s">
        <v>121</v>
      </c>
      <c r="E283" s="194" t="s">
        <v>1</v>
      </c>
      <c r="F283" s="259" t="s">
        <v>265</v>
      </c>
      <c r="H283" s="194" t="s">
        <v>1</v>
      </c>
      <c r="I283" s="71"/>
      <c r="L283" s="191"/>
      <c r="M283" s="199"/>
      <c r="N283" s="200"/>
      <c r="O283" s="200"/>
      <c r="P283" s="200"/>
      <c r="Q283" s="200"/>
      <c r="R283" s="200"/>
      <c r="S283" s="200"/>
      <c r="T283" s="201"/>
      <c r="AT283" s="194" t="s">
        <v>121</v>
      </c>
      <c r="AU283" s="194" t="s">
        <v>76</v>
      </c>
      <c r="AV283" s="198" t="s">
        <v>73</v>
      </c>
      <c r="AW283" s="198" t="s">
        <v>32</v>
      </c>
      <c r="AX283" s="198" t="s">
        <v>68</v>
      </c>
      <c r="AY283" s="194" t="s">
        <v>114</v>
      </c>
    </row>
    <row r="284" spans="2:51" s="208" customFormat="1" ht="12">
      <c r="B284" s="202"/>
      <c r="D284" s="193" t="s">
        <v>121</v>
      </c>
      <c r="E284" s="204" t="s">
        <v>1</v>
      </c>
      <c r="F284" s="260" t="s">
        <v>1486</v>
      </c>
      <c r="H284" s="261">
        <f>625.144*0.5</f>
        <v>312.572</v>
      </c>
      <c r="I284" s="70"/>
      <c r="L284" s="202"/>
      <c r="M284" s="209"/>
      <c r="N284" s="210"/>
      <c r="O284" s="210"/>
      <c r="P284" s="210"/>
      <c r="Q284" s="210"/>
      <c r="R284" s="210"/>
      <c r="S284" s="210"/>
      <c r="T284" s="211"/>
      <c r="AT284" s="204" t="s">
        <v>121</v>
      </c>
      <c r="AU284" s="204" t="s">
        <v>76</v>
      </c>
      <c r="AV284" s="208" t="s">
        <v>76</v>
      </c>
      <c r="AW284" s="208" t="s">
        <v>32</v>
      </c>
      <c r="AX284" s="208" t="s">
        <v>68</v>
      </c>
      <c r="AY284" s="204" t="s">
        <v>114</v>
      </c>
    </row>
    <row r="285" spans="2:51" s="228" customFormat="1" ht="12">
      <c r="B285" s="222"/>
      <c r="D285" s="193" t="s">
        <v>121</v>
      </c>
      <c r="E285" s="224" t="s">
        <v>1</v>
      </c>
      <c r="F285" s="266" t="s">
        <v>150</v>
      </c>
      <c r="H285" s="264">
        <f>H284</f>
        <v>312.572</v>
      </c>
      <c r="I285" s="72"/>
      <c r="L285" s="222"/>
      <c r="M285" s="229"/>
      <c r="N285" s="230"/>
      <c r="O285" s="230"/>
      <c r="P285" s="230"/>
      <c r="Q285" s="230"/>
      <c r="R285" s="230"/>
      <c r="S285" s="230"/>
      <c r="T285" s="231"/>
      <c r="AT285" s="224" t="s">
        <v>121</v>
      </c>
      <c r="AU285" s="224" t="s">
        <v>76</v>
      </c>
      <c r="AV285" s="228" t="s">
        <v>119</v>
      </c>
      <c r="AW285" s="228" t="s">
        <v>32</v>
      </c>
      <c r="AX285" s="228" t="s">
        <v>73</v>
      </c>
      <c r="AY285" s="224" t="s">
        <v>114</v>
      </c>
    </row>
    <row r="286" spans="2:65" s="92" customFormat="1" ht="16.5" customHeight="1">
      <c r="B286" s="90"/>
      <c r="C286" s="178" t="s">
        <v>330</v>
      </c>
      <c r="D286" s="178" t="s">
        <v>116</v>
      </c>
      <c r="E286" s="179" t="s">
        <v>267</v>
      </c>
      <c r="F286" s="180" t="s">
        <v>268</v>
      </c>
      <c r="G286" s="181" t="s">
        <v>191</v>
      </c>
      <c r="H286" s="182">
        <f>H294</f>
        <v>280.744</v>
      </c>
      <c r="I286" s="69"/>
      <c r="J286" s="184">
        <f>ROUND(I286*H286,2)</f>
        <v>0</v>
      </c>
      <c r="K286" s="180" t="s">
        <v>154</v>
      </c>
      <c r="L286" s="90"/>
      <c r="M286" s="185" t="s">
        <v>1</v>
      </c>
      <c r="N286" s="186" t="s">
        <v>41</v>
      </c>
      <c r="O286" s="187"/>
      <c r="P286" s="188">
        <f>O286*H286</f>
        <v>0</v>
      </c>
      <c r="Q286" s="188">
        <v>0</v>
      </c>
      <c r="R286" s="188">
        <f>Q286*H286</f>
        <v>0</v>
      </c>
      <c r="S286" s="188">
        <v>0</v>
      </c>
      <c r="T286" s="189">
        <f>S286*H286</f>
        <v>0</v>
      </c>
      <c r="AR286" s="81" t="s">
        <v>119</v>
      </c>
      <c r="AT286" s="81" t="s">
        <v>116</v>
      </c>
      <c r="AU286" s="81" t="s">
        <v>76</v>
      </c>
      <c r="AY286" s="81" t="s">
        <v>114</v>
      </c>
      <c r="BE286" s="190">
        <f>IF(N286="základní",J286,0)</f>
        <v>0</v>
      </c>
      <c r="BF286" s="190">
        <f>IF(N286="snížená",J286,0)</f>
        <v>0</v>
      </c>
      <c r="BG286" s="190">
        <f>IF(N286="zákl. přenesená",J286,0)</f>
        <v>0</v>
      </c>
      <c r="BH286" s="190">
        <f>IF(N286="sníž. přenesená",J286,0)</f>
        <v>0</v>
      </c>
      <c r="BI286" s="190">
        <f>IF(N286="nulová",J286,0)</f>
        <v>0</v>
      </c>
      <c r="BJ286" s="81" t="s">
        <v>73</v>
      </c>
      <c r="BK286" s="190">
        <f>ROUND(I286*H286,2)</f>
        <v>0</v>
      </c>
      <c r="BL286" s="81" t="s">
        <v>119</v>
      </c>
      <c r="BM286" s="81" t="s">
        <v>989</v>
      </c>
    </row>
    <row r="287" spans="2:51" s="198" customFormat="1" ht="12">
      <c r="B287" s="191"/>
      <c r="D287" s="193" t="s">
        <v>121</v>
      </c>
      <c r="E287" s="194" t="s">
        <v>1</v>
      </c>
      <c r="F287" s="259" t="s">
        <v>264</v>
      </c>
      <c r="H287" s="194" t="s">
        <v>1</v>
      </c>
      <c r="I287" s="71"/>
      <c r="L287" s="191"/>
      <c r="M287" s="199"/>
      <c r="N287" s="200"/>
      <c r="O287" s="200"/>
      <c r="P287" s="200"/>
      <c r="Q287" s="200"/>
      <c r="R287" s="200"/>
      <c r="S287" s="200"/>
      <c r="T287" s="201"/>
      <c r="AT287" s="194" t="s">
        <v>121</v>
      </c>
      <c r="AU287" s="194" t="s">
        <v>76</v>
      </c>
      <c r="AV287" s="198" t="s">
        <v>73</v>
      </c>
      <c r="AW287" s="198" t="s">
        <v>32</v>
      </c>
      <c r="AX287" s="198" t="s">
        <v>68</v>
      </c>
      <c r="AY287" s="194" t="s">
        <v>114</v>
      </c>
    </row>
    <row r="288" spans="2:51" s="198" customFormat="1" ht="12">
      <c r="B288" s="191"/>
      <c r="D288" s="193" t="s">
        <v>121</v>
      </c>
      <c r="E288" s="194" t="s">
        <v>1</v>
      </c>
      <c r="F288" s="259" t="s">
        <v>270</v>
      </c>
      <c r="H288" s="194" t="s">
        <v>1</v>
      </c>
      <c r="I288" s="71"/>
      <c r="L288" s="191"/>
      <c r="M288" s="199"/>
      <c r="N288" s="200"/>
      <c r="O288" s="200"/>
      <c r="P288" s="200"/>
      <c r="Q288" s="200"/>
      <c r="R288" s="200"/>
      <c r="S288" s="200"/>
      <c r="T288" s="201"/>
      <c r="AT288" s="194" t="s">
        <v>121</v>
      </c>
      <c r="AU288" s="194" t="s">
        <v>76</v>
      </c>
      <c r="AV288" s="198" t="s">
        <v>73</v>
      </c>
      <c r="AW288" s="198" t="s">
        <v>32</v>
      </c>
      <c r="AX288" s="198" t="s">
        <v>68</v>
      </c>
      <c r="AY288" s="194" t="s">
        <v>114</v>
      </c>
    </row>
    <row r="289" spans="2:51" s="198" customFormat="1" ht="12">
      <c r="B289" s="191"/>
      <c r="D289" s="193" t="s">
        <v>121</v>
      </c>
      <c r="E289" s="194" t="s">
        <v>1</v>
      </c>
      <c r="F289" s="259" t="s">
        <v>271</v>
      </c>
      <c r="H289" s="194" t="s">
        <v>1</v>
      </c>
      <c r="I289" s="71"/>
      <c r="L289" s="191"/>
      <c r="M289" s="199"/>
      <c r="N289" s="200"/>
      <c r="O289" s="200"/>
      <c r="P289" s="200"/>
      <c r="Q289" s="200"/>
      <c r="R289" s="200"/>
      <c r="S289" s="200"/>
      <c r="T289" s="201"/>
      <c r="AT289" s="194" t="s">
        <v>121</v>
      </c>
      <c r="AU289" s="194" t="s">
        <v>76</v>
      </c>
      <c r="AV289" s="198" t="s">
        <v>73</v>
      </c>
      <c r="AW289" s="198" t="s">
        <v>32</v>
      </c>
      <c r="AX289" s="198" t="s">
        <v>68</v>
      </c>
      <c r="AY289" s="194" t="s">
        <v>114</v>
      </c>
    </row>
    <row r="290" spans="2:51" s="198" customFormat="1" ht="12">
      <c r="B290" s="191"/>
      <c r="D290" s="193" t="s">
        <v>121</v>
      </c>
      <c r="E290" s="194" t="s">
        <v>1</v>
      </c>
      <c r="F290" s="259" t="s">
        <v>990</v>
      </c>
      <c r="H290" s="194" t="s">
        <v>1</v>
      </c>
      <c r="I290" s="71"/>
      <c r="L290" s="191"/>
      <c r="M290" s="199"/>
      <c r="N290" s="200"/>
      <c r="O290" s="200"/>
      <c r="P290" s="200"/>
      <c r="Q290" s="200"/>
      <c r="R290" s="200"/>
      <c r="S290" s="200"/>
      <c r="T290" s="201"/>
      <c r="AT290" s="194" t="s">
        <v>121</v>
      </c>
      <c r="AU290" s="194" t="s">
        <v>76</v>
      </c>
      <c r="AV290" s="198" t="s">
        <v>73</v>
      </c>
      <c r="AW290" s="198" t="s">
        <v>32</v>
      </c>
      <c r="AX290" s="198" t="s">
        <v>68</v>
      </c>
      <c r="AY290" s="194" t="s">
        <v>114</v>
      </c>
    </row>
    <row r="291" spans="2:51" s="208" customFormat="1" ht="12">
      <c r="B291" s="202"/>
      <c r="D291" s="193" t="s">
        <v>121</v>
      </c>
      <c r="E291" s="204" t="s">
        <v>1</v>
      </c>
      <c r="F291" s="205" t="s">
        <v>1494</v>
      </c>
      <c r="H291" s="261">
        <f>280.744/2</f>
        <v>140.372</v>
      </c>
      <c r="I291" s="70"/>
      <c r="L291" s="202"/>
      <c r="M291" s="209"/>
      <c r="N291" s="210"/>
      <c r="O291" s="210"/>
      <c r="P291" s="210"/>
      <c r="Q291" s="210"/>
      <c r="R291" s="210"/>
      <c r="S291" s="210"/>
      <c r="T291" s="211"/>
      <c r="AT291" s="204" t="s">
        <v>121</v>
      </c>
      <c r="AU291" s="204" t="s">
        <v>76</v>
      </c>
      <c r="AV291" s="208" t="s">
        <v>76</v>
      </c>
      <c r="AW291" s="208" t="s">
        <v>32</v>
      </c>
      <c r="AX291" s="208" t="s">
        <v>68</v>
      </c>
      <c r="AY291" s="204" t="s">
        <v>114</v>
      </c>
    </row>
    <row r="292" spans="2:51" s="198" customFormat="1" ht="12">
      <c r="B292" s="191"/>
      <c r="D292" s="193" t="s">
        <v>121</v>
      </c>
      <c r="E292" s="194" t="s">
        <v>1</v>
      </c>
      <c r="F292" s="259" t="s">
        <v>273</v>
      </c>
      <c r="H292" s="194" t="s">
        <v>1</v>
      </c>
      <c r="I292" s="71"/>
      <c r="L292" s="191"/>
      <c r="M292" s="199"/>
      <c r="N292" s="200"/>
      <c r="O292" s="200"/>
      <c r="P292" s="200"/>
      <c r="Q292" s="200"/>
      <c r="R292" s="200"/>
      <c r="S292" s="200"/>
      <c r="T292" s="201"/>
      <c r="AT292" s="194" t="s">
        <v>121</v>
      </c>
      <c r="AU292" s="194" t="s">
        <v>76</v>
      </c>
      <c r="AV292" s="198" t="s">
        <v>73</v>
      </c>
      <c r="AW292" s="198" t="s">
        <v>32</v>
      </c>
      <c r="AX292" s="198" t="s">
        <v>68</v>
      </c>
      <c r="AY292" s="194" t="s">
        <v>114</v>
      </c>
    </row>
    <row r="293" spans="2:51" s="208" customFormat="1" ht="12">
      <c r="B293" s="202"/>
      <c r="D293" s="193" t="s">
        <v>121</v>
      </c>
      <c r="E293" s="204" t="s">
        <v>1</v>
      </c>
      <c r="F293" s="205" t="s">
        <v>1494</v>
      </c>
      <c r="H293" s="261">
        <f>280.744/2</f>
        <v>140.372</v>
      </c>
      <c r="I293" s="70"/>
      <c r="L293" s="202"/>
      <c r="M293" s="209"/>
      <c r="N293" s="210"/>
      <c r="O293" s="210"/>
      <c r="P293" s="210"/>
      <c r="Q293" s="210"/>
      <c r="R293" s="210"/>
      <c r="S293" s="210"/>
      <c r="T293" s="211"/>
      <c r="AT293" s="204" t="s">
        <v>121</v>
      </c>
      <c r="AU293" s="204" t="s">
        <v>76</v>
      </c>
      <c r="AV293" s="208" t="s">
        <v>76</v>
      </c>
      <c r="AW293" s="208" t="s">
        <v>32</v>
      </c>
      <c r="AX293" s="208" t="s">
        <v>68</v>
      </c>
      <c r="AY293" s="204" t="s">
        <v>114</v>
      </c>
    </row>
    <row r="294" spans="2:51" s="228" customFormat="1" ht="12">
      <c r="B294" s="222"/>
      <c r="D294" s="193" t="s">
        <v>121</v>
      </c>
      <c r="E294" s="224" t="s">
        <v>1</v>
      </c>
      <c r="F294" s="266" t="s">
        <v>150</v>
      </c>
      <c r="H294" s="264">
        <f>H291+H293</f>
        <v>280.744</v>
      </c>
      <c r="I294" s="72"/>
      <c r="L294" s="222"/>
      <c r="M294" s="229"/>
      <c r="N294" s="230"/>
      <c r="O294" s="230"/>
      <c r="P294" s="230"/>
      <c r="Q294" s="230"/>
      <c r="R294" s="230"/>
      <c r="S294" s="230"/>
      <c r="T294" s="231"/>
      <c r="AT294" s="224" t="s">
        <v>121</v>
      </c>
      <c r="AU294" s="224" t="s">
        <v>76</v>
      </c>
      <c r="AV294" s="228" t="s">
        <v>119</v>
      </c>
      <c r="AW294" s="228" t="s">
        <v>32</v>
      </c>
      <c r="AX294" s="228" t="s">
        <v>73</v>
      </c>
      <c r="AY294" s="224" t="s">
        <v>114</v>
      </c>
    </row>
    <row r="295" spans="2:65" s="92" customFormat="1" ht="22.5" customHeight="1">
      <c r="B295" s="90"/>
      <c r="C295" s="178" t="s">
        <v>334</v>
      </c>
      <c r="D295" s="178" t="s">
        <v>116</v>
      </c>
      <c r="E295" s="179" t="s">
        <v>274</v>
      </c>
      <c r="F295" s="180" t="s">
        <v>991</v>
      </c>
      <c r="G295" s="181" t="s">
        <v>191</v>
      </c>
      <c r="H295" s="182">
        <f>H299</f>
        <v>484.772</v>
      </c>
      <c r="I295" s="69"/>
      <c r="J295" s="184">
        <f>ROUND(I295*H295,2)</f>
        <v>0</v>
      </c>
      <c r="K295" s="180" t="s">
        <v>1</v>
      </c>
      <c r="L295" s="90"/>
      <c r="M295" s="185" t="s">
        <v>1</v>
      </c>
      <c r="N295" s="186" t="s">
        <v>41</v>
      </c>
      <c r="O295" s="187"/>
      <c r="P295" s="188">
        <f>O295*H295</f>
        <v>0</v>
      </c>
      <c r="Q295" s="188">
        <v>0</v>
      </c>
      <c r="R295" s="188">
        <f>Q295*H295</f>
        <v>0</v>
      </c>
      <c r="S295" s="188">
        <v>0</v>
      </c>
      <c r="T295" s="189">
        <f>S295*H295</f>
        <v>0</v>
      </c>
      <c r="AR295" s="81" t="s">
        <v>119</v>
      </c>
      <c r="AT295" s="81" t="s">
        <v>116</v>
      </c>
      <c r="AU295" s="81" t="s">
        <v>76</v>
      </c>
      <c r="AY295" s="81" t="s">
        <v>114</v>
      </c>
      <c r="BE295" s="190">
        <f>IF(N295="základní",J295,0)</f>
        <v>0</v>
      </c>
      <c r="BF295" s="190">
        <f>IF(N295="snížená",J295,0)</f>
        <v>0</v>
      </c>
      <c r="BG295" s="190">
        <f>IF(N295="zákl. přenesená",J295,0)</f>
        <v>0</v>
      </c>
      <c r="BH295" s="190">
        <f>IF(N295="sníž. přenesená",J295,0)</f>
        <v>0</v>
      </c>
      <c r="BI295" s="190">
        <f>IF(N295="nulová",J295,0)</f>
        <v>0</v>
      </c>
      <c r="BJ295" s="81" t="s">
        <v>73</v>
      </c>
      <c r="BK295" s="190">
        <f>ROUND(I295*H295,2)</f>
        <v>0</v>
      </c>
      <c r="BL295" s="81" t="s">
        <v>119</v>
      </c>
      <c r="BM295" s="81" t="s">
        <v>992</v>
      </c>
    </row>
    <row r="296" spans="2:51" s="198" customFormat="1" ht="12">
      <c r="B296" s="191"/>
      <c r="D296" s="193" t="s">
        <v>121</v>
      </c>
      <c r="E296" s="194" t="s">
        <v>1</v>
      </c>
      <c r="F296" s="259" t="s">
        <v>277</v>
      </c>
      <c r="H296" s="194" t="s">
        <v>1</v>
      </c>
      <c r="I296" s="71"/>
      <c r="L296" s="191"/>
      <c r="M296" s="199"/>
      <c r="N296" s="200"/>
      <c r="O296" s="200"/>
      <c r="P296" s="200"/>
      <c r="Q296" s="200"/>
      <c r="R296" s="200"/>
      <c r="S296" s="200"/>
      <c r="T296" s="201"/>
      <c r="AT296" s="194" t="s">
        <v>121</v>
      </c>
      <c r="AU296" s="194" t="s">
        <v>76</v>
      </c>
      <c r="AV296" s="198" t="s">
        <v>73</v>
      </c>
      <c r="AW296" s="198" t="s">
        <v>32</v>
      </c>
      <c r="AX296" s="198" t="s">
        <v>68</v>
      </c>
      <c r="AY296" s="194" t="s">
        <v>114</v>
      </c>
    </row>
    <row r="297" spans="2:51" s="198" customFormat="1" ht="12">
      <c r="B297" s="191"/>
      <c r="D297" s="193" t="s">
        <v>121</v>
      </c>
      <c r="E297" s="194" t="s">
        <v>1</v>
      </c>
      <c r="F297" s="259" t="s">
        <v>264</v>
      </c>
      <c r="H297" s="194" t="s">
        <v>1</v>
      </c>
      <c r="I297" s="71"/>
      <c r="L297" s="191"/>
      <c r="M297" s="199"/>
      <c r="N297" s="200"/>
      <c r="O297" s="200"/>
      <c r="P297" s="200"/>
      <c r="Q297" s="200"/>
      <c r="R297" s="200"/>
      <c r="S297" s="200"/>
      <c r="T297" s="201"/>
      <c r="AT297" s="194" t="s">
        <v>121</v>
      </c>
      <c r="AU297" s="194" t="s">
        <v>76</v>
      </c>
      <c r="AV297" s="198" t="s">
        <v>73</v>
      </c>
      <c r="AW297" s="198" t="s">
        <v>32</v>
      </c>
      <c r="AX297" s="198" t="s">
        <v>68</v>
      </c>
      <c r="AY297" s="194" t="s">
        <v>114</v>
      </c>
    </row>
    <row r="298" spans="2:51" s="208" customFormat="1" ht="12">
      <c r="B298" s="202"/>
      <c r="D298" s="193" t="s">
        <v>121</v>
      </c>
      <c r="E298" s="204" t="s">
        <v>1</v>
      </c>
      <c r="F298" s="205" t="s">
        <v>1495</v>
      </c>
      <c r="H298" s="261">
        <f>625.144-140.372</f>
        <v>484.772</v>
      </c>
      <c r="I298" s="70"/>
      <c r="L298" s="202"/>
      <c r="M298" s="209"/>
      <c r="N298" s="210"/>
      <c r="O298" s="210"/>
      <c r="P298" s="210"/>
      <c r="Q298" s="210"/>
      <c r="R298" s="210"/>
      <c r="S298" s="210"/>
      <c r="T298" s="211"/>
      <c r="AT298" s="204" t="s">
        <v>121</v>
      </c>
      <c r="AU298" s="204" t="s">
        <v>76</v>
      </c>
      <c r="AV298" s="208" t="s">
        <v>76</v>
      </c>
      <c r="AW298" s="208" t="s">
        <v>32</v>
      </c>
      <c r="AX298" s="208" t="s">
        <v>68</v>
      </c>
      <c r="AY298" s="204" t="s">
        <v>114</v>
      </c>
    </row>
    <row r="299" spans="2:51" s="228" customFormat="1" ht="12">
      <c r="B299" s="222"/>
      <c r="D299" s="193" t="s">
        <v>121</v>
      </c>
      <c r="E299" s="224" t="s">
        <v>1</v>
      </c>
      <c r="F299" s="266" t="s">
        <v>150</v>
      </c>
      <c r="H299" s="264">
        <f>H298</f>
        <v>484.772</v>
      </c>
      <c r="I299" s="72"/>
      <c r="L299" s="222"/>
      <c r="M299" s="229"/>
      <c r="N299" s="230"/>
      <c r="O299" s="230"/>
      <c r="P299" s="230"/>
      <c r="Q299" s="230"/>
      <c r="R299" s="230"/>
      <c r="S299" s="230"/>
      <c r="T299" s="231"/>
      <c r="AT299" s="224" t="s">
        <v>121</v>
      </c>
      <c r="AU299" s="224" t="s">
        <v>76</v>
      </c>
      <c r="AV299" s="228" t="s">
        <v>119</v>
      </c>
      <c r="AW299" s="228" t="s">
        <v>32</v>
      </c>
      <c r="AX299" s="228" t="s">
        <v>73</v>
      </c>
      <c r="AY299" s="224" t="s">
        <v>114</v>
      </c>
    </row>
    <row r="300" spans="2:65" s="92" customFormat="1" ht="16.5" customHeight="1">
      <c r="B300" s="90"/>
      <c r="C300" s="178" t="s">
        <v>338</v>
      </c>
      <c r="D300" s="178" t="s">
        <v>116</v>
      </c>
      <c r="E300" s="179" t="s">
        <v>993</v>
      </c>
      <c r="F300" s="180" t="s">
        <v>994</v>
      </c>
      <c r="G300" s="181" t="s">
        <v>191</v>
      </c>
      <c r="H300" s="182">
        <f>H305</f>
        <v>140.372</v>
      </c>
      <c r="I300" s="69"/>
      <c r="J300" s="184">
        <f>ROUND(I300*H300,2)</f>
        <v>0</v>
      </c>
      <c r="K300" s="180" t="s">
        <v>154</v>
      </c>
      <c r="L300" s="90"/>
      <c r="M300" s="185" t="s">
        <v>1</v>
      </c>
      <c r="N300" s="186" t="s">
        <v>41</v>
      </c>
      <c r="O300" s="187"/>
      <c r="P300" s="188">
        <f>O300*H300</f>
        <v>0</v>
      </c>
      <c r="Q300" s="188">
        <v>0</v>
      </c>
      <c r="R300" s="188">
        <f>Q300*H300</f>
        <v>0</v>
      </c>
      <c r="S300" s="188">
        <v>0</v>
      </c>
      <c r="T300" s="189">
        <f>S300*H300</f>
        <v>0</v>
      </c>
      <c r="AR300" s="81" t="s">
        <v>119</v>
      </c>
      <c r="AT300" s="81" t="s">
        <v>116</v>
      </c>
      <c r="AU300" s="81" t="s">
        <v>76</v>
      </c>
      <c r="AY300" s="81" t="s">
        <v>114</v>
      </c>
      <c r="BE300" s="190">
        <f>IF(N300="základní",J300,0)</f>
        <v>0</v>
      </c>
      <c r="BF300" s="190">
        <f>IF(N300="snížená",J300,0)</f>
        <v>0</v>
      </c>
      <c r="BG300" s="190">
        <f>IF(N300="zákl. přenesená",J300,0)</f>
        <v>0</v>
      </c>
      <c r="BH300" s="190">
        <f>IF(N300="sníž. přenesená",J300,0)</f>
        <v>0</v>
      </c>
      <c r="BI300" s="190">
        <f>IF(N300="nulová",J300,0)</f>
        <v>0</v>
      </c>
      <c r="BJ300" s="81" t="s">
        <v>73</v>
      </c>
      <c r="BK300" s="190">
        <f>ROUND(I300*H300,2)</f>
        <v>0</v>
      </c>
      <c r="BL300" s="81" t="s">
        <v>119</v>
      </c>
      <c r="BM300" s="81" t="s">
        <v>995</v>
      </c>
    </row>
    <row r="301" spans="2:51" s="198" customFormat="1" ht="12">
      <c r="B301" s="191"/>
      <c r="D301" s="193" t="s">
        <v>121</v>
      </c>
      <c r="E301" s="194" t="s">
        <v>1</v>
      </c>
      <c r="F301" s="259" t="s">
        <v>282</v>
      </c>
      <c r="H301" s="194" t="s">
        <v>1</v>
      </c>
      <c r="I301" s="71"/>
      <c r="L301" s="191"/>
      <c r="M301" s="199"/>
      <c r="N301" s="200"/>
      <c r="O301" s="200"/>
      <c r="P301" s="200"/>
      <c r="Q301" s="200"/>
      <c r="R301" s="200"/>
      <c r="S301" s="200"/>
      <c r="T301" s="201"/>
      <c r="AT301" s="194" t="s">
        <v>121</v>
      </c>
      <c r="AU301" s="194" t="s">
        <v>76</v>
      </c>
      <c r="AV301" s="198" t="s">
        <v>73</v>
      </c>
      <c r="AW301" s="198" t="s">
        <v>32</v>
      </c>
      <c r="AX301" s="198" t="s">
        <v>68</v>
      </c>
      <c r="AY301" s="194" t="s">
        <v>114</v>
      </c>
    </row>
    <row r="302" spans="2:51" s="198" customFormat="1" ht="12">
      <c r="B302" s="191"/>
      <c r="D302" s="193" t="s">
        <v>121</v>
      </c>
      <c r="E302" s="194" t="s">
        <v>1</v>
      </c>
      <c r="F302" s="259" t="s">
        <v>996</v>
      </c>
      <c r="H302" s="194" t="s">
        <v>1</v>
      </c>
      <c r="I302" s="71"/>
      <c r="L302" s="191"/>
      <c r="M302" s="199"/>
      <c r="N302" s="200"/>
      <c r="O302" s="200"/>
      <c r="P302" s="200"/>
      <c r="Q302" s="200"/>
      <c r="R302" s="200"/>
      <c r="S302" s="200"/>
      <c r="T302" s="201"/>
      <c r="AT302" s="194" t="s">
        <v>121</v>
      </c>
      <c r="AU302" s="194" t="s">
        <v>76</v>
      </c>
      <c r="AV302" s="198" t="s">
        <v>73</v>
      </c>
      <c r="AW302" s="198" t="s">
        <v>32</v>
      </c>
      <c r="AX302" s="198" t="s">
        <v>68</v>
      </c>
      <c r="AY302" s="194" t="s">
        <v>114</v>
      </c>
    </row>
    <row r="303" spans="2:51" s="198" customFormat="1" ht="12">
      <c r="B303" s="191"/>
      <c r="D303" s="193" t="s">
        <v>121</v>
      </c>
      <c r="E303" s="194" t="s">
        <v>1</v>
      </c>
      <c r="F303" s="259" t="s">
        <v>264</v>
      </c>
      <c r="H303" s="194" t="s">
        <v>1</v>
      </c>
      <c r="I303" s="71"/>
      <c r="L303" s="191"/>
      <c r="M303" s="199"/>
      <c r="N303" s="200"/>
      <c r="O303" s="200"/>
      <c r="P303" s="200"/>
      <c r="Q303" s="200"/>
      <c r="R303" s="200"/>
      <c r="S303" s="200"/>
      <c r="T303" s="201"/>
      <c r="AT303" s="194" t="s">
        <v>121</v>
      </c>
      <c r="AU303" s="194" t="s">
        <v>76</v>
      </c>
      <c r="AV303" s="198" t="s">
        <v>73</v>
      </c>
      <c r="AW303" s="198" t="s">
        <v>32</v>
      </c>
      <c r="AX303" s="198" t="s">
        <v>68</v>
      </c>
      <c r="AY303" s="194" t="s">
        <v>114</v>
      </c>
    </row>
    <row r="304" spans="2:51" s="208" customFormat="1" ht="12">
      <c r="B304" s="202"/>
      <c r="D304" s="193" t="s">
        <v>121</v>
      </c>
      <c r="E304" s="204" t="s">
        <v>1</v>
      </c>
      <c r="F304" s="205" t="s">
        <v>1494</v>
      </c>
      <c r="G304" s="206"/>
      <c r="H304" s="261">
        <f>280.744/2</f>
        <v>140.372</v>
      </c>
      <c r="I304" s="70"/>
      <c r="L304" s="202"/>
      <c r="M304" s="209"/>
      <c r="N304" s="210"/>
      <c r="O304" s="210"/>
      <c r="P304" s="210"/>
      <c r="Q304" s="210"/>
      <c r="R304" s="210"/>
      <c r="S304" s="210"/>
      <c r="T304" s="211"/>
      <c r="AT304" s="204" t="s">
        <v>121</v>
      </c>
      <c r="AU304" s="204" t="s">
        <v>76</v>
      </c>
      <c r="AV304" s="208" t="s">
        <v>76</v>
      </c>
      <c r="AW304" s="208" t="s">
        <v>32</v>
      </c>
      <c r="AX304" s="208" t="s">
        <v>68</v>
      </c>
      <c r="AY304" s="204" t="s">
        <v>114</v>
      </c>
    </row>
    <row r="305" spans="2:51" s="228" customFormat="1" ht="12">
      <c r="B305" s="222"/>
      <c r="D305" s="193" t="s">
        <v>121</v>
      </c>
      <c r="E305" s="224" t="s">
        <v>1</v>
      </c>
      <c r="F305" s="266" t="s">
        <v>150</v>
      </c>
      <c r="H305" s="264">
        <f>H304</f>
        <v>140.372</v>
      </c>
      <c r="I305" s="72"/>
      <c r="L305" s="222"/>
      <c r="M305" s="229"/>
      <c r="N305" s="230"/>
      <c r="O305" s="230"/>
      <c r="P305" s="230"/>
      <c r="Q305" s="230"/>
      <c r="R305" s="230"/>
      <c r="S305" s="230"/>
      <c r="T305" s="231"/>
      <c r="AT305" s="224" t="s">
        <v>121</v>
      </c>
      <c r="AU305" s="224" t="s">
        <v>76</v>
      </c>
      <c r="AV305" s="228" t="s">
        <v>119</v>
      </c>
      <c r="AW305" s="228" t="s">
        <v>32</v>
      </c>
      <c r="AX305" s="228" t="s">
        <v>73</v>
      </c>
      <c r="AY305" s="224" t="s">
        <v>114</v>
      </c>
    </row>
    <row r="306" spans="2:65" s="92" customFormat="1" ht="16.5" customHeight="1">
      <c r="B306" s="90"/>
      <c r="C306" s="178" t="s">
        <v>343</v>
      </c>
      <c r="D306" s="178" t="s">
        <v>116</v>
      </c>
      <c r="E306" s="179" t="s">
        <v>298</v>
      </c>
      <c r="F306" s="180" t="s">
        <v>299</v>
      </c>
      <c r="G306" s="181" t="s">
        <v>300</v>
      </c>
      <c r="H306" s="182">
        <f>H308</f>
        <v>872.5896</v>
      </c>
      <c r="I306" s="69"/>
      <c r="J306" s="184">
        <f>ROUND(I306*H306,2)</f>
        <v>0</v>
      </c>
      <c r="K306" s="180" t="s">
        <v>154</v>
      </c>
      <c r="L306" s="90"/>
      <c r="M306" s="185" t="s">
        <v>1</v>
      </c>
      <c r="N306" s="186" t="s">
        <v>41</v>
      </c>
      <c r="O306" s="187"/>
      <c r="P306" s="188">
        <f>O306*H306</f>
        <v>0</v>
      </c>
      <c r="Q306" s="188">
        <v>0</v>
      </c>
      <c r="R306" s="188">
        <f>Q306*H306</f>
        <v>0</v>
      </c>
      <c r="S306" s="188">
        <v>0</v>
      </c>
      <c r="T306" s="189">
        <f>S306*H306</f>
        <v>0</v>
      </c>
      <c r="AR306" s="81" t="s">
        <v>119</v>
      </c>
      <c r="AT306" s="81" t="s">
        <v>116</v>
      </c>
      <c r="AU306" s="81" t="s">
        <v>76</v>
      </c>
      <c r="AY306" s="81" t="s">
        <v>114</v>
      </c>
      <c r="BE306" s="190">
        <f>IF(N306="základní",J306,0)</f>
        <v>0</v>
      </c>
      <c r="BF306" s="190">
        <f>IF(N306="snížená",J306,0)</f>
        <v>0</v>
      </c>
      <c r="BG306" s="190">
        <f>IF(N306="zákl. přenesená",J306,0)</f>
        <v>0</v>
      </c>
      <c r="BH306" s="190">
        <f>IF(N306="sníž. přenesená",J306,0)</f>
        <v>0</v>
      </c>
      <c r="BI306" s="190">
        <f>IF(N306="nulová",J306,0)</f>
        <v>0</v>
      </c>
      <c r="BJ306" s="81" t="s">
        <v>73</v>
      </c>
      <c r="BK306" s="190">
        <f>ROUND(I306*H306,2)</f>
        <v>0</v>
      </c>
      <c r="BL306" s="81" t="s">
        <v>119</v>
      </c>
      <c r="BM306" s="81" t="s">
        <v>997</v>
      </c>
    </row>
    <row r="307" spans="2:51" s="208" customFormat="1" ht="12">
      <c r="B307" s="202"/>
      <c r="D307" s="193" t="s">
        <v>121</v>
      </c>
      <c r="E307" s="204" t="s">
        <v>1</v>
      </c>
      <c r="F307" s="205" t="s">
        <v>1496</v>
      </c>
      <c r="H307" s="261">
        <f>484.772*1.8</f>
        <v>872.5896</v>
      </c>
      <c r="I307" s="70"/>
      <c r="L307" s="202"/>
      <c r="M307" s="209"/>
      <c r="N307" s="210"/>
      <c r="O307" s="210"/>
      <c r="P307" s="210"/>
      <c r="Q307" s="210"/>
      <c r="R307" s="210"/>
      <c r="S307" s="210"/>
      <c r="T307" s="211"/>
      <c r="AT307" s="204" t="s">
        <v>121</v>
      </c>
      <c r="AU307" s="204" t="s">
        <v>76</v>
      </c>
      <c r="AV307" s="208" t="s">
        <v>76</v>
      </c>
      <c r="AW307" s="208" t="s">
        <v>32</v>
      </c>
      <c r="AX307" s="208" t="s">
        <v>68</v>
      </c>
      <c r="AY307" s="204" t="s">
        <v>114</v>
      </c>
    </row>
    <row r="308" spans="2:51" s="228" customFormat="1" ht="12">
      <c r="B308" s="222"/>
      <c r="D308" s="193" t="s">
        <v>121</v>
      </c>
      <c r="E308" s="224" t="s">
        <v>1</v>
      </c>
      <c r="F308" s="266" t="s">
        <v>150</v>
      </c>
      <c r="H308" s="264">
        <f>H307</f>
        <v>872.5896</v>
      </c>
      <c r="I308" s="72"/>
      <c r="L308" s="222"/>
      <c r="M308" s="229"/>
      <c r="N308" s="230"/>
      <c r="O308" s="230"/>
      <c r="P308" s="230"/>
      <c r="Q308" s="230"/>
      <c r="R308" s="230"/>
      <c r="S308" s="230"/>
      <c r="T308" s="231"/>
      <c r="AT308" s="224" t="s">
        <v>121</v>
      </c>
      <c r="AU308" s="224" t="s">
        <v>76</v>
      </c>
      <c r="AV308" s="228" t="s">
        <v>119</v>
      </c>
      <c r="AW308" s="228" t="s">
        <v>32</v>
      </c>
      <c r="AX308" s="228" t="s">
        <v>73</v>
      </c>
      <c r="AY308" s="224" t="s">
        <v>114</v>
      </c>
    </row>
    <row r="309" spans="2:65" s="92" customFormat="1" ht="16.5" customHeight="1">
      <c r="B309" s="90"/>
      <c r="C309" s="178" t="s">
        <v>349</v>
      </c>
      <c r="D309" s="178" t="s">
        <v>116</v>
      </c>
      <c r="E309" s="179" t="s">
        <v>303</v>
      </c>
      <c r="F309" s="232" t="s">
        <v>304</v>
      </c>
      <c r="G309" s="181" t="s">
        <v>191</v>
      </c>
      <c r="H309" s="182">
        <f>H320</f>
        <v>280.744</v>
      </c>
      <c r="I309" s="69"/>
      <c r="J309" s="184">
        <f>ROUND(I309*H309,2)</f>
        <v>0</v>
      </c>
      <c r="K309" s="180" t="s">
        <v>154</v>
      </c>
      <c r="L309" s="90"/>
      <c r="M309" s="185" t="s">
        <v>1</v>
      </c>
      <c r="N309" s="186" t="s">
        <v>41</v>
      </c>
      <c r="O309" s="187"/>
      <c r="P309" s="188">
        <f>O309*H309</f>
        <v>0</v>
      </c>
      <c r="Q309" s="188">
        <v>0</v>
      </c>
      <c r="R309" s="188">
        <f>Q309*H309</f>
        <v>0</v>
      </c>
      <c r="S309" s="188">
        <v>0</v>
      </c>
      <c r="T309" s="189">
        <f>S309*H309</f>
        <v>0</v>
      </c>
      <c r="AR309" s="81" t="s">
        <v>119</v>
      </c>
      <c r="AT309" s="81" t="s">
        <v>116</v>
      </c>
      <c r="AU309" s="81" t="s">
        <v>76</v>
      </c>
      <c r="AY309" s="81" t="s">
        <v>114</v>
      </c>
      <c r="BE309" s="190">
        <f>IF(N309="základní",J309,0)</f>
        <v>0</v>
      </c>
      <c r="BF309" s="190">
        <f>IF(N309="snížená",J309,0)</f>
        <v>0</v>
      </c>
      <c r="BG309" s="190">
        <f>IF(N309="zákl. přenesená",J309,0)</f>
        <v>0</v>
      </c>
      <c r="BH309" s="190">
        <f>IF(N309="sníž. přenesená",J309,0)</f>
        <v>0</v>
      </c>
      <c r="BI309" s="190">
        <f>IF(N309="nulová",J309,0)</f>
        <v>0</v>
      </c>
      <c r="BJ309" s="81" t="s">
        <v>73</v>
      </c>
      <c r="BK309" s="190">
        <f>ROUND(I309*H309,2)</f>
        <v>0</v>
      </c>
      <c r="BL309" s="81" t="s">
        <v>119</v>
      </c>
      <c r="BM309" s="81" t="s">
        <v>998</v>
      </c>
    </row>
    <row r="310" spans="2:51" s="198" customFormat="1" ht="12">
      <c r="B310" s="191"/>
      <c r="D310" s="193" t="s">
        <v>121</v>
      </c>
      <c r="E310" s="194" t="s">
        <v>1</v>
      </c>
      <c r="F310" s="259" t="s">
        <v>306</v>
      </c>
      <c r="H310" s="194" t="s">
        <v>1</v>
      </c>
      <c r="I310" s="71"/>
      <c r="L310" s="191"/>
      <c r="M310" s="199"/>
      <c r="N310" s="200"/>
      <c r="O310" s="200"/>
      <c r="P310" s="200"/>
      <c r="Q310" s="200"/>
      <c r="R310" s="200"/>
      <c r="S310" s="200"/>
      <c r="T310" s="201"/>
      <c r="AT310" s="194" t="s">
        <v>121</v>
      </c>
      <c r="AU310" s="194" t="s">
        <v>76</v>
      </c>
      <c r="AV310" s="198" t="s">
        <v>73</v>
      </c>
      <c r="AW310" s="198" t="s">
        <v>32</v>
      </c>
      <c r="AX310" s="198" t="s">
        <v>68</v>
      </c>
      <c r="AY310" s="194" t="s">
        <v>114</v>
      </c>
    </row>
    <row r="311" spans="2:51" s="198" customFormat="1" ht="12">
      <c r="B311" s="191"/>
      <c r="D311" s="193" t="s">
        <v>121</v>
      </c>
      <c r="E311" s="194" t="s">
        <v>1</v>
      </c>
      <c r="F311" s="259" t="s">
        <v>307</v>
      </c>
      <c r="H311" s="194" t="s">
        <v>1</v>
      </c>
      <c r="I311" s="71"/>
      <c r="L311" s="191"/>
      <c r="M311" s="199"/>
      <c r="N311" s="200"/>
      <c r="O311" s="200"/>
      <c r="P311" s="200"/>
      <c r="Q311" s="200"/>
      <c r="R311" s="200"/>
      <c r="S311" s="200"/>
      <c r="T311" s="201"/>
      <c r="AT311" s="194" t="s">
        <v>121</v>
      </c>
      <c r="AU311" s="194" t="s">
        <v>76</v>
      </c>
      <c r="AV311" s="198" t="s">
        <v>73</v>
      </c>
      <c r="AW311" s="198" t="s">
        <v>32</v>
      </c>
      <c r="AX311" s="198" t="s">
        <v>68</v>
      </c>
      <c r="AY311" s="194" t="s">
        <v>114</v>
      </c>
    </row>
    <row r="312" spans="2:51" s="198" customFormat="1" ht="12">
      <c r="B312" s="191"/>
      <c r="D312" s="193" t="s">
        <v>121</v>
      </c>
      <c r="E312" s="194" t="s">
        <v>1</v>
      </c>
      <c r="F312" s="259" t="s">
        <v>308</v>
      </c>
      <c r="H312" s="194" t="s">
        <v>1</v>
      </c>
      <c r="I312" s="71"/>
      <c r="L312" s="191"/>
      <c r="M312" s="199"/>
      <c r="N312" s="200"/>
      <c r="O312" s="200"/>
      <c r="P312" s="200"/>
      <c r="Q312" s="200"/>
      <c r="R312" s="200"/>
      <c r="S312" s="200"/>
      <c r="T312" s="201"/>
      <c r="AT312" s="194" t="s">
        <v>121</v>
      </c>
      <c r="AU312" s="194" t="s">
        <v>76</v>
      </c>
      <c r="AV312" s="198" t="s">
        <v>73</v>
      </c>
      <c r="AW312" s="198" t="s">
        <v>32</v>
      </c>
      <c r="AX312" s="198" t="s">
        <v>68</v>
      </c>
      <c r="AY312" s="194" t="s">
        <v>114</v>
      </c>
    </row>
    <row r="313" spans="2:51" s="198" customFormat="1" ht="12">
      <c r="B313" s="191"/>
      <c r="D313" s="193" t="s">
        <v>121</v>
      </c>
      <c r="E313" s="194" t="s">
        <v>1</v>
      </c>
      <c r="F313" s="259" t="s">
        <v>309</v>
      </c>
      <c r="H313" s="194" t="s">
        <v>1</v>
      </c>
      <c r="I313" s="71"/>
      <c r="L313" s="191"/>
      <c r="M313" s="199"/>
      <c r="N313" s="200"/>
      <c r="O313" s="200"/>
      <c r="P313" s="200"/>
      <c r="Q313" s="200"/>
      <c r="R313" s="200"/>
      <c r="S313" s="200"/>
      <c r="T313" s="201"/>
      <c r="AT313" s="194" t="s">
        <v>121</v>
      </c>
      <c r="AU313" s="194" t="s">
        <v>76</v>
      </c>
      <c r="AV313" s="198" t="s">
        <v>73</v>
      </c>
      <c r="AW313" s="198" t="s">
        <v>32</v>
      </c>
      <c r="AX313" s="198" t="s">
        <v>68</v>
      </c>
      <c r="AY313" s="194" t="s">
        <v>114</v>
      </c>
    </row>
    <row r="314" spans="2:51" s="208" customFormat="1" ht="12">
      <c r="B314" s="202"/>
      <c r="D314" s="193" t="s">
        <v>121</v>
      </c>
      <c r="E314" s="204" t="s">
        <v>1</v>
      </c>
      <c r="F314" s="260">
        <v>625.144</v>
      </c>
      <c r="H314" s="261">
        <f>625.144</f>
        <v>625.144</v>
      </c>
      <c r="I314" s="70"/>
      <c r="L314" s="202"/>
      <c r="M314" s="209"/>
      <c r="N314" s="210"/>
      <c r="O314" s="210"/>
      <c r="P314" s="210"/>
      <c r="Q314" s="210"/>
      <c r="R314" s="210"/>
      <c r="S314" s="210"/>
      <c r="T314" s="211"/>
      <c r="AT314" s="204" t="s">
        <v>121</v>
      </c>
      <c r="AU314" s="204" t="s">
        <v>76</v>
      </c>
      <c r="AV314" s="208" t="s">
        <v>76</v>
      </c>
      <c r="AW314" s="208" t="s">
        <v>32</v>
      </c>
      <c r="AX314" s="208" t="s">
        <v>68</v>
      </c>
      <c r="AY314" s="204" t="s">
        <v>114</v>
      </c>
    </row>
    <row r="315" spans="2:51" s="198" customFormat="1" ht="12">
      <c r="B315" s="191"/>
      <c r="D315" s="193" t="s">
        <v>121</v>
      </c>
      <c r="E315" s="194" t="s">
        <v>1</v>
      </c>
      <c r="F315" s="259" t="s">
        <v>310</v>
      </c>
      <c r="H315" s="194" t="s">
        <v>1</v>
      </c>
      <c r="I315" s="71"/>
      <c r="L315" s="191"/>
      <c r="M315" s="199"/>
      <c r="N315" s="200"/>
      <c r="O315" s="200"/>
      <c r="P315" s="200"/>
      <c r="Q315" s="200"/>
      <c r="R315" s="200"/>
      <c r="S315" s="200"/>
      <c r="T315" s="201"/>
      <c r="AT315" s="194" t="s">
        <v>121</v>
      </c>
      <c r="AU315" s="194" t="s">
        <v>76</v>
      </c>
      <c r="AV315" s="198" t="s">
        <v>73</v>
      </c>
      <c r="AW315" s="198" t="s">
        <v>32</v>
      </c>
      <c r="AX315" s="198" t="s">
        <v>68</v>
      </c>
      <c r="AY315" s="194" t="s">
        <v>114</v>
      </c>
    </row>
    <row r="316" spans="2:51" s="208" customFormat="1" ht="12">
      <c r="B316" s="202"/>
      <c r="D316" s="193" t="s">
        <v>121</v>
      </c>
      <c r="E316" s="204" t="s">
        <v>1</v>
      </c>
      <c r="F316" s="260">
        <v>-229.2</v>
      </c>
      <c r="H316" s="261">
        <v>-229.2</v>
      </c>
      <c r="I316" s="70"/>
      <c r="L316" s="202"/>
      <c r="M316" s="209"/>
      <c r="N316" s="210"/>
      <c r="O316" s="210"/>
      <c r="P316" s="210"/>
      <c r="Q316" s="210"/>
      <c r="R316" s="210"/>
      <c r="S316" s="210"/>
      <c r="T316" s="211"/>
      <c r="AT316" s="204" t="s">
        <v>121</v>
      </c>
      <c r="AU316" s="204" t="s">
        <v>76</v>
      </c>
      <c r="AV316" s="208" t="s">
        <v>76</v>
      </c>
      <c r="AW316" s="208" t="s">
        <v>32</v>
      </c>
      <c r="AX316" s="208" t="s">
        <v>68</v>
      </c>
      <c r="AY316" s="204" t="s">
        <v>114</v>
      </c>
    </row>
    <row r="317" spans="2:51" s="198" customFormat="1" ht="12">
      <c r="B317" s="191"/>
      <c r="D317" s="193" t="s">
        <v>121</v>
      </c>
      <c r="E317" s="194" t="s">
        <v>1</v>
      </c>
      <c r="F317" s="259" t="s">
        <v>315</v>
      </c>
      <c r="H317" s="194" t="s">
        <v>1</v>
      </c>
      <c r="I317" s="71"/>
      <c r="L317" s="191"/>
      <c r="M317" s="199"/>
      <c r="N317" s="200"/>
      <c r="O317" s="200"/>
      <c r="P317" s="200"/>
      <c r="Q317" s="200"/>
      <c r="R317" s="200"/>
      <c r="S317" s="200"/>
      <c r="T317" s="201"/>
      <c r="AT317" s="194" t="s">
        <v>121</v>
      </c>
      <c r="AU317" s="194" t="s">
        <v>76</v>
      </c>
      <c r="AV317" s="198" t="s">
        <v>73</v>
      </c>
      <c r="AW317" s="198" t="s">
        <v>32</v>
      </c>
      <c r="AX317" s="198" t="s">
        <v>68</v>
      </c>
      <c r="AY317" s="194" t="s">
        <v>114</v>
      </c>
    </row>
    <row r="318" spans="2:51" s="198" customFormat="1" ht="12">
      <c r="B318" s="191"/>
      <c r="D318" s="193" t="s">
        <v>121</v>
      </c>
      <c r="E318" s="194" t="s">
        <v>1</v>
      </c>
      <c r="F318" s="259" t="s">
        <v>316</v>
      </c>
      <c r="H318" s="194" t="s">
        <v>1</v>
      </c>
      <c r="I318" s="71"/>
      <c r="L318" s="191"/>
      <c r="M318" s="199"/>
      <c r="N318" s="200"/>
      <c r="O318" s="200"/>
      <c r="P318" s="200"/>
      <c r="Q318" s="200"/>
      <c r="R318" s="200"/>
      <c r="S318" s="200"/>
      <c r="T318" s="201"/>
      <c r="AT318" s="194" t="s">
        <v>121</v>
      </c>
      <c r="AU318" s="194" t="s">
        <v>76</v>
      </c>
      <c r="AV318" s="198" t="s">
        <v>73</v>
      </c>
      <c r="AW318" s="198" t="s">
        <v>32</v>
      </c>
      <c r="AX318" s="198" t="s">
        <v>68</v>
      </c>
      <c r="AY318" s="194" t="s">
        <v>114</v>
      </c>
    </row>
    <row r="319" spans="2:51" s="208" customFormat="1" ht="12">
      <c r="B319" s="202"/>
      <c r="D319" s="193" t="s">
        <v>121</v>
      </c>
      <c r="E319" s="204" t="s">
        <v>1</v>
      </c>
      <c r="F319" s="260" t="s">
        <v>999</v>
      </c>
      <c r="H319" s="261">
        <v>-115.2</v>
      </c>
      <c r="I319" s="70"/>
      <c r="L319" s="202"/>
      <c r="M319" s="209"/>
      <c r="N319" s="210"/>
      <c r="O319" s="210"/>
      <c r="P319" s="210"/>
      <c r="Q319" s="210"/>
      <c r="R319" s="210"/>
      <c r="S319" s="210"/>
      <c r="T319" s="211"/>
      <c r="AT319" s="204" t="s">
        <v>121</v>
      </c>
      <c r="AU319" s="204" t="s">
        <v>76</v>
      </c>
      <c r="AV319" s="208" t="s">
        <v>76</v>
      </c>
      <c r="AW319" s="208" t="s">
        <v>32</v>
      </c>
      <c r="AX319" s="208" t="s">
        <v>68</v>
      </c>
      <c r="AY319" s="204" t="s">
        <v>114</v>
      </c>
    </row>
    <row r="320" spans="2:51" s="228" customFormat="1" ht="12">
      <c r="B320" s="222"/>
      <c r="D320" s="193" t="s">
        <v>121</v>
      </c>
      <c r="E320" s="224" t="s">
        <v>1</v>
      </c>
      <c r="F320" s="266" t="s">
        <v>150</v>
      </c>
      <c r="H320" s="264">
        <f>SUM(H314:H319)</f>
        <v>280.744</v>
      </c>
      <c r="I320" s="72"/>
      <c r="L320" s="222"/>
      <c r="M320" s="229"/>
      <c r="N320" s="230"/>
      <c r="O320" s="230"/>
      <c r="P320" s="230"/>
      <c r="Q320" s="230"/>
      <c r="R320" s="230"/>
      <c r="S320" s="230"/>
      <c r="T320" s="231"/>
      <c r="AT320" s="224" t="s">
        <v>121</v>
      </c>
      <c r="AU320" s="224" t="s">
        <v>76</v>
      </c>
      <c r="AV320" s="228" t="s">
        <v>119</v>
      </c>
      <c r="AW320" s="228" t="s">
        <v>32</v>
      </c>
      <c r="AX320" s="228" t="s">
        <v>73</v>
      </c>
      <c r="AY320" s="224" t="s">
        <v>114</v>
      </c>
    </row>
    <row r="321" spans="2:65" s="92" customFormat="1" ht="16.5" customHeight="1">
      <c r="B321" s="90"/>
      <c r="C321" s="247" t="s">
        <v>355</v>
      </c>
      <c r="D321" s="247" t="s">
        <v>319</v>
      </c>
      <c r="E321" s="248" t="s">
        <v>320</v>
      </c>
      <c r="F321" s="249" t="s">
        <v>321</v>
      </c>
      <c r="G321" s="262" t="s">
        <v>300</v>
      </c>
      <c r="H321" s="263">
        <f>H326</f>
        <v>252.66960000000003</v>
      </c>
      <c r="I321" s="76"/>
      <c r="J321" s="252">
        <f>ROUND(I321*H321,2)</f>
        <v>0</v>
      </c>
      <c r="K321" s="253" t="s">
        <v>1</v>
      </c>
      <c r="L321" s="254"/>
      <c r="M321" s="255" t="s">
        <v>1</v>
      </c>
      <c r="N321" s="256" t="s">
        <v>41</v>
      </c>
      <c r="O321" s="187"/>
      <c r="P321" s="188">
        <f>O321*H321</f>
        <v>0</v>
      </c>
      <c r="Q321" s="188">
        <v>1</v>
      </c>
      <c r="R321" s="188">
        <f>Q321*H321</f>
        <v>252.66960000000003</v>
      </c>
      <c r="S321" s="188">
        <v>0</v>
      </c>
      <c r="T321" s="189">
        <f>S321*H321</f>
        <v>0</v>
      </c>
      <c r="AR321" s="81" t="s">
        <v>183</v>
      </c>
      <c r="AT321" s="81" t="s">
        <v>319</v>
      </c>
      <c r="AU321" s="81" t="s">
        <v>76</v>
      </c>
      <c r="AY321" s="81" t="s">
        <v>114</v>
      </c>
      <c r="BE321" s="190">
        <f>IF(N321="základní",J321,0)</f>
        <v>0</v>
      </c>
      <c r="BF321" s="190">
        <f>IF(N321="snížená",J321,0)</f>
        <v>0</v>
      </c>
      <c r="BG321" s="190">
        <f>IF(N321="zákl. přenesená",J321,0)</f>
        <v>0</v>
      </c>
      <c r="BH321" s="190">
        <f>IF(N321="sníž. přenesená",J321,0)</f>
        <v>0</v>
      </c>
      <c r="BI321" s="190">
        <f>IF(N321="nulová",J321,0)</f>
        <v>0</v>
      </c>
      <c r="BJ321" s="81" t="s">
        <v>73</v>
      </c>
      <c r="BK321" s="190">
        <f>ROUND(I321*H321,2)</f>
        <v>0</v>
      </c>
      <c r="BL321" s="81" t="s">
        <v>119</v>
      </c>
      <c r="BM321" s="81" t="s">
        <v>1000</v>
      </c>
    </row>
    <row r="322" spans="2:51" s="198" customFormat="1" ht="12">
      <c r="B322" s="191"/>
      <c r="D322" s="193" t="s">
        <v>121</v>
      </c>
      <c r="E322" s="194" t="s">
        <v>1</v>
      </c>
      <c r="F322" s="259" t="s">
        <v>323</v>
      </c>
      <c r="H322" s="194" t="s">
        <v>1</v>
      </c>
      <c r="I322" s="71"/>
      <c r="L322" s="191"/>
      <c r="M322" s="199"/>
      <c r="N322" s="200"/>
      <c r="O322" s="200"/>
      <c r="P322" s="200"/>
      <c r="Q322" s="200"/>
      <c r="R322" s="200"/>
      <c r="S322" s="200"/>
      <c r="T322" s="201"/>
      <c r="AT322" s="194" t="s">
        <v>121</v>
      </c>
      <c r="AU322" s="194" t="s">
        <v>76</v>
      </c>
      <c r="AV322" s="198" t="s">
        <v>73</v>
      </c>
      <c r="AW322" s="198" t="s">
        <v>32</v>
      </c>
      <c r="AX322" s="198" t="s">
        <v>68</v>
      </c>
      <c r="AY322" s="194" t="s">
        <v>114</v>
      </c>
    </row>
    <row r="323" spans="2:51" s="198" customFormat="1" ht="12">
      <c r="B323" s="191"/>
      <c r="D323" s="193" t="s">
        <v>121</v>
      </c>
      <c r="E323" s="194" t="s">
        <v>1</v>
      </c>
      <c r="F323" s="259" t="s">
        <v>324</v>
      </c>
      <c r="H323" s="194" t="s">
        <v>1</v>
      </c>
      <c r="I323" s="71"/>
      <c r="L323" s="191"/>
      <c r="M323" s="199"/>
      <c r="N323" s="200"/>
      <c r="O323" s="200"/>
      <c r="P323" s="200"/>
      <c r="Q323" s="200"/>
      <c r="R323" s="200"/>
      <c r="S323" s="200"/>
      <c r="T323" s="201"/>
      <c r="AT323" s="194" t="s">
        <v>121</v>
      </c>
      <c r="AU323" s="194" t="s">
        <v>76</v>
      </c>
      <c r="AV323" s="198" t="s">
        <v>73</v>
      </c>
      <c r="AW323" s="198" t="s">
        <v>32</v>
      </c>
      <c r="AX323" s="198" t="s">
        <v>68</v>
      </c>
      <c r="AY323" s="194" t="s">
        <v>114</v>
      </c>
    </row>
    <row r="324" spans="2:51" s="198" customFormat="1" ht="12">
      <c r="B324" s="191"/>
      <c r="D324" s="193" t="s">
        <v>121</v>
      </c>
      <c r="E324" s="194" t="s">
        <v>1</v>
      </c>
      <c r="F324" s="259" t="s">
        <v>325</v>
      </c>
      <c r="H324" s="194" t="s">
        <v>1</v>
      </c>
      <c r="I324" s="71"/>
      <c r="L324" s="191"/>
      <c r="M324" s="199"/>
      <c r="N324" s="200"/>
      <c r="O324" s="200"/>
      <c r="P324" s="200"/>
      <c r="Q324" s="200"/>
      <c r="R324" s="200"/>
      <c r="S324" s="200"/>
      <c r="T324" s="201"/>
      <c r="AT324" s="194" t="s">
        <v>121</v>
      </c>
      <c r="AU324" s="194" t="s">
        <v>76</v>
      </c>
      <c r="AV324" s="198" t="s">
        <v>73</v>
      </c>
      <c r="AW324" s="198" t="s">
        <v>32</v>
      </c>
      <c r="AX324" s="198" t="s">
        <v>68</v>
      </c>
      <c r="AY324" s="194" t="s">
        <v>114</v>
      </c>
    </row>
    <row r="325" spans="2:51" s="208" customFormat="1" ht="12">
      <c r="B325" s="202"/>
      <c r="D325" s="193" t="s">
        <v>121</v>
      </c>
      <c r="E325" s="204" t="s">
        <v>1</v>
      </c>
      <c r="F325" s="260" t="s">
        <v>1488</v>
      </c>
      <c r="H325" s="261">
        <f>280.744/2*1.8</f>
        <v>252.66960000000003</v>
      </c>
      <c r="I325" s="70"/>
      <c r="L325" s="202"/>
      <c r="M325" s="209"/>
      <c r="N325" s="210"/>
      <c r="O325" s="210"/>
      <c r="P325" s="210"/>
      <c r="Q325" s="210"/>
      <c r="R325" s="210"/>
      <c r="S325" s="210"/>
      <c r="T325" s="211"/>
      <c r="AT325" s="204" t="s">
        <v>121</v>
      </c>
      <c r="AU325" s="204" t="s">
        <v>76</v>
      </c>
      <c r="AV325" s="208" t="s">
        <v>76</v>
      </c>
      <c r="AW325" s="208" t="s">
        <v>32</v>
      </c>
      <c r="AX325" s="208" t="s">
        <v>68</v>
      </c>
      <c r="AY325" s="204" t="s">
        <v>114</v>
      </c>
    </row>
    <row r="326" spans="2:51" s="228" customFormat="1" ht="12">
      <c r="B326" s="222"/>
      <c r="D326" s="193" t="s">
        <v>121</v>
      </c>
      <c r="E326" s="224" t="s">
        <v>1</v>
      </c>
      <c r="F326" s="266" t="s">
        <v>150</v>
      </c>
      <c r="H326" s="264">
        <f>H325</f>
        <v>252.66960000000003</v>
      </c>
      <c r="I326" s="72"/>
      <c r="L326" s="222"/>
      <c r="M326" s="229"/>
      <c r="N326" s="230"/>
      <c r="O326" s="230"/>
      <c r="P326" s="230"/>
      <c r="Q326" s="230"/>
      <c r="R326" s="230"/>
      <c r="S326" s="230"/>
      <c r="T326" s="231"/>
      <c r="AT326" s="224" t="s">
        <v>121</v>
      </c>
      <c r="AU326" s="224" t="s">
        <v>76</v>
      </c>
      <c r="AV326" s="228" t="s">
        <v>119</v>
      </c>
      <c r="AW326" s="228" t="s">
        <v>32</v>
      </c>
      <c r="AX326" s="228" t="s">
        <v>73</v>
      </c>
      <c r="AY326" s="224" t="s">
        <v>114</v>
      </c>
    </row>
    <row r="327" spans="2:65" s="92" customFormat="1" ht="16.5" customHeight="1">
      <c r="B327" s="90"/>
      <c r="C327" s="178" t="s">
        <v>361</v>
      </c>
      <c r="D327" s="178" t="s">
        <v>116</v>
      </c>
      <c r="E327" s="179" t="s">
        <v>327</v>
      </c>
      <c r="F327" s="232" t="s">
        <v>328</v>
      </c>
      <c r="G327" s="181" t="s">
        <v>153</v>
      </c>
      <c r="H327" s="182">
        <f>H328</f>
        <v>221</v>
      </c>
      <c r="I327" s="69"/>
      <c r="J327" s="184">
        <f>ROUND(I327*H327,2)</f>
        <v>0</v>
      </c>
      <c r="K327" s="180" t="s">
        <v>154</v>
      </c>
      <c r="L327" s="90"/>
      <c r="M327" s="185" t="s">
        <v>1</v>
      </c>
      <c r="N327" s="186" t="s">
        <v>41</v>
      </c>
      <c r="O327" s="187"/>
      <c r="P327" s="188">
        <f>O327*H327</f>
        <v>0</v>
      </c>
      <c r="Q327" s="188">
        <v>0</v>
      </c>
      <c r="R327" s="188">
        <f>Q327*H327</f>
        <v>0</v>
      </c>
      <c r="S327" s="188">
        <v>0</v>
      </c>
      <c r="T327" s="189">
        <f>S327*H327</f>
        <v>0</v>
      </c>
      <c r="AR327" s="81" t="s">
        <v>119</v>
      </c>
      <c r="AT327" s="81" t="s">
        <v>116</v>
      </c>
      <c r="AU327" s="81" t="s">
        <v>76</v>
      </c>
      <c r="AY327" s="81" t="s">
        <v>114</v>
      </c>
      <c r="BE327" s="190">
        <f>IF(N327="základní",J327,0)</f>
        <v>0</v>
      </c>
      <c r="BF327" s="190">
        <f>IF(N327="snížená",J327,0)</f>
        <v>0</v>
      </c>
      <c r="BG327" s="190">
        <f>IF(N327="zákl. přenesená",J327,0)</f>
        <v>0</v>
      </c>
      <c r="BH327" s="190">
        <f>IF(N327="sníž. přenesená",J327,0)</f>
        <v>0</v>
      </c>
      <c r="BI327" s="190">
        <f>IF(N327="nulová",J327,0)</f>
        <v>0</v>
      </c>
      <c r="BJ327" s="81" t="s">
        <v>73</v>
      </c>
      <c r="BK327" s="190">
        <f>ROUND(I327*H327,2)</f>
        <v>0</v>
      </c>
      <c r="BL327" s="81" t="s">
        <v>119</v>
      </c>
      <c r="BM327" s="81" t="s">
        <v>1001</v>
      </c>
    </row>
    <row r="328" spans="2:65" s="92" customFormat="1" ht="16.5" customHeight="1">
      <c r="B328" s="90"/>
      <c r="C328" s="178" t="s">
        <v>367</v>
      </c>
      <c r="D328" s="178" t="s">
        <v>116</v>
      </c>
      <c r="E328" s="179" t="s">
        <v>331</v>
      </c>
      <c r="F328" s="232" t="s">
        <v>332</v>
      </c>
      <c r="G328" s="181" t="s">
        <v>153</v>
      </c>
      <c r="H328" s="182">
        <f>H333</f>
        <v>221</v>
      </c>
      <c r="I328" s="69"/>
      <c r="J328" s="184">
        <f>ROUND(I328*H328,2)</f>
        <v>0</v>
      </c>
      <c r="K328" s="180" t="s">
        <v>154</v>
      </c>
      <c r="L328" s="90"/>
      <c r="M328" s="185" t="s">
        <v>1</v>
      </c>
      <c r="N328" s="186" t="s">
        <v>41</v>
      </c>
      <c r="O328" s="187"/>
      <c r="P328" s="188">
        <f>O328*H328</f>
        <v>0</v>
      </c>
      <c r="Q328" s="188">
        <v>0</v>
      </c>
      <c r="R328" s="188">
        <f>Q328*H328</f>
        <v>0</v>
      </c>
      <c r="S328" s="188">
        <v>0</v>
      </c>
      <c r="T328" s="189">
        <f>S328*H328</f>
        <v>0</v>
      </c>
      <c r="AR328" s="81" t="s">
        <v>119</v>
      </c>
      <c r="AT328" s="81" t="s">
        <v>116</v>
      </c>
      <c r="AU328" s="81" t="s">
        <v>76</v>
      </c>
      <c r="AY328" s="81" t="s">
        <v>114</v>
      </c>
      <c r="BE328" s="190">
        <f>IF(N328="základní",J328,0)</f>
        <v>0</v>
      </c>
      <c r="BF328" s="190">
        <f>IF(N328="snížená",J328,0)</f>
        <v>0</v>
      </c>
      <c r="BG328" s="190">
        <f>IF(N328="zákl. přenesená",J328,0)</f>
        <v>0</v>
      </c>
      <c r="BH328" s="190">
        <f>IF(N328="sníž. přenesená",J328,0)</f>
        <v>0</v>
      </c>
      <c r="BI328" s="190">
        <f>IF(N328="nulová",J328,0)</f>
        <v>0</v>
      </c>
      <c r="BJ328" s="81" t="s">
        <v>73</v>
      </c>
      <c r="BK328" s="190">
        <f>ROUND(I328*H328,2)</f>
        <v>0</v>
      </c>
      <c r="BL328" s="81" t="s">
        <v>119</v>
      </c>
      <c r="BM328" s="81" t="s">
        <v>1002</v>
      </c>
    </row>
    <row r="329" spans="2:51" s="208" customFormat="1" ht="12">
      <c r="B329" s="202"/>
      <c r="D329" s="193" t="s">
        <v>121</v>
      </c>
      <c r="E329" s="204" t="s">
        <v>1</v>
      </c>
      <c r="F329" s="205" t="s">
        <v>1490</v>
      </c>
      <c r="H329" s="261">
        <f>(2+45.5+9+25.5+13.5+14.5-(32+14))*3</f>
        <v>192</v>
      </c>
      <c r="I329" s="70"/>
      <c r="L329" s="202"/>
      <c r="M329" s="209"/>
      <c r="N329" s="210"/>
      <c r="O329" s="210"/>
      <c r="P329" s="210"/>
      <c r="Q329" s="210"/>
      <c r="R329" s="210"/>
      <c r="S329" s="210"/>
      <c r="T329" s="211"/>
      <c r="V329" s="205"/>
      <c r="AT329" s="204" t="s">
        <v>121</v>
      </c>
      <c r="AU329" s="204" t="s">
        <v>76</v>
      </c>
      <c r="AV329" s="208" t="s">
        <v>76</v>
      </c>
      <c r="AW329" s="208" t="s">
        <v>32</v>
      </c>
      <c r="AX329" s="208" t="s">
        <v>68</v>
      </c>
      <c r="AY329" s="204" t="s">
        <v>114</v>
      </c>
    </row>
    <row r="330" spans="2:51" s="208" customFormat="1" ht="12">
      <c r="B330" s="202"/>
      <c r="D330" s="193" t="s">
        <v>121</v>
      </c>
      <c r="E330" s="204" t="s">
        <v>1</v>
      </c>
      <c r="F330" s="205" t="s">
        <v>1003</v>
      </c>
      <c r="H330" s="261">
        <v>12</v>
      </c>
      <c r="I330" s="70"/>
      <c r="L330" s="202"/>
      <c r="M330" s="209"/>
      <c r="N330" s="210"/>
      <c r="O330" s="210"/>
      <c r="P330" s="210"/>
      <c r="Q330" s="210"/>
      <c r="R330" s="210"/>
      <c r="S330" s="210"/>
      <c r="T330" s="211"/>
      <c r="V330" s="205"/>
      <c r="AT330" s="204" t="s">
        <v>121</v>
      </c>
      <c r="AU330" s="204" t="s">
        <v>76</v>
      </c>
      <c r="AV330" s="208" t="s">
        <v>76</v>
      </c>
      <c r="AW330" s="208" t="s">
        <v>32</v>
      </c>
      <c r="AX330" s="208" t="s">
        <v>68</v>
      </c>
      <c r="AY330" s="204" t="s">
        <v>114</v>
      </c>
    </row>
    <row r="331" spans="2:51" s="208" customFormat="1" ht="12">
      <c r="B331" s="202"/>
      <c r="D331" s="193" t="s">
        <v>121</v>
      </c>
      <c r="E331" s="204" t="s">
        <v>1</v>
      </c>
      <c r="F331" s="205" t="s">
        <v>1491</v>
      </c>
      <c r="H331" s="261">
        <f>6*2</f>
        <v>12</v>
      </c>
      <c r="I331" s="70"/>
      <c r="L331" s="202"/>
      <c r="M331" s="209"/>
      <c r="N331" s="210"/>
      <c r="O331" s="210"/>
      <c r="P331" s="210"/>
      <c r="Q331" s="210"/>
      <c r="R331" s="210"/>
      <c r="S331" s="210"/>
      <c r="T331" s="211"/>
      <c r="AT331" s="204" t="s">
        <v>121</v>
      </c>
      <c r="AU331" s="204" t="s">
        <v>76</v>
      </c>
      <c r="AV331" s="208" t="s">
        <v>76</v>
      </c>
      <c r="AW331" s="208" t="s">
        <v>32</v>
      </c>
      <c r="AX331" s="208" t="s">
        <v>68</v>
      </c>
      <c r="AY331" s="204" t="s">
        <v>114</v>
      </c>
    </row>
    <row r="332" spans="2:51" s="208" customFormat="1" ht="12">
      <c r="B332" s="202"/>
      <c r="D332" s="193" t="s">
        <v>121</v>
      </c>
      <c r="E332" s="204" t="s">
        <v>1</v>
      </c>
      <c r="F332" s="205" t="s">
        <v>879</v>
      </c>
      <c r="H332" s="261">
        <v>5</v>
      </c>
      <c r="I332" s="70"/>
      <c r="L332" s="202"/>
      <c r="M332" s="209"/>
      <c r="N332" s="210"/>
      <c r="O332" s="210"/>
      <c r="P332" s="210"/>
      <c r="Q332" s="210"/>
      <c r="R332" s="210"/>
      <c r="S332" s="210"/>
      <c r="T332" s="211"/>
      <c r="AT332" s="204" t="s">
        <v>121</v>
      </c>
      <c r="AU332" s="204" t="s">
        <v>76</v>
      </c>
      <c r="AV332" s="208" t="s">
        <v>76</v>
      </c>
      <c r="AW332" s="208" t="s">
        <v>32</v>
      </c>
      <c r="AX332" s="208" t="s">
        <v>68</v>
      </c>
      <c r="AY332" s="204" t="s">
        <v>114</v>
      </c>
    </row>
    <row r="333" spans="2:51" s="228" customFormat="1" ht="12">
      <c r="B333" s="222"/>
      <c r="D333" s="193" t="s">
        <v>121</v>
      </c>
      <c r="E333" s="224" t="s">
        <v>1</v>
      </c>
      <c r="F333" s="225" t="s">
        <v>150</v>
      </c>
      <c r="H333" s="264">
        <f>SUM(H329:H332)</f>
        <v>221</v>
      </c>
      <c r="I333" s="72"/>
      <c r="L333" s="222"/>
      <c r="M333" s="229"/>
      <c r="N333" s="230"/>
      <c r="O333" s="230"/>
      <c r="P333" s="230"/>
      <c r="Q333" s="230"/>
      <c r="R333" s="230"/>
      <c r="S333" s="230"/>
      <c r="T333" s="231"/>
      <c r="AT333" s="224" t="s">
        <v>121</v>
      </c>
      <c r="AU333" s="224" t="s">
        <v>76</v>
      </c>
      <c r="AV333" s="228" t="s">
        <v>119</v>
      </c>
      <c r="AW333" s="228" t="s">
        <v>32</v>
      </c>
      <c r="AX333" s="228" t="s">
        <v>73</v>
      </c>
      <c r="AY333" s="224" t="s">
        <v>114</v>
      </c>
    </row>
    <row r="334" spans="2:65" s="92" customFormat="1" ht="16.5" customHeight="1">
      <c r="B334" s="90"/>
      <c r="C334" s="178" t="s">
        <v>372</v>
      </c>
      <c r="D334" s="178" t="s">
        <v>116</v>
      </c>
      <c r="E334" s="179" t="s">
        <v>335</v>
      </c>
      <c r="F334" s="232" t="s">
        <v>336</v>
      </c>
      <c r="G334" s="181" t="s">
        <v>153</v>
      </c>
      <c r="H334" s="182">
        <f>H336</f>
        <v>221</v>
      </c>
      <c r="I334" s="69"/>
      <c r="J334" s="184">
        <f>ROUND(I334*H334,2)</f>
        <v>0</v>
      </c>
      <c r="K334" s="180" t="s">
        <v>1</v>
      </c>
      <c r="L334" s="90"/>
      <c r="M334" s="185" t="s">
        <v>1</v>
      </c>
      <c r="N334" s="186" t="s">
        <v>41</v>
      </c>
      <c r="O334" s="187"/>
      <c r="P334" s="188">
        <f>O334*H334</f>
        <v>0</v>
      </c>
      <c r="Q334" s="188">
        <v>0</v>
      </c>
      <c r="R334" s="188">
        <f>Q334*H334</f>
        <v>0</v>
      </c>
      <c r="S334" s="188">
        <v>0</v>
      </c>
      <c r="T334" s="189">
        <f>S334*H334</f>
        <v>0</v>
      </c>
      <c r="AR334" s="81" t="s">
        <v>119</v>
      </c>
      <c r="AT334" s="81" t="s">
        <v>116</v>
      </c>
      <c r="AU334" s="81" t="s">
        <v>76</v>
      </c>
      <c r="AY334" s="81" t="s">
        <v>114</v>
      </c>
      <c r="BE334" s="190">
        <f>IF(N334="základní",J334,0)</f>
        <v>0</v>
      </c>
      <c r="BF334" s="190">
        <f>IF(N334="snížená",J334,0)</f>
        <v>0</v>
      </c>
      <c r="BG334" s="190">
        <f>IF(N334="zákl. přenesená",J334,0)</f>
        <v>0</v>
      </c>
      <c r="BH334" s="190">
        <f>IF(N334="sníž. přenesená",J334,0)</f>
        <v>0</v>
      </c>
      <c r="BI334" s="190">
        <f>IF(N334="nulová",J334,0)</f>
        <v>0</v>
      </c>
      <c r="BJ334" s="81" t="s">
        <v>73</v>
      </c>
      <c r="BK334" s="190">
        <f>ROUND(I334*H334,2)</f>
        <v>0</v>
      </c>
      <c r="BL334" s="81" t="s">
        <v>119</v>
      </c>
      <c r="BM334" s="81" t="s">
        <v>1004</v>
      </c>
    </row>
    <row r="335" spans="2:51" s="208" customFormat="1" ht="12">
      <c r="B335" s="202"/>
      <c r="D335" s="193" t="s">
        <v>121</v>
      </c>
      <c r="E335" s="204" t="s">
        <v>1</v>
      </c>
      <c r="F335" s="205">
        <v>221</v>
      </c>
      <c r="H335" s="261">
        <v>221</v>
      </c>
      <c r="I335" s="70"/>
      <c r="L335" s="202"/>
      <c r="M335" s="209"/>
      <c r="N335" s="210"/>
      <c r="O335" s="210"/>
      <c r="P335" s="210"/>
      <c r="Q335" s="210"/>
      <c r="R335" s="210"/>
      <c r="S335" s="210"/>
      <c r="T335" s="211"/>
      <c r="AT335" s="204" t="s">
        <v>121</v>
      </c>
      <c r="AU335" s="204" t="s">
        <v>76</v>
      </c>
      <c r="AV335" s="208" t="s">
        <v>76</v>
      </c>
      <c r="AW335" s="208" t="s">
        <v>32</v>
      </c>
      <c r="AX335" s="208" t="s">
        <v>68</v>
      </c>
      <c r="AY335" s="204" t="s">
        <v>114</v>
      </c>
    </row>
    <row r="336" spans="2:51" s="228" customFormat="1" ht="12">
      <c r="B336" s="222"/>
      <c r="D336" s="193" t="s">
        <v>121</v>
      </c>
      <c r="E336" s="224" t="s">
        <v>1</v>
      </c>
      <c r="F336" s="225" t="s">
        <v>150</v>
      </c>
      <c r="H336" s="264">
        <f>H335</f>
        <v>221</v>
      </c>
      <c r="I336" s="72"/>
      <c r="L336" s="222"/>
      <c r="M336" s="229"/>
      <c r="N336" s="230"/>
      <c r="O336" s="230"/>
      <c r="P336" s="230"/>
      <c r="Q336" s="230"/>
      <c r="R336" s="230"/>
      <c r="S336" s="230"/>
      <c r="T336" s="231"/>
      <c r="AT336" s="224" t="s">
        <v>121</v>
      </c>
      <c r="AU336" s="224" t="s">
        <v>76</v>
      </c>
      <c r="AV336" s="228" t="s">
        <v>119</v>
      </c>
      <c r="AW336" s="228" t="s">
        <v>32</v>
      </c>
      <c r="AX336" s="228" t="s">
        <v>73</v>
      </c>
      <c r="AY336" s="224" t="s">
        <v>114</v>
      </c>
    </row>
    <row r="337" spans="2:65" s="92" customFormat="1" ht="16.5" customHeight="1">
      <c r="B337" s="90"/>
      <c r="C337" s="247" t="s">
        <v>378</v>
      </c>
      <c r="D337" s="247" t="s">
        <v>319</v>
      </c>
      <c r="E337" s="248" t="s">
        <v>339</v>
      </c>
      <c r="F337" s="249" t="s">
        <v>340</v>
      </c>
      <c r="G337" s="262" t="s">
        <v>341</v>
      </c>
      <c r="H337" s="263">
        <f>H339</f>
        <v>8.84</v>
      </c>
      <c r="I337" s="76"/>
      <c r="J337" s="252">
        <f>ROUND(I337*H337,2)</f>
        <v>0</v>
      </c>
      <c r="K337" s="253" t="s">
        <v>1</v>
      </c>
      <c r="L337" s="254"/>
      <c r="M337" s="255" t="s">
        <v>1</v>
      </c>
      <c r="N337" s="256" t="s">
        <v>41</v>
      </c>
      <c r="O337" s="187"/>
      <c r="P337" s="188">
        <f>O337*H337</f>
        <v>0</v>
      </c>
      <c r="Q337" s="188">
        <v>0.001</v>
      </c>
      <c r="R337" s="188">
        <f>Q337*H337</f>
        <v>0.00884</v>
      </c>
      <c r="S337" s="188">
        <v>0</v>
      </c>
      <c r="T337" s="189">
        <f>S337*H337</f>
        <v>0</v>
      </c>
      <c r="AR337" s="81" t="s">
        <v>183</v>
      </c>
      <c r="AT337" s="81" t="s">
        <v>319</v>
      </c>
      <c r="AU337" s="81" t="s">
        <v>76</v>
      </c>
      <c r="AY337" s="81" t="s">
        <v>114</v>
      </c>
      <c r="BE337" s="190">
        <f>IF(N337="základní",J337,0)</f>
        <v>0</v>
      </c>
      <c r="BF337" s="190">
        <f>IF(N337="snížená",J337,0)</f>
        <v>0</v>
      </c>
      <c r="BG337" s="190">
        <f>IF(N337="zákl. přenesená",J337,0)</f>
        <v>0</v>
      </c>
      <c r="BH337" s="190">
        <f>IF(N337="sníž. přenesená",J337,0)</f>
        <v>0</v>
      </c>
      <c r="BI337" s="190">
        <f>IF(N337="nulová",J337,0)</f>
        <v>0</v>
      </c>
      <c r="BJ337" s="81" t="s">
        <v>73</v>
      </c>
      <c r="BK337" s="190">
        <f>ROUND(I337*H337,2)</f>
        <v>0</v>
      </c>
      <c r="BL337" s="81" t="s">
        <v>119</v>
      </c>
      <c r="BM337" s="81" t="s">
        <v>1005</v>
      </c>
    </row>
    <row r="338" spans="2:51" s="208" customFormat="1" ht="12">
      <c r="B338" s="202"/>
      <c r="D338" s="193" t="s">
        <v>121</v>
      </c>
      <c r="E338" s="204" t="s">
        <v>1</v>
      </c>
      <c r="F338" s="205" t="s">
        <v>1492</v>
      </c>
      <c r="H338" s="261">
        <f>221*0.04</f>
        <v>8.84</v>
      </c>
      <c r="I338" s="70"/>
      <c r="L338" s="202"/>
      <c r="M338" s="209"/>
      <c r="N338" s="210"/>
      <c r="O338" s="210"/>
      <c r="P338" s="210"/>
      <c r="Q338" s="210"/>
      <c r="R338" s="210"/>
      <c r="S338" s="210"/>
      <c r="T338" s="211"/>
      <c r="AT338" s="204" t="s">
        <v>121</v>
      </c>
      <c r="AU338" s="204" t="s">
        <v>76</v>
      </c>
      <c r="AV338" s="208" t="s">
        <v>76</v>
      </c>
      <c r="AW338" s="208" t="s">
        <v>32</v>
      </c>
      <c r="AX338" s="208" t="s">
        <v>68</v>
      </c>
      <c r="AY338" s="204" t="s">
        <v>114</v>
      </c>
    </row>
    <row r="339" spans="2:51" s="228" customFormat="1" ht="12">
      <c r="B339" s="222"/>
      <c r="D339" s="193" t="s">
        <v>121</v>
      </c>
      <c r="E339" s="224" t="s">
        <v>1</v>
      </c>
      <c r="F339" s="225" t="s">
        <v>150</v>
      </c>
      <c r="H339" s="264">
        <f>H338</f>
        <v>8.84</v>
      </c>
      <c r="I339" s="72"/>
      <c r="L339" s="222"/>
      <c r="M339" s="229"/>
      <c r="N339" s="230"/>
      <c r="O339" s="230"/>
      <c r="P339" s="230"/>
      <c r="Q339" s="230"/>
      <c r="R339" s="230"/>
      <c r="S339" s="230"/>
      <c r="T339" s="231"/>
      <c r="AT339" s="224" t="s">
        <v>121</v>
      </c>
      <c r="AU339" s="224" t="s">
        <v>76</v>
      </c>
      <c r="AV339" s="228" t="s">
        <v>119</v>
      </c>
      <c r="AW339" s="228" t="s">
        <v>32</v>
      </c>
      <c r="AX339" s="228" t="s">
        <v>73</v>
      </c>
      <c r="AY339" s="224" t="s">
        <v>114</v>
      </c>
    </row>
    <row r="340" spans="2:65" s="92" customFormat="1" ht="16.5" customHeight="1">
      <c r="B340" s="90"/>
      <c r="C340" s="178" t="s">
        <v>383</v>
      </c>
      <c r="D340" s="178" t="s">
        <v>116</v>
      </c>
      <c r="E340" s="179" t="s">
        <v>344</v>
      </c>
      <c r="F340" s="232" t="s">
        <v>345</v>
      </c>
      <c r="G340" s="181" t="s">
        <v>153</v>
      </c>
      <c r="H340" s="182">
        <f>H343</f>
        <v>884</v>
      </c>
      <c r="I340" s="69"/>
      <c r="J340" s="184">
        <f>ROUND(I340*H340,2)</f>
        <v>0</v>
      </c>
      <c r="K340" s="180" t="s">
        <v>1</v>
      </c>
      <c r="L340" s="90"/>
      <c r="M340" s="185" t="s">
        <v>1</v>
      </c>
      <c r="N340" s="186" t="s">
        <v>41</v>
      </c>
      <c r="O340" s="187"/>
      <c r="P340" s="188">
        <f>O340*H340</f>
        <v>0</v>
      </c>
      <c r="Q340" s="188">
        <v>0</v>
      </c>
      <c r="R340" s="188">
        <f>Q340*H340</f>
        <v>0</v>
      </c>
      <c r="S340" s="188">
        <v>0</v>
      </c>
      <c r="T340" s="189">
        <f>S340*H340</f>
        <v>0</v>
      </c>
      <c r="AR340" s="81" t="s">
        <v>119</v>
      </c>
      <c r="AT340" s="81" t="s">
        <v>116</v>
      </c>
      <c r="AU340" s="81" t="s">
        <v>76</v>
      </c>
      <c r="AY340" s="81" t="s">
        <v>114</v>
      </c>
      <c r="BE340" s="190">
        <f>IF(N340="základní",J340,0)</f>
        <v>0</v>
      </c>
      <c r="BF340" s="190">
        <f>IF(N340="snížená",J340,0)</f>
        <v>0</v>
      </c>
      <c r="BG340" s="190">
        <f>IF(N340="zákl. přenesená",J340,0)</f>
        <v>0</v>
      </c>
      <c r="BH340" s="190">
        <f>IF(N340="sníž. přenesená",J340,0)</f>
        <v>0</v>
      </c>
      <c r="BI340" s="190">
        <f>IF(N340="nulová",J340,0)</f>
        <v>0</v>
      </c>
      <c r="BJ340" s="81" t="s">
        <v>73</v>
      </c>
      <c r="BK340" s="190">
        <f>ROUND(I340*H340,2)</f>
        <v>0</v>
      </c>
      <c r="BL340" s="81" t="s">
        <v>119</v>
      </c>
      <c r="BM340" s="81" t="s">
        <v>1006</v>
      </c>
    </row>
    <row r="341" spans="2:51" s="198" customFormat="1" ht="12">
      <c r="B341" s="191"/>
      <c r="D341" s="193" t="s">
        <v>121</v>
      </c>
      <c r="E341" s="194" t="s">
        <v>1</v>
      </c>
      <c r="F341" s="259" t="s">
        <v>347</v>
      </c>
      <c r="H341" s="194" t="s">
        <v>1</v>
      </c>
      <c r="I341" s="71"/>
      <c r="L341" s="191"/>
      <c r="M341" s="199"/>
      <c r="N341" s="200"/>
      <c r="O341" s="200"/>
      <c r="P341" s="200"/>
      <c r="Q341" s="200"/>
      <c r="R341" s="200"/>
      <c r="S341" s="200"/>
      <c r="T341" s="201"/>
      <c r="AT341" s="194" t="s">
        <v>121</v>
      </c>
      <c r="AU341" s="194" t="s">
        <v>76</v>
      </c>
      <c r="AV341" s="198" t="s">
        <v>73</v>
      </c>
      <c r="AW341" s="198" t="s">
        <v>32</v>
      </c>
      <c r="AX341" s="198" t="s">
        <v>68</v>
      </c>
      <c r="AY341" s="194" t="s">
        <v>114</v>
      </c>
    </row>
    <row r="342" spans="2:51" s="208" customFormat="1" ht="12">
      <c r="B342" s="202"/>
      <c r="D342" s="193" t="s">
        <v>121</v>
      </c>
      <c r="E342" s="204" t="s">
        <v>1</v>
      </c>
      <c r="F342" s="260" t="s">
        <v>1493</v>
      </c>
      <c r="H342" s="261">
        <f>221*4</f>
        <v>884</v>
      </c>
      <c r="I342" s="70"/>
      <c r="L342" s="202"/>
      <c r="M342" s="209"/>
      <c r="N342" s="210"/>
      <c r="O342" s="210"/>
      <c r="P342" s="210"/>
      <c r="Q342" s="210"/>
      <c r="R342" s="210"/>
      <c r="S342" s="210"/>
      <c r="T342" s="211"/>
      <c r="AT342" s="204" t="s">
        <v>121</v>
      </c>
      <c r="AU342" s="204" t="s">
        <v>76</v>
      </c>
      <c r="AV342" s="208" t="s">
        <v>76</v>
      </c>
      <c r="AW342" s="208" t="s">
        <v>32</v>
      </c>
      <c r="AX342" s="208" t="s">
        <v>68</v>
      </c>
      <c r="AY342" s="204" t="s">
        <v>114</v>
      </c>
    </row>
    <row r="343" spans="2:51" s="228" customFormat="1" ht="12">
      <c r="B343" s="222"/>
      <c r="D343" s="193" t="s">
        <v>121</v>
      </c>
      <c r="E343" s="224" t="s">
        <v>1</v>
      </c>
      <c r="F343" s="266" t="s">
        <v>150</v>
      </c>
      <c r="H343" s="264">
        <f>H342</f>
        <v>884</v>
      </c>
      <c r="I343" s="72"/>
      <c r="L343" s="222"/>
      <c r="M343" s="229"/>
      <c r="N343" s="230"/>
      <c r="O343" s="230"/>
      <c r="P343" s="230"/>
      <c r="Q343" s="230"/>
      <c r="R343" s="230"/>
      <c r="S343" s="230"/>
      <c r="T343" s="231"/>
      <c r="AT343" s="224" t="s">
        <v>121</v>
      </c>
      <c r="AU343" s="224" t="s">
        <v>76</v>
      </c>
      <c r="AV343" s="228" t="s">
        <v>119</v>
      </c>
      <c r="AW343" s="228" t="s">
        <v>32</v>
      </c>
      <c r="AX343" s="228" t="s">
        <v>73</v>
      </c>
      <c r="AY343" s="224" t="s">
        <v>114</v>
      </c>
    </row>
    <row r="344" spans="2:63" s="166" customFormat="1" ht="22.9" customHeight="1">
      <c r="B344" s="162"/>
      <c r="D344" s="164" t="s">
        <v>67</v>
      </c>
      <c r="E344" s="175" t="s">
        <v>76</v>
      </c>
      <c r="F344" s="175" t="s">
        <v>348</v>
      </c>
      <c r="I344" s="74"/>
      <c r="J344" s="176">
        <f>SUM(J345:J349)</f>
        <v>0</v>
      </c>
      <c r="L344" s="162"/>
      <c r="M344" s="169"/>
      <c r="N344" s="170"/>
      <c r="O344" s="170"/>
      <c r="P344" s="171">
        <f>SUM(P345:P349)</f>
        <v>0</v>
      </c>
      <c r="Q344" s="170"/>
      <c r="R344" s="171">
        <f>SUM(R345:R349)</f>
        <v>46.116</v>
      </c>
      <c r="S344" s="170"/>
      <c r="T344" s="172">
        <f>SUM(T345:T349)</f>
        <v>0</v>
      </c>
      <c r="AR344" s="164" t="s">
        <v>73</v>
      </c>
      <c r="AT344" s="173" t="s">
        <v>67</v>
      </c>
      <c r="AU344" s="173" t="s">
        <v>73</v>
      </c>
      <c r="AY344" s="164" t="s">
        <v>114</v>
      </c>
      <c r="BK344" s="174">
        <f>SUM(BK345:BK349)</f>
        <v>0</v>
      </c>
    </row>
    <row r="345" spans="2:65" s="92" customFormat="1" ht="16.5" customHeight="1">
      <c r="B345" s="90"/>
      <c r="C345" s="178" t="s">
        <v>388</v>
      </c>
      <c r="D345" s="178" t="s">
        <v>116</v>
      </c>
      <c r="E345" s="179" t="s">
        <v>350</v>
      </c>
      <c r="F345" s="180" t="s">
        <v>351</v>
      </c>
      <c r="G345" s="181" t="s">
        <v>176</v>
      </c>
      <c r="H345" s="182">
        <v>200</v>
      </c>
      <c r="I345" s="69"/>
      <c r="J345" s="184">
        <f>ROUND(I345*H345,2)</f>
        <v>0</v>
      </c>
      <c r="K345" s="180" t="s">
        <v>154</v>
      </c>
      <c r="L345" s="90"/>
      <c r="M345" s="185" t="s">
        <v>1</v>
      </c>
      <c r="N345" s="186" t="s">
        <v>41</v>
      </c>
      <c r="O345" s="187"/>
      <c r="P345" s="188">
        <f>O345*H345</f>
        <v>0</v>
      </c>
      <c r="Q345" s="188">
        <v>0.23058</v>
      </c>
      <c r="R345" s="188">
        <f>Q345*H345</f>
        <v>46.116</v>
      </c>
      <c r="S345" s="188">
        <v>0</v>
      </c>
      <c r="T345" s="189">
        <f>S345*H345</f>
        <v>0</v>
      </c>
      <c r="AR345" s="81" t="s">
        <v>119</v>
      </c>
      <c r="AT345" s="81" t="s">
        <v>116</v>
      </c>
      <c r="AU345" s="81" t="s">
        <v>76</v>
      </c>
      <c r="AY345" s="81" t="s">
        <v>114</v>
      </c>
      <c r="BE345" s="190">
        <f>IF(N345="základní",J345,0)</f>
        <v>0</v>
      </c>
      <c r="BF345" s="190">
        <f>IF(N345="snížená",J345,0)</f>
        <v>0</v>
      </c>
      <c r="BG345" s="190">
        <f>IF(N345="zákl. přenesená",J345,0)</f>
        <v>0</v>
      </c>
      <c r="BH345" s="190">
        <f>IF(N345="sníž. přenesená",J345,0)</f>
        <v>0</v>
      </c>
      <c r="BI345" s="190">
        <f>IF(N345="nulová",J345,0)</f>
        <v>0</v>
      </c>
      <c r="BJ345" s="81" t="s">
        <v>73</v>
      </c>
      <c r="BK345" s="190">
        <f>ROUND(I345*H345,2)</f>
        <v>0</v>
      </c>
      <c r="BL345" s="81" t="s">
        <v>119</v>
      </c>
      <c r="BM345" s="81" t="s">
        <v>1007</v>
      </c>
    </row>
    <row r="346" spans="2:51" s="198" customFormat="1" ht="12">
      <c r="B346" s="191"/>
      <c r="D346" s="193" t="s">
        <v>121</v>
      </c>
      <c r="E346" s="194" t="s">
        <v>1</v>
      </c>
      <c r="F346" s="259" t="s">
        <v>353</v>
      </c>
      <c r="H346" s="194" t="s">
        <v>1</v>
      </c>
      <c r="I346" s="71"/>
      <c r="L346" s="191"/>
      <c r="M346" s="199"/>
      <c r="N346" s="200"/>
      <c r="O346" s="200"/>
      <c r="P346" s="200"/>
      <c r="Q346" s="200"/>
      <c r="R346" s="200"/>
      <c r="S346" s="200"/>
      <c r="T346" s="201"/>
      <c r="AT346" s="194" t="s">
        <v>121</v>
      </c>
      <c r="AU346" s="194" t="s">
        <v>76</v>
      </c>
      <c r="AV346" s="198" t="s">
        <v>73</v>
      </c>
      <c r="AW346" s="198" t="s">
        <v>32</v>
      </c>
      <c r="AX346" s="198" t="s">
        <v>68</v>
      </c>
      <c r="AY346" s="194" t="s">
        <v>114</v>
      </c>
    </row>
    <row r="347" spans="2:51" s="208" customFormat="1" ht="12">
      <c r="B347" s="202"/>
      <c r="D347" s="193" t="s">
        <v>121</v>
      </c>
      <c r="E347" s="204" t="s">
        <v>1</v>
      </c>
      <c r="F347" s="260" t="s">
        <v>1008</v>
      </c>
      <c r="H347" s="261">
        <v>200</v>
      </c>
      <c r="I347" s="70"/>
      <c r="L347" s="202"/>
      <c r="M347" s="209"/>
      <c r="N347" s="210"/>
      <c r="O347" s="210"/>
      <c r="P347" s="210"/>
      <c r="Q347" s="210"/>
      <c r="R347" s="210"/>
      <c r="S347" s="210"/>
      <c r="T347" s="211"/>
      <c r="AT347" s="204" t="s">
        <v>121</v>
      </c>
      <c r="AU347" s="204" t="s">
        <v>76</v>
      </c>
      <c r="AV347" s="208" t="s">
        <v>76</v>
      </c>
      <c r="AW347" s="208" t="s">
        <v>32</v>
      </c>
      <c r="AX347" s="208" t="s">
        <v>68</v>
      </c>
      <c r="AY347" s="204" t="s">
        <v>114</v>
      </c>
    </row>
    <row r="348" spans="2:51" s="228" customFormat="1" ht="12">
      <c r="B348" s="222"/>
      <c r="D348" s="193" t="s">
        <v>121</v>
      </c>
      <c r="E348" s="224" t="s">
        <v>1</v>
      </c>
      <c r="F348" s="266" t="s">
        <v>150</v>
      </c>
      <c r="H348" s="264">
        <v>200</v>
      </c>
      <c r="I348" s="72"/>
      <c r="L348" s="222"/>
      <c r="M348" s="229"/>
      <c r="N348" s="230"/>
      <c r="O348" s="230"/>
      <c r="P348" s="230"/>
      <c r="Q348" s="230"/>
      <c r="R348" s="230"/>
      <c r="S348" s="230"/>
      <c r="T348" s="231"/>
      <c r="AT348" s="224" t="s">
        <v>121</v>
      </c>
      <c r="AU348" s="224" t="s">
        <v>76</v>
      </c>
      <c r="AV348" s="228" t="s">
        <v>119</v>
      </c>
      <c r="AW348" s="228" t="s">
        <v>32</v>
      </c>
      <c r="AX348" s="228" t="s">
        <v>73</v>
      </c>
      <c r="AY348" s="224" t="s">
        <v>114</v>
      </c>
    </row>
    <row r="349" spans="2:65" s="92" customFormat="1" ht="22.5" customHeight="1">
      <c r="B349" s="90"/>
      <c r="C349" s="178" t="s">
        <v>394</v>
      </c>
      <c r="D349" s="178" t="s">
        <v>116</v>
      </c>
      <c r="E349" s="179" t="s">
        <v>356</v>
      </c>
      <c r="F349" s="180" t="s">
        <v>357</v>
      </c>
      <c r="G349" s="181" t="s">
        <v>358</v>
      </c>
      <c r="H349" s="182">
        <v>10</v>
      </c>
      <c r="I349" s="69"/>
      <c r="J349" s="184">
        <f>ROUND(I349*H349,2)</f>
        <v>0</v>
      </c>
      <c r="K349" s="180" t="s">
        <v>1</v>
      </c>
      <c r="L349" s="90"/>
      <c r="M349" s="185" t="s">
        <v>1</v>
      </c>
      <c r="N349" s="186" t="s">
        <v>41</v>
      </c>
      <c r="O349" s="187"/>
      <c r="P349" s="188">
        <f>O349*H349</f>
        <v>0</v>
      </c>
      <c r="Q349" s="188">
        <v>0</v>
      </c>
      <c r="R349" s="188">
        <f>Q349*H349</f>
        <v>0</v>
      </c>
      <c r="S349" s="188">
        <v>0</v>
      </c>
      <c r="T349" s="189">
        <f>S349*H349</f>
        <v>0</v>
      </c>
      <c r="AR349" s="81" t="s">
        <v>119</v>
      </c>
      <c r="AT349" s="81" t="s">
        <v>116</v>
      </c>
      <c r="AU349" s="81" t="s">
        <v>76</v>
      </c>
      <c r="AY349" s="81" t="s">
        <v>114</v>
      </c>
      <c r="BE349" s="190">
        <f>IF(N349="základní",J349,0)</f>
        <v>0</v>
      </c>
      <c r="BF349" s="190">
        <f>IF(N349="snížená",J349,0)</f>
        <v>0</v>
      </c>
      <c r="BG349" s="190">
        <f>IF(N349="zákl. přenesená",J349,0)</f>
        <v>0</v>
      </c>
      <c r="BH349" s="190">
        <f>IF(N349="sníž. přenesená",J349,0)</f>
        <v>0</v>
      </c>
      <c r="BI349" s="190">
        <f>IF(N349="nulová",J349,0)</f>
        <v>0</v>
      </c>
      <c r="BJ349" s="81" t="s">
        <v>73</v>
      </c>
      <c r="BK349" s="190">
        <f>ROUND(I349*H349,2)</f>
        <v>0</v>
      </c>
      <c r="BL349" s="81" t="s">
        <v>119</v>
      </c>
      <c r="BM349" s="81" t="s">
        <v>1009</v>
      </c>
    </row>
    <row r="350" spans="2:63" s="166" customFormat="1" ht="22.9" customHeight="1">
      <c r="B350" s="162"/>
      <c r="D350" s="164" t="s">
        <v>67</v>
      </c>
      <c r="E350" s="175" t="s">
        <v>119</v>
      </c>
      <c r="F350" s="175" t="s">
        <v>360</v>
      </c>
      <c r="I350" s="74"/>
      <c r="J350" s="176">
        <f>SUM(J351:J360)</f>
        <v>0</v>
      </c>
      <c r="L350" s="162"/>
      <c r="M350" s="169"/>
      <c r="N350" s="170"/>
      <c r="O350" s="170"/>
      <c r="P350" s="171">
        <f>SUM(P351:P360)</f>
        <v>0</v>
      </c>
      <c r="Q350" s="170"/>
      <c r="R350" s="171">
        <f>SUM(R351:R360)</f>
        <v>9.1151</v>
      </c>
      <c r="S350" s="170"/>
      <c r="T350" s="172">
        <f>SUM(T351:T360)</f>
        <v>0</v>
      </c>
      <c r="AR350" s="164" t="s">
        <v>73</v>
      </c>
      <c r="AT350" s="173" t="s">
        <v>67</v>
      </c>
      <c r="AU350" s="173" t="s">
        <v>73</v>
      </c>
      <c r="AY350" s="164" t="s">
        <v>114</v>
      </c>
      <c r="BK350" s="174">
        <f>SUM(BK351:BK360)</f>
        <v>0</v>
      </c>
    </row>
    <row r="351" spans="2:65" s="92" customFormat="1" ht="16.5" customHeight="1">
      <c r="B351" s="90"/>
      <c r="C351" s="178" t="s">
        <v>401</v>
      </c>
      <c r="D351" s="178" t="s">
        <v>116</v>
      </c>
      <c r="E351" s="179" t="s">
        <v>368</v>
      </c>
      <c r="F351" s="180" t="s">
        <v>369</v>
      </c>
      <c r="G351" s="181" t="s">
        <v>191</v>
      </c>
      <c r="H351" s="182">
        <f>H355</f>
        <v>229.20000000000002</v>
      </c>
      <c r="I351" s="69"/>
      <c r="J351" s="184">
        <f>ROUND(I351*H351,2)</f>
        <v>0</v>
      </c>
      <c r="K351" s="180" t="s">
        <v>154</v>
      </c>
      <c r="L351" s="90"/>
      <c r="M351" s="185" t="s">
        <v>1</v>
      </c>
      <c r="N351" s="186" t="s">
        <v>41</v>
      </c>
      <c r="O351" s="187"/>
      <c r="P351" s="188">
        <f>O351*H351</f>
        <v>0</v>
      </c>
      <c r="Q351" s="188">
        <v>0</v>
      </c>
      <c r="R351" s="188">
        <f>Q351*H351</f>
        <v>0</v>
      </c>
      <c r="S351" s="188">
        <v>0</v>
      </c>
      <c r="T351" s="189">
        <f>S351*H351</f>
        <v>0</v>
      </c>
      <c r="AR351" s="81" t="s">
        <v>119</v>
      </c>
      <c r="AT351" s="81" t="s">
        <v>116</v>
      </c>
      <c r="AU351" s="81" t="s">
        <v>76</v>
      </c>
      <c r="AY351" s="81" t="s">
        <v>114</v>
      </c>
      <c r="BE351" s="190">
        <f>IF(N351="základní",J351,0)</f>
        <v>0</v>
      </c>
      <c r="BF351" s="190">
        <f>IF(N351="snížená",J351,0)</f>
        <v>0</v>
      </c>
      <c r="BG351" s="190">
        <f>IF(N351="zákl. přenesená",J351,0)</f>
        <v>0</v>
      </c>
      <c r="BH351" s="190">
        <f>IF(N351="sníž. přenesená",J351,0)</f>
        <v>0</v>
      </c>
      <c r="BI351" s="190">
        <f>IF(N351="nulová",J351,0)</f>
        <v>0</v>
      </c>
      <c r="BJ351" s="81" t="s">
        <v>73</v>
      </c>
      <c r="BK351" s="190">
        <f>ROUND(I351*H351,2)</f>
        <v>0</v>
      </c>
      <c r="BL351" s="81" t="s">
        <v>119</v>
      </c>
      <c r="BM351" s="81" t="s">
        <v>1010</v>
      </c>
    </row>
    <row r="352" spans="2:51" s="198" customFormat="1" ht="12">
      <c r="B352" s="191"/>
      <c r="D352" s="193" t="s">
        <v>121</v>
      </c>
      <c r="E352" s="194" t="s">
        <v>1</v>
      </c>
      <c r="F352" s="259" t="s">
        <v>371</v>
      </c>
      <c r="H352" s="194" t="s">
        <v>1</v>
      </c>
      <c r="I352" s="71"/>
      <c r="L352" s="191"/>
      <c r="M352" s="199"/>
      <c r="N352" s="200"/>
      <c r="O352" s="200"/>
      <c r="P352" s="200"/>
      <c r="Q352" s="200"/>
      <c r="R352" s="200"/>
      <c r="S352" s="200"/>
      <c r="T352" s="201"/>
      <c r="AT352" s="194" t="s">
        <v>121</v>
      </c>
      <c r="AU352" s="194" t="s">
        <v>76</v>
      </c>
      <c r="AV352" s="198" t="s">
        <v>73</v>
      </c>
      <c r="AW352" s="198" t="s">
        <v>32</v>
      </c>
      <c r="AX352" s="198" t="s">
        <v>68</v>
      </c>
      <c r="AY352" s="194" t="s">
        <v>114</v>
      </c>
    </row>
    <row r="353" spans="2:51" s="208" customFormat="1" ht="12">
      <c r="B353" s="202"/>
      <c r="D353" s="193" t="s">
        <v>121</v>
      </c>
      <c r="E353" s="204" t="s">
        <v>1</v>
      </c>
      <c r="F353" s="205" t="s">
        <v>1487</v>
      </c>
      <c r="H353" s="261">
        <f>(113.5+609+7+2.5+26+6+25+72.5-(6.5+82-28+4))*0.8*0.5</f>
        <v>318.8</v>
      </c>
      <c r="I353" s="70"/>
      <c r="L353" s="202"/>
      <c r="M353" s="209"/>
      <c r="N353" s="210"/>
      <c r="O353" s="210"/>
      <c r="P353" s="210"/>
      <c r="Q353" s="210"/>
      <c r="R353" s="210"/>
      <c r="S353" s="210"/>
      <c r="T353" s="211"/>
      <c r="AT353" s="204" t="s">
        <v>121</v>
      </c>
      <c r="AU353" s="204" t="s">
        <v>76</v>
      </c>
      <c r="AV353" s="208" t="s">
        <v>76</v>
      </c>
      <c r="AW353" s="208" t="s">
        <v>32</v>
      </c>
      <c r="AX353" s="208" t="s">
        <v>68</v>
      </c>
      <c r="AY353" s="204" t="s">
        <v>114</v>
      </c>
    </row>
    <row r="354" spans="2:51" s="208" customFormat="1" ht="12">
      <c r="B354" s="202"/>
      <c r="D354" s="193" t="s">
        <v>121</v>
      </c>
      <c r="E354" s="204" t="s">
        <v>1</v>
      </c>
      <c r="F354" s="205" t="s">
        <v>1011</v>
      </c>
      <c r="H354" s="261">
        <v>-89.6</v>
      </c>
      <c r="I354" s="70"/>
      <c r="L354" s="202"/>
      <c r="M354" s="209"/>
      <c r="N354" s="210"/>
      <c r="O354" s="210"/>
      <c r="P354" s="210"/>
      <c r="Q354" s="210"/>
      <c r="R354" s="210"/>
      <c r="S354" s="210"/>
      <c r="T354" s="211"/>
      <c r="AT354" s="204" t="s">
        <v>121</v>
      </c>
      <c r="AU354" s="204" t="s">
        <v>76</v>
      </c>
      <c r="AV354" s="208" t="s">
        <v>76</v>
      </c>
      <c r="AW354" s="208" t="s">
        <v>32</v>
      </c>
      <c r="AX354" s="208" t="s">
        <v>68</v>
      </c>
      <c r="AY354" s="204" t="s">
        <v>114</v>
      </c>
    </row>
    <row r="355" spans="2:51" s="228" customFormat="1" ht="12">
      <c r="B355" s="222"/>
      <c r="D355" s="193" t="s">
        <v>121</v>
      </c>
      <c r="E355" s="224" t="s">
        <v>1</v>
      </c>
      <c r="F355" s="266" t="s">
        <v>150</v>
      </c>
      <c r="H355" s="264">
        <f>H353+H354</f>
        <v>229.20000000000002</v>
      </c>
      <c r="I355" s="72"/>
      <c r="L355" s="222"/>
      <c r="M355" s="229"/>
      <c r="N355" s="230"/>
      <c r="O355" s="230"/>
      <c r="P355" s="230"/>
      <c r="Q355" s="230"/>
      <c r="R355" s="230"/>
      <c r="S355" s="230"/>
      <c r="T355" s="231"/>
      <c r="AT355" s="224" t="s">
        <v>121</v>
      </c>
      <c r="AU355" s="224" t="s">
        <v>76</v>
      </c>
      <c r="AV355" s="228" t="s">
        <v>119</v>
      </c>
      <c r="AW355" s="228" t="s">
        <v>32</v>
      </c>
      <c r="AX355" s="228" t="s">
        <v>73</v>
      </c>
      <c r="AY355" s="224" t="s">
        <v>114</v>
      </c>
    </row>
    <row r="356" spans="2:65" s="92" customFormat="1" ht="16.5" customHeight="1">
      <c r="B356" s="90"/>
      <c r="C356" s="178" t="s">
        <v>402</v>
      </c>
      <c r="D356" s="178" t="s">
        <v>116</v>
      </c>
      <c r="E356" s="179" t="s">
        <v>373</v>
      </c>
      <c r="F356" s="180" t="s">
        <v>374</v>
      </c>
      <c r="G356" s="181" t="s">
        <v>191</v>
      </c>
      <c r="H356" s="182">
        <v>3.7</v>
      </c>
      <c r="I356" s="69"/>
      <c r="J356" s="184">
        <f>ROUND(I356*H356,2)</f>
        <v>0</v>
      </c>
      <c r="K356" s="180" t="s">
        <v>154</v>
      </c>
      <c r="L356" s="90"/>
      <c r="M356" s="185" t="s">
        <v>1</v>
      </c>
      <c r="N356" s="186" t="s">
        <v>41</v>
      </c>
      <c r="O356" s="187"/>
      <c r="P356" s="188">
        <f>O356*H356</f>
        <v>0</v>
      </c>
      <c r="Q356" s="188">
        <v>2.429</v>
      </c>
      <c r="R356" s="188">
        <f>Q356*H356</f>
        <v>8.9873</v>
      </c>
      <c r="S356" s="188">
        <v>0</v>
      </c>
      <c r="T356" s="189">
        <f>S356*H356</f>
        <v>0</v>
      </c>
      <c r="AR356" s="81" t="s">
        <v>119</v>
      </c>
      <c r="AT356" s="81" t="s">
        <v>116</v>
      </c>
      <c r="AU356" s="81" t="s">
        <v>76</v>
      </c>
      <c r="AY356" s="81" t="s">
        <v>114</v>
      </c>
      <c r="BE356" s="190">
        <f>IF(N356="základní",J356,0)</f>
        <v>0</v>
      </c>
      <c r="BF356" s="190">
        <f>IF(N356="snížená",J356,0)</f>
        <v>0</v>
      </c>
      <c r="BG356" s="190">
        <f>IF(N356="zákl. přenesená",J356,0)</f>
        <v>0</v>
      </c>
      <c r="BH356" s="190">
        <f>IF(N356="sníž. přenesená",J356,0)</f>
        <v>0</v>
      </c>
      <c r="BI356" s="190">
        <f>IF(N356="nulová",J356,0)</f>
        <v>0</v>
      </c>
      <c r="BJ356" s="81" t="s">
        <v>73</v>
      </c>
      <c r="BK356" s="190">
        <f>ROUND(I356*H356,2)</f>
        <v>0</v>
      </c>
      <c r="BL356" s="81" t="s">
        <v>119</v>
      </c>
      <c r="BM356" s="81" t="s">
        <v>1012</v>
      </c>
    </row>
    <row r="357" spans="2:51" s="198" customFormat="1" ht="12">
      <c r="B357" s="191"/>
      <c r="D357" s="193" t="s">
        <v>121</v>
      </c>
      <c r="E357" s="194" t="s">
        <v>1</v>
      </c>
      <c r="F357" s="259" t="s">
        <v>376</v>
      </c>
      <c r="H357" s="194" t="s">
        <v>1</v>
      </c>
      <c r="I357" s="71"/>
      <c r="L357" s="191"/>
      <c r="M357" s="199"/>
      <c r="N357" s="200"/>
      <c r="O357" s="200"/>
      <c r="P357" s="200"/>
      <c r="Q357" s="200"/>
      <c r="R357" s="200"/>
      <c r="S357" s="200"/>
      <c r="T357" s="201"/>
      <c r="AT357" s="194" t="s">
        <v>121</v>
      </c>
      <c r="AU357" s="194" t="s">
        <v>76</v>
      </c>
      <c r="AV357" s="198" t="s">
        <v>73</v>
      </c>
      <c r="AW357" s="198" t="s">
        <v>32</v>
      </c>
      <c r="AX357" s="198" t="s">
        <v>68</v>
      </c>
      <c r="AY357" s="194" t="s">
        <v>114</v>
      </c>
    </row>
    <row r="358" spans="2:51" s="208" customFormat="1" ht="12">
      <c r="B358" s="202"/>
      <c r="D358" s="193" t="s">
        <v>121</v>
      </c>
      <c r="E358" s="204" t="s">
        <v>1</v>
      </c>
      <c r="F358" s="260" t="s">
        <v>1013</v>
      </c>
      <c r="H358" s="261">
        <v>3.7</v>
      </c>
      <c r="I358" s="70"/>
      <c r="L358" s="202"/>
      <c r="M358" s="209"/>
      <c r="N358" s="210"/>
      <c r="O358" s="210"/>
      <c r="P358" s="210"/>
      <c r="Q358" s="210"/>
      <c r="R358" s="210"/>
      <c r="S358" s="210"/>
      <c r="T358" s="211"/>
      <c r="AT358" s="204" t="s">
        <v>121</v>
      </c>
      <c r="AU358" s="204" t="s">
        <v>76</v>
      </c>
      <c r="AV358" s="208" t="s">
        <v>76</v>
      </c>
      <c r="AW358" s="208" t="s">
        <v>32</v>
      </c>
      <c r="AX358" s="208" t="s">
        <v>68</v>
      </c>
      <c r="AY358" s="204" t="s">
        <v>114</v>
      </c>
    </row>
    <row r="359" spans="2:51" s="228" customFormat="1" ht="12">
      <c r="B359" s="222"/>
      <c r="D359" s="193" t="s">
        <v>121</v>
      </c>
      <c r="E359" s="224" t="s">
        <v>1</v>
      </c>
      <c r="F359" s="266" t="s">
        <v>150</v>
      </c>
      <c r="H359" s="264">
        <v>3.7</v>
      </c>
      <c r="I359" s="72"/>
      <c r="L359" s="222"/>
      <c r="M359" s="229"/>
      <c r="N359" s="230"/>
      <c r="O359" s="230"/>
      <c r="P359" s="230"/>
      <c r="Q359" s="230"/>
      <c r="R359" s="230"/>
      <c r="S359" s="230"/>
      <c r="T359" s="231"/>
      <c r="AT359" s="224" t="s">
        <v>121</v>
      </c>
      <c r="AU359" s="224" t="s">
        <v>76</v>
      </c>
      <c r="AV359" s="228" t="s">
        <v>119</v>
      </c>
      <c r="AW359" s="228" t="s">
        <v>32</v>
      </c>
      <c r="AX359" s="228" t="s">
        <v>73</v>
      </c>
      <c r="AY359" s="224" t="s">
        <v>114</v>
      </c>
    </row>
    <row r="360" spans="2:65" s="92" customFormat="1" ht="16.5" customHeight="1">
      <c r="B360" s="90"/>
      <c r="C360" s="178" t="s">
        <v>406</v>
      </c>
      <c r="D360" s="178" t="s">
        <v>116</v>
      </c>
      <c r="E360" s="179" t="s">
        <v>379</v>
      </c>
      <c r="F360" s="180" t="s">
        <v>380</v>
      </c>
      <c r="G360" s="181" t="s">
        <v>153</v>
      </c>
      <c r="H360" s="182">
        <v>20</v>
      </c>
      <c r="I360" s="69"/>
      <c r="J360" s="184">
        <f>ROUND(I360*H360,2)</f>
        <v>0</v>
      </c>
      <c r="K360" s="180" t="s">
        <v>154</v>
      </c>
      <c r="L360" s="90"/>
      <c r="M360" s="185" t="s">
        <v>1</v>
      </c>
      <c r="N360" s="186" t="s">
        <v>41</v>
      </c>
      <c r="O360" s="187"/>
      <c r="P360" s="188">
        <f>O360*H360</f>
        <v>0</v>
      </c>
      <c r="Q360" s="188">
        <v>0.00639</v>
      </c>
      <c r="R360" s="188">
        <f>Q360*H360</f>
        <v>0.1278</v>
      </c>
      <c r="S360" s="188">
        <v>0</v>
      </c>
      <c r="T360" s="189">
        <f>S360*H360</f>
        <v>0</v>
      </c>
      <c r="AR360" s="81" t="s">
        <v>119</v>
      </c>
      <c r="AT360" s="81" t="s">
        <v>116</v>
      </c>
      <c r="AU360" s="81" t="s">
        <v>76</v>
      </c>
      <c r="AY360" s="81" t="s">
        <v>114</v>
      </c>
      <c r="BE360" s="190">
        <f>IF(N360="základní",J360,0)</f>
        <v>0</v>
      </c>
      <c r="BF360" s="190">
        <f>IF(N360="snížená",J360,0)</f>
        <v>0</v>
      </c>
      <c r="BG360" s="190">
        <f>IF(N360="zákl. přenesená",J360,0)</f>
        <v>0</v>
      </c>
      <c r="BH360" s="190">
        <f>IF(N360="sníž. přenesená",J360,0)</f>
        <v>0</v>
      </c>
      <c r="BI360" s="190">
        <f>IF(N360="nulová",J360,0)</f>
        <v>0</v>
      </c>
      <c r="BJ360" s="81" t="s">
        <v>73</v>
      </c>
      <c r="BK360" s="190">
        <f>ROUND(I360*H360,2)</f>
        <v>0</v>
      </c>
      <c r="BL360" s="81" t="s">
        <v>119</v>
      </c>
      <c r="BM360" s="81" t="s">
        <v>1014</v>
      </c>
    </row>
    <row r="361" spans="2:63" s="166" customFormat="1" ht="22.9" customHeight="1">
      <c r="B361" s="162"/>
      <c r="D361" s="164" t="s">
        <v>67</v>
      </c>
      <c r="E361" s="175" t="s">
        <v>167</v>
      </c>
      <c r="F361" s="175" t="s">
        <v>382</v>
      </c>
      <c r="I361" s="74"/>
      <c r="J361" s="176">
        <f>SUM(J362:J385)</f>
        <v>0</v>
      </c>
      <c r="L361" s="162"/>
      <c r="M361" s="169"/>
      <c r="N361" s="170"/>
      <c r="O361" s="170"/>
      <c r="P361" s="171">
        <f>SUM(P362:P386)</f>
        <v>0</v>
      </c>
      <c r="Q361" s="170"/>
      <c r="R361" s="171">
        <f>SUM(R362:R386)</f>
        <v>420.1454950000001</v>
      </c>
      <c r="S361" s="170"/>
      <c r="T361" s="172">
        <f>SUM(T362:T386)</f>
        <v>0</v>
      </c>
      <c r="AR361" s="164" t="s">
        <v>73</v>
      </c>
      <c r="AT361" s="173" t="s">
        <v>67</v>
      </c>
      <c r="AU361" s="173" t="s">
        <v>73</v>
      </c>
      <c r="AY361" s="164" t="s">
        <v>114</v>
      </c>
      <c r="BK361" s="174">
        <f>SUM(BK362:BK386)</f>
        <v>0</v>
      </c>
    </row>
    <row r="362" spans="2:65" s="92" customFormat="1" ht="16.5" customHeight="1">
      <c r="B362" s="90"/>
      <c r="C362" s="178" t="s">
        <v>414</v>
      </c>
      <c r="D362" s="178" t="s">
        <v>116</v>
      </c>
      <c r="E362" s="179" t="s">
        <v>384</v>
      </c>
      <c r="F362" s="180" t="s">
        <v>385</v>
      </c>
      <c r="G362" s="181" t="s">
        <v>153</v>
      </c>
      <c r="H362" s="182">
        <f>H364</f>
        <v>457.5</v>
      </c>
      <c r="I362" s="69"/>
      <c r="J362" s="184">
        <f>ROUND(I362*H362,2)</f>
        <v>0</v>
      </c>
      <c r="K362" s="180" t="s">
        <v>154</v>
      </c>
      <c r="L362" s="90"/>
      <c r="M362" s="185" t="s">
        <v>1</v>
      </c>
      <c r="N362" s="186" t="s">
        <v>41</v>
      </c>
      <c r="O362" s="187"/>
      <c r="P362" s="188">
        <f>O362*H362</f>
        <v>0</v>
      </c>
      <c r="Q362" s="188">
        <v>0.27994</v>
      </c>
      <c r="R362" s="188">
        <f>Q362*H362</f>
        <v>128.07255</v>
      </c>
      <c r="S362" s="188">
        <v>0</v>
      </c>
      <c r="T362" s="189">
        <f>S362*H362</f>
        <v>0</v>
      </c>
      <c r="AR362" s="81" t="s">
        <v>119</v>
      </c>
      <c r="AT362" s="81" t="s">
        <v>116</v>
      </c>
      <c r="AU362" s="81" t="s">
        <v>76</v>
      </c>
      <c r="AY362" s="81" t="s">
        <v>114</v>
      </c>
      <c r="BE362" s="190">
        <f>IF(N362="základní",J362,0)</f>
        <v>0</v>
      </c>
      <c r="BF362" s="190">
        <f>IF(N362="snížená",J362,0)</f>
        <v>0</v>
      </c>
      <c r="BG362" s="190">
        <f>IF(N362="zákl. přenesená",J362,0)</f>
        <v>0</v>
      </c>
      <c r="BH362" s="190">
        <f>IF(N362="sníž. přenesená",J362,0)</f>
        <v>0</v>
      </c>
      <c r="BI362" s="190">
        <f>IF(N362="nulová",J362,0)</f>
        <v>0</v>
      </c>
      <c r="BJ362" s="81" t="s">
        <v>73</v>
      </c>
      <c r="BK362" s="190">
        <f>ROUND(I362*H362,2)</f>
        <v>0</v>
      </c>
      <c r="BL362" s="81" t="s">
        <v>119</v>
      </c>
      <c r="BM362" s="81" t="s">
        <v>1018</v>
      </c>
    </row>
    <row r="363" spans="2:51" s="198" customFormat="1" ht="12">
      <c r="B363" s="191"/>
      <c r="D363" s="193" t="s">
        <v>121</v>
      </c>
      <c r="E363" s="194" t="s">
        <v>1</v>
      </c>
      <c r="F363" s="259" t="s">
        <v>1019</v>
      </c>
      <c r="H363" s="194" t="s">
        <v>1</v>
      </c>
      <c r="I363" s="71"/>
      <c r="L363" s="191"/>
      <c r="M363" s="199"/>
      <c r="N363" s="200"/>
      <c r="O363" s="200"/>
      <c r="P363" s="200"/>
      <c r="Q363" s="200"/>
      <c r="R363" s="200"/>
      <c r="S363" s="200"/>
      <c r="T363" s="201"/>
      <c r="AT363" s="194" t="s">
        <v>121</v>
      </c>
      <c r="AU363" s="194" t="s">
        <v>76</v>
      </c>
      <c r="AV363" s="198" t="s">
        <v>73</v>
      </c>
      <c r="AW363" s="198" t="s">
        <v>32</v>
      </c>
      <c r="AX363" s="198" t="s">
        <v>68</v>
      </c>
      <c r="AY363" s="194" t="s">
        <v>114</v>
      </c>
    </row>
    <row r="364" spans="2:51" s="208" customFormat="1" ht="12">
      <c r="B364" s="202"/>
      <c r="D364" s="193" t="s">
        <v>121</v>
      </c>
      <c r="E364" s="204" t="s">
        <v>1</v>
      </c>
      <c r="F364" s="260" t="s">
        <v>1536</v>
      </c>
      <c r="H364" s="261">
        <f>(557-168+2.5+26+6+12+3*2)*1+4*2*2</f>
        <v>457.5</v>
      </c>
      <c r="I364" s="70"/>
      <c r="L364" s="202"/>
      <c r="M364" s="209"/>
      <c r="N364" s="210"/>
      <c r="O364" s="210"/>
      <c r="P364" s="210"/>
      <c r="Q364" s="210"/>
      <c r="R364" s="210"/>
      <c r="S364" s="210"/>
      <c r="T364" s="211"/>
      <c r="AT364" s="204" t="s">
        <v>121</v>
      </c>
      <c r="AU364" s="204" t="s">
        <v>76</v>
      </c>
      <c r="AV364" s="208" t="s">
        <v>76</v>
      </c>
      <c r="AW364" s="208" t="s">
        <v>32</v>
      </c>
      <c r="AX364" s="208" t="s">
        <v>68</v>
      </c>
      <c r="AY364" s="204" t="s">
        <v>114</v>
      </c>
    </row>
    <row r="365" spans="2:65" s="92" customFormat="1" ht="16.5" customHeight="1">
      <c r="B365" s="90"/>
      <c r="C365" s="178" t="s">
        <v>422</v>
      </c>
      <c r="D365" s="178" t="s">
        <v>116</v>
      </c>
      <c r="E365" s="179" t="s">
        <v>389</v>
      </c>
      <c r="F365" s="180" t="s">
        <v>390</v>
      </c>
      <c r="G365" s="181" t="s">
        <v>153</v>
      </c>
      <c r="H365" s="182">
        <f>H368</f>
        <v>457.5</v>
      </c>
      <c r="I365" s="69"/>
      <c r="J365" s="184">
        <f>ROUND(I365*H365,2)</f>
        <v>0</v>
      </c>
      <c r="K365" s="180" t="s">
        <v>154</v>
      </c>
      <c r="L365" s="90"/>
      <c r="M365" s="185" t="s">
        <v>1</v>
      </c>
      <c r="N365" s="186" t="s">
        <v>41</v>
      </c>
      <c r="O365" s="187"/>
      <c r="P365" s="188">
        <f>O365*H365</f>
        <v>0</v>
      </c>
      <c r="Q365" s="188">
        <v>0.278</v>
      </c>
      <c r="R365" s="188">
        <f>Q365*H365</f>
        <v>127.18500000000002</v>
      </c>
      <c r="S365" s="188">
        <v>0</v>
      </c>
      <c r="T365" s="189">
        <f>S365*H365</f>
        <v>0</v>
      </c>
      <c r="AR365" s="81" t="s">
        <v>119</v>
      </c>
      <c r="AT365" s="81" t="s">
        <v>116</v>
      </c>
      <c r="AU365" s="81" t="s">
        <v>76</v>
      </c>
      <c r="AY365" s="81" t="s">
        <v>114</v>
      </c>
      <c r="BE365" s="190">
        <f>IF(N365="základní",J365,0)</f>
        <v>0</v>
      </c>
      <c r="BF365" s="190">
        <f>IF(N365="snížená",J365,0)</f>
        <v>0</v>
      </c>
      <c r="BG365" s="190">
        <f>IF(N365="zákl. přenesená",J365,0)</f>
        <v>0</v>
      </c>
      <c r="BH365" s="190">
        <f>IF(N365="sníž. přenesená",J365,0)</f>
        <v>0</v>
      </c>
      <c r="BI365" s="190">
        <f>IF(N365="nulová",J365,0)</f>
        <v>0</v>
      </c>
      <c r="BJ365" s="81" t="s">
        <v>73</v>
      </c>
      <c r="BK365" s="190">
        <f>ROUND(I365*H365,2)</f>
        <v>0</v>
      </c>
      <c r="BL365" s="81" t="s">
        <v>119</v>
      </c>
      <c r="BM365" s="81" t="s">
        <v>1025</v>
      </c>
    </row>
    <row r="366" spans="2:51" s="198" customFormat="1" ht="12">
      <c r="B366" s="191"/>
      <c r="D366" s="193" t="s">
        <v>121</v>
      </c>
      <c r="E366" s="194" t="s">
        <v>1</v>
      </c>
      <c r="F366" s="259" t="s">
        <v>392</v>
      </c>
      <c r="H366" s="194" t="s">
        <v>1</v>
      </c>
      <c r="I366" s="71"/>
      <c r="L366" s="191"/>
      <c r="M366" s="199"/>
      <c r="N366" s="200"/>
      <c r="O366" s="200"/>
      <c r="P366" s="200"/>
      <c r="Q366" s="200"/>
      <c r="R366" s="200"/>
      <c r="S366" s="200"/>
      <c r="T366" s="201"/>
      <c r="AT366" s="194" t="s">
        <v>121</v>
      </c>
      <c r="AU366" s="194" t="s">
        <v>76</v>
      </c>
      <c r="AV366" s="198" t="s">
        <v>73</v>
      </c>
      <c r="AW366" s="198" t="s">
        <v>32</v>
      </c>
      <c r="AX366" s="198" t="s">
        <v>68</v>
      </c>
      <c r="AY366" s="194" t="s">
        <v>114</v>
      </c>
    </row>
    <row r="367" spans="2:51" s="198" customFormat="1" ht="12">
      <c r="B367" s="191"/>
      <c r="D367" s="193" t="s">
        <v>121</v>
      </c>
      <c r="E367" s="194" t="s">
        <v>1</v>
      </c>
      <c r="F367" s="259" t="s">
        <v>1026</v>
      </c>
      <c r="H367" s="194" t="s">
        <v>1</v>
      </c>
      <c r="I367" s="71"/>
      <c r="L367" s="191"/>
      <c r="M367" s="199"/>
      <c r="N367" s="200"/>
      <c r="O367" s="200"/>
      <c r="P367" s="200"/>
      <c r="Q367" s="200"/>
      <c r="R367" s="200"/>
      <c r="S367" s="200"/>
      <c r="T367" s="201"/>
      <c r="AT367" s="194" t="s">
        <v>121</v>
      </c>
      <c r="AU367" s="194" t="s">
        <v>76</v>
      </c>
      <c r="AV367" s="198" t="s">
        <v>73</v>
      </c>
      <c r="AW367" s="198" t="s">
        <v>32</v>
      </c>
      <c r="AX367" s="198" t="s">
        <v>68</v>
      </c>
      <c r="AY367" s="194" t="s">
        <v>114</v>
      </c>
    </row>
    <row r="368" spans="2:51" s="208" customFormat="1" ht="12">
      <c r="B368" s="202"/>
      <c r="D368" s="193" t="s">
        <v>121</v>
      </c>
      <c r="E368" s="204" t="s">
        <v>1</v>
      </c>
      <c r="F368" s="260" t="s">
        <v>1536</v>
      </c>
      <c r="H368" s="261">
        <f>(557-168+2.5+26+6+12+3*2)*1+4*2*2</f>
        <v>457.5</v>
      </c>
      <c r="I368" s="70"/>
      <c r="L368" s="202"/>
      <c r="M368" s="209"/>
      <c r="N368" s="210"/>
      <c r="O368" s="210"/>
      <c r="P368" s="210"/>
      <c r="Q368" s="210"/>
      <c r="R368" s="210"/>
      <c r="S368" s="210"/>
      <c r="T368" s="211"/>
      <c r="AT368" s="204" t="s">
        <v>121</v>
      </c>
      <c r="AU368" s="204" t="s">
        <v>76</v>
      </c>
      <c r="AV368" s="208" t="s">
        <v>76</v>
      </c>
      <c r="AW368" s="208" t="s">
        <v>32</v>
      </c>
      <c r="AX368" s="208" t="s">
        <v>68</v>
      </c>
      <c r="AY368" s="204" t="s">
        <v>114</v>
      </c>
    </row>
    <row r="369" spans="2:65" s="92" customFormat="1" ht="16.5" customHeight="1">
      <c r="B369" s="90"/>
      <c r="C369" s="178" t="s">
        <v>426</v>
      </c>
      <c r="D369" s="178" t="s">
        <v>116</v>
      </c>
      <c r="E369" s="179" t="s">
        <v>395</v>
      </c>
      <c r="F369" s="180" t="s">
        <v>396</v>
      </c>
      <c r="G369" s="181" t="s">
        <v>153</v>
      </c>
      <c r="H369" s="182">
        <f>H374</f>
        <v>457.5</v>
      </c>
      <c r="I369" s="69"/>
      <c r="J369" s="184">
        <f>ROUND(I369*H369,2)</f>
        <v>0</v>
      </c>
      <c r="K369" s="180" t="s">
        <v>1</v>
      </c>
      <c r="L369" s="90"/>
      <c r="M369" s="185" t="s">
        <v>1</v>
      </c>
      <c r="N369" s="186" t="s">
        <v>41</v>
      </c>
      <c r="O369" s="187"/>
      <c r="P369" s="188">
        <f>O369*H369</f>
        <v>0</v>
      </c>
      <c r="Q369" s="188">
        <v>0.34763</v>
      </c>
      <c r="R369" s="188">
        <f>Q369*H369</f>
        <v>159.040725</v>
      </c>
      <c r="S369" s="188">
        <v>0</v>
      </c>
      <c r="T369" s="189">
        <f>S369*H369</f>
        <v>0</v>
      </c>
      <c r="AR369" s="81" t="s">
        <v>119</v>
      </c>
      <c r="AT369" s="81" t="s">
        <v>116</v>
      </c>
      <c r="AU369" s="81" t="s">
        <v>76</v>
      </c>
      <c r="AY369" s="81" t="s">
        <v>114</v>
      </c>
      <c r="BE369" s="190">
        <f>IF(N369="základní",J369,0)</f>
        <v>0</v>
      </c>
      <c r="BF369" s="190">
        <f>IF(N369="snížená",J369,0)</f>
        <v>0</v>
      </c>
      <c r="BG369" s="190">
        <f>IF(N369="zákl. přenesená",J369,0)</f>
        <v>0</v>
      </c>
      <c r="BH369" s="190">
        <f>IF(N369="sníž. přenesená",J369,0)</f>
        <v>0</v>
      </c>
      <c r="BI369" s="190">
        <f>IF(N369="nulová",J369,0)</f>
        <v>0</v>
      </c>
      <c r="BJ369" s="81" t="s">
        <v>73</v>
      </c>
      <c r="BK369" s="190">
        <f>ROUND(I369*H369,2)</f>
        <v>0</v>
      </c>
      <c r="BL369" s="81" t="s">
        <v>119</v>
      </c>
      <c r="BM369" s="81" t="s">
        <v>1027</v>
      </c>
    </row>
    <row r="370" spans="2:51" s="198" customFormat="1" ht="12">
      <c r="B370" s="191"/>
      <c r="D370" s="193" t="s">
        <v>121</v>
      </c>
      <c r="E370" s="194" t="s">
        <v>1</v>
      </c>
      <c r="F370" s="259" t="s">
        <v>398</v>
      </c>
      <c r="H370" s="194" t="s">
        <v>1</v>
      </c>
      <c r="I370" s="71"/>
      <c r="L370" s="191"/>
      <c r="M370" s="199"/>
      <c r="N370" s="200"/>
      <c r="O370" s="200"/>
      <c r="P370" s="200"/>
      <c r="Q370" s="200"/>
      <c r="R370" s="200"/>
      <c r="S370" s="200"/>
      <c r="T370" s="201"/>
      <c r="AT370" s="194" t="s">
        <v>121</v>
      </c>
      <c r="AU370" s="194" t="s">
        <v>76</v>
      </c>
      <c r="AV370" s="198" t="s">
        <v>73</v>
      </c>
      <c r="AW370" s="198" t="s">
        <v>32</v>
      </c>
      <c r="AX370" s="198" t="s">
        <v>68</v>
      </c>
      <c r="AY370" s="194" t="s">
        <v>114</v>
      </c>
    </row>
    <row r="371" spans="2:51" s="198" customFormat="1" ht="12">
      <c r="B371" s="191"/>
      <c r="D371" s="193" t="s">
        <v>121</v>
      </c>
      <c r="E371" s="194" t="s">
        <v>1</v>
      </c>
      <c r="F371" s="259" t="s">
        <v>399</v>
      </c>
      <c r="H371" s="194" t="s">
        <v>1</v>
      </c>
      <c r="I371" s="71"/>
      <c r="L371" s="191"/>
      <c r="M371" s="199"/>
      <c r="N371" s="200"/>
      <c r="O371" s="200"/>
      <c r="P371" s="200"/>
      <c r="Q371" s="200"/>
      <c r="R371" s="200"/>
      <c r="S371" s="200"/>
      <c r="T371" s="201"/>
      <c r="AT371" s="194" t="s">
        <v>121</v>
      </c>
      <c r="AU371" s="194" t="s">
        <v>76</v>
      </c>
      <c r="AV371" s="198" t="s">
        <v>73</v>
      </c>
      <c r="AW371" s="198" t="s">
        <v>32</v>
      </c>
      <c r="AX371" s="198" t="s">
        <v>68</v>
      </c>
      <c r="AY371" s="194" t="s">
        <v>114</v>
      </c>
    </row>
    <row r="372" spans="2:51" s="198" customFormat="1" ht="12">
      <c r="B372" s="191"/>
      <c r="D372" s="193" t="s">
        <v>121</v>
      </c>
      <c r="E372" s="194" t="s">
        <v>1</v>
      </c>
      <c r="F372" s="259" t="s">
        <v>400</v>
      </c>
      <c r="H372" s="194" t="s">
        <v>1</v>
      </c>
      <c r="I372" s="71"/>
      <c r="L372" s="191"/>
      <c r="M372" s="199"/>
      <c r="N372" s="200"/>
      <c r="O372" s="200"/>
      <c r="P372" s="200"/>
      <c r="Q372" s="200"/>
      <c r="R372" s="200"/>
      <c r="S372" s="200"/>
      <c r="T372" s="201"/>
      <c r="AT372" s="194" t="s">
        <v>121</v>
      </c>
      <c r="AU372" s="194" t="s">
        <v>76</v>
      </c>
      <c r="AV372" s="198" t="s">
        <v>73</v>
      </c>
      <c r="AW372" s="198" t="s">
        <v>32</v>
      </c>
      <c r="AX372" s="198" t="s">
        <v>68</v>
      </c>
      <c r="AY372" s="194" t="s">
        <v>114</v>
      </c>
    </row>
    <row r="373" spans="2:51" s="198" customFormat="1" ht="12">
      <c r="B373" s="191"/>
      <c r="D373" s="193" t="s">
        <v>121</v>
      </c>
      <c r="E373" s="194" t="s">
        <v>1</v>
      </c>
      <c r="F373" s="259" t="s">
        <v>1028</v>
      </c>
      <c r="H373" s="194" t="s">
        <v>1</v>
      </c>
      <c r="I373" s="71"/>
      <c r="L373" s="191"/>
      <c r="M373" s="199"/>
      <c r="N373" s="200"/>
      <c r="O373" s="200"/>
      <c r="P373" s="200"/>
      <c r="Q373" s="200"/>
      <c r="R373" s="200"/>
      <c r="S373" s="200"/>
      <c r="T373" s="201"/>
      <c r="AT373" s="194" t="s">
        <v>121</v>
      </c>
      <c r="AU373" s="194" t="s">
        <v>76</v>
      </c>
      <c r="AV373" s="198" t="s">
        <v>73</v>
      </c>
      <c r="AW373" s="198" t="s">
        <v>32</v>
      </c>
      <c r="AX373" s="198" t="s">
        <v>68</v>
      </c>
      <c r="AY373" s="194" t="s">
        <v>114</v>
      </c>
    </row>
    <row r="374" spans="2:51" s="208" customFormat="1" ht="12">
      <c r="B374" s="202"/>
      <c r="D374" s="193" t="s">
        <v>121</v>
      </c>
      <c r="E374" s="204" t="s">
        <v>1</v>
      </c>
      <c r="F374" s="260" t="s">
        <v>1536</v>
      </c>
      <c r="H374" s="261">
        <f>(557-168+2.5+26+6+12+3*2)*1+4*2*2</f>
        <v>457.5</v>
      </c>
      <c r="I374" s="70"/>
      <c r="L374" s="202"/>
      <c r="M374" s="209"/>
      <c r="N374" s="210"/>
      <c r="O374" s="210"/>
      <c r="P374" s="210"/>
      <c r="Q374" s="210"/>
      <c r="R374" s="210"/>
      <c r="S374" s="210"/>
      <c r="T374" s="211"/>
      <c r="AT374" s="204" t="s">
        <v>121</v>
      </c>
      <c r="AU374" s="204" t="s">
        <v>76</v>
      </c>
      <c r="AV374" s="208" t="s">
        <v>76</v>
      </c>
      <c r="AW374" s="208" t="s">
        <v>32</v>
      </c>
      <c r="AX374" s="208" t="s">
        <v>68</v>
      </c>
      <c r="AY374" s="204" t="s">
        <v>114</v>
      </c>
    </row>
    <row r="375" spans="2:65" s="92" customFormat="1" ht="16.5" customHeight="1">
      <c r="B375" s="90"/>
      <c r="C375" s="178" t="s">
        <v>433</v>
      </c>
      <c r="D375" s="178" t="s">
        <v>116</v>
      </c>
      <c r="E375" s="179" t="s">
        <v>403</v>
      </c>
      <c r="F375" s="180" t="s">
        <v>404</v>
      </c>
      <c r="G375" s="181" t="s">
        <v>153</v>
      </c>
      <c r="H375" s="182">
        <f>H369</f>
        <v>457.5</v>
      </c>
      <c r="I375" s="69"/>
      <c r="J375" s="184">
        <f>ROUND(I375*H375,2)</f>
        <v>0</v>
      </c>
      <c r="K375" s="180" t="s">
        <v>154</v>
      </c>
      <c r="L375" s="90"/>
      <c r="M375" s="185" t="s">
        <v>1</v>
      </c>
      <c r="N375" s="186" t="s">
        <v>41</v>
      </c>
      <c r="O375" s="187"/>
      <c r="P375" s="188">
        <f>O375*H375</f>
        <v>0</v>
      </c>
      <c r="Q375" s="188">
        <v>0</v>
      </c>
      <c r="R375" s="188">
        <f>Q375*H375</f>
        <v>0</v>
      </c>
      <c r="S375" s="188">
        <v>0</v>
      </c>
      <c r="T375" s="189">
        <f>S375*H375</f>
        <v>0</v>
      </c>
      <c r="AR375" s="81" t="s">
        <v>119</v>
      </c>
      <c r="AT375" s="81" t="s">
        <v>116</v>
      </c>
      <c r="AU375" s="81" t="s">
        <v>76</v>
      </c>
      <c r="AY375" s="81" t="s">
        <v>114</v>
      </c>
      <c r="BE375" s="190">
        <f>IF(N375="základní",J375,0)</f>
        <v>0</v>
      </c>
      <c r="BF375" s="190">
        <f>IF(N375="snížená",J375,0)</f>
        <v>0</v>
      </c>
      <c r="BG375" s="190">
        <f>IF(N375="zákl. přenesená",J375,0)</f>
        <v>0</v>
      </c>
      <c r="BH375" s="190">
        <f>IF(N375="sníž. přenesená",J375,0)</f>
        <v>0</v>
      </c>
      <c r="BI375" s="190">
        <f>IF(N375="nulová",J375,0)</f>
        <v>0</v>
      </c>
      <c r="BJ375" s="81" t="s">
        <v>73</v>
      </c>
      <c r="BK375" s="190">
        <f>ROUND(I375*H375,2)</f>
        <v>0</v>
      </c>
      <c r="BL375" s="81" t="s">
        <v>119</v>
      </c>
      <c r="BM375" s="81" t="s">
        <v>1029</v>
      </c>
    </row>
    <row r="376" spans="2:65" s="92" customFormat="1" ht="16.5" customHeight="1">
      <c r="B376" s="90"/>
      <c r="C376" s="178" t="s">
        <v>437</v>
      </c>
      <c r="D376" s="178" t="s">
        <v>116</v>
      </c>
      <c r="E376" s="179" t="s">
        <v>407</v>
      </c>
      <c r="F376" s="180" t="s">
        <v>408</v>
      </c>
      <c r="G376" s="181" t="s">
        <v>153</v>
      </c>
      <c r="H376" s="182">
        <f>H377</f>
        <v>1269.5</v>
      </c>
      <c r="I376" s="69"/>
      <c r="J376" s="184">
        <f>ROUND(I376*H376,2)</f>
        <v>0</v>
      </c>
      <c r="K376" s="180" t="s">
        <v>154</v>
      </c>
      <c r="L376" s="90"/>
      <c r="M376" s="185" t="s">
        <v>1</v>
      </c>
      <c r="N376" s="186" t="s">
        <v>41</v>
      </c>
      <c r="O376" s="187"/>
      <c r="P376" s="188">
        <f>O376*H376</f>
        <v>0</v>
      </c>
      <c r="Q376" s="188">
        <v>0</v>
      </c>
      <c r="R376" s="188">
        <f>Q376*H376</f>
        <v>0</v>
      </c>
      <c r="S376" s="188">
        <v>0</v>
      </c>
      <c r="T376" s="189">
        <f>S376*H376</f>
        <v>0</v>
      </c>
      <c r="AR376" s="81" t="s">
        <v>119</v>
      </c>
      <c r="AT376" s="81" t="s">
        <v>116</v>
      </c>
      <c r="AU376" s="81" t="s">
        <v>76</v>
      </c>
      <c r="AY376" s="81" t="s">
        <v>114</v>
      </c>
      <c r="BE376" s="190">
        <f>IF(N376="základní",J376,0)</f>
        <v>0</v>
      </c>
      <c r="BF376" s="190">
        <f>IF(N376="snížená",J376,0)</f>
        <v>0</v>
      </c>
      <c r="BG376" s="190">
        <f>IF(N376="zákl. přenesená",J376,0)</f>
        <v>0</v>
      </c>
      <c r="BH376" s="190">
        <f>IF(N376="sníž. přenesená",J376,0)</f>
        <v>0</v>
      </c>
      <c r="BI376" s="190">
        <f>IF(N376="nulová",J376,0)</f>
        <v>0</v>
      </c>
      <c r="BJ376" s="81" t="s">
        <v>73</v>
      </c>
      <c r="BK376" s="190">
        <f>ROUND(I376*H376,2)</f>
        <v>0</v>
      </c>
      <c r="BL376" s="81" t="s">
        <v>119</v>
      </c>
      <c r="BM376" s="81" t="s">
        <v>1030</v>
      </c>
    </row>
    <row r="377" spans="2:51" s="208" customFormat="1" ht="12">
      <c r="B377" s="202"/>
      <c r="D377" s="193" t="s">
        <v>121</v>
      </c>
      <c r="E377" s="204" t="s">
        <v>1</v>
      </c>
      <c r="F377" s="260" t="s">
        <v>1537</v>
      </c>
      <c r="H377" s="261">
        <f>(557-168+2.5)*3+(26+6+3*2+12)*1.5+4*2*2.5</f>
        <v>1269.5</v>
      </c>
      <c r="I377" s="70"/>
      <c r="L377" s="202"/>
      <c r="M377" s="209"/>
      <c r="N377" s="210"/>
      <c r="O377" s="210"/>
      <c r="P377" s="210"/>
      <c r="Q377" s="210"/>
      <c r="R377" s="210"/>
      <c r="S377" s="210"/>
      <c r="T377" s="211"/>
      <c r="AT377" s="204" t="s">
        <v>121</v>
      </c>
      <c r="AU377" s="204" t="s">
        <v>76</v>
      </c>
      <c r="AV377" s="208" t="s">
        <v>76</v>
      </c>
      <c r="AW377" s="208" t="s">
        <v>32</v>
      </c>
      <c r="AX377" s="208" t="s">
        <v>68</v>
      </c>
      <c r="AY377" s="204" t="s">
        <v>114</v>
      </c>
    </row>
    <row r="378" spans="2:65" s="92" customFormat="1" ht="16.5" customHeight="1">
      <c r="B378" s="90"/>
      <c r="C378" s="178" t="s">
        <v>441</v>
      </c>
      <c r="D378" s="178" t="s">
        <v>116</v>
      </c>
      <c r="E378" s="179" t="s">
        <v>411</v>
      </c>
      <c r="F378" s="180" t="s">
        <v>412</v>
      </c>
      <c r="G378" s="181" t="s">
        <v>153</v>
      </c>
      <c r="H378" s="182">
        <f>H379</f>
        <v>1269.5</v>
      </c>
      <c r="I378" s="69"/>
      <c r="J378" s="184">
        <f>ROUND(I378*H378,2)</f>
        <v>0</v>
      </c>
      <c r="K378" s="180" t="s">
        <v>154</v>
      </c>
      <c r="L378" s="90"/>
      <c r="M378" s="185" t="s">
        <v>1</v>
      </c>
      <c r="N378" s="186" t="s">
        <v>41</v>
      </c>
      <c r="O378" s="187"/>
      <c r="P378" s="188">
        <f>O378*H378</f>
        <v>0</v>
      </c>
      <c r="Q378" s="188">
        <v>0</v>
      </c>
      <c r="R378" s="188">
        <f>Q378*H378</f>
        <v>0</v>
      </c>
      <c r="S378" s="188">
        <v>0</v>
      </c>
      <c r="T378" s="189">
        <f>S378*H378</f>
        <v>0</v>
      </c>
      <c r="AR378" s="81" t="s">
        <v>119</v>
      </c>
      <c r="AT378" s="81" t="s">
        <v>116</v>
      </c>
      <c r="AU378" s="81" t="s">
        <v>76</v>
      </c>
      <c r="AY378" s="81" t="s">
        <v>114</v>
      </c>
      <c r="BE378" s="190">
        <f>IF(N378="základní",J378,0)</f>
        <v>0</v>
      </c>
      <c r="BF378" s="190">
        <f>IF(N378="snížená",J378,0)</f>
        <v>0</v>
      </c>
      <c r="BG378" s="190">
        <f>IF(N378="zákl. přenesená",J378,0)</f>
        <v>0</v>
      </c>
      <c r="BH378" s="190">
        <f>IF(N378="sníž. přenesená",J378,0)</f>
        <v>0</v>
      </c>
      <c r="BI378" s="190">
        <f>IF(N378="nulová",J378,0)</f>
        <v>0</v>
      </c>
      <c r="BJ378" s="81" t="s">
        <v>73</v>
      </c>
      <c r="BK378" s="190">
        <f>ROUND(I378*H378,2)</f>
        <v>0</v>
      </c>
      <c r="BL378" s="81" t="s">
        <v>119</v>
      </c>
      <c r="BM378" s="81" t="s">
        <v>1031</v>
      </c>
    </row>
    <row r="379" spans="2:51" s="208" customFormat="1" ht="12">
      <c r="B379" s="202"/>
      <c r="D379" s="193" t="s">
        <v>121</v>
      </c>
      <c r="E379" s="204" t="s">
        <v>1</v>
      </c>
      <c r="F379" s="260" t="s">
        <v>1537</v>
      </c>
      <c r="H379" s="261">
        <f>(557-168+2.5)*3+(26+6+3*2+12)*1.5+4*2*2.5</f>
        <v>1269.5</v>
      </c>
      <c r="I379" s="70"/>
      <c r="L379" s="202"/>
      <c r="M379" s="209"/>
      <c r="N379" s="210"/>
      <c r="O379" s="210"/>
      <c r="P379" s="210"/>
      <c r="Q379" s="210"/>
      <c r="R379" s="210"/>
      <c r="S379" s="210"/>
      <c r="T379" s="211"/>
      <c r="AT379" s="204" t="s">
        <v>121</v>
      </c>
      <c r="AU379" s="204" t="s">
        <v>76</v>
      </c>
      <c r="AV379" s="208" t="s">
        <v>76</v>
      </c>
      <c r="AW379" s="208" t="s">
        <v>32</v>
      </c>
      <c r="AX379" s="208" t="s">
        <v>68</v>
      </c>
      <c r="AY379" s="204" t="s">
        <v>114</v>
      </c>
    </row>
    <row r="380" spans="2:65" s="92" customFormat="1" ht="16.5" customHeight="1">
      <c r="B380" s="90"/>
      <c r="C380" s="178" t="s">
        <v>445</v>
      </c>
      <c r="D380" s="178" t="s">
        <v>116</v>
      </c>
      <c r="E380" s="179" t="s">
        <v>415</v>
      </c>
      <c r="F380" s="180" t="s">
        <v>1527</v>
      </c>
      <c r="G380" s="181" t="s">
        <v>153</v>
      </c>
      <c r="H380" s="182">
        <f>H381</f>
        <v>915</v>
      </c>
      <c r="I380" s="69"/>
      <c r="J380" s="184">
        <f>ROUND(I380*H380,2)</f>
        <v>0</v>
      </c>
      <c r="K380" s="180" t="s">
        <v>154</v>
      </c>
      <c r="L380" s="90"/>
      <c r="M380" s="185" t="s">
        <v>1</v>
      </c>
      <c r="N380" s="186" t="s">
        <v>41</v>
      </c>
      <c r="O380" s="187"/>
      <c r="P380" s="188">
        <f>O380*H380</f>
        <v>0</v>
      </c>
      <c r="Q380" s="188">
        <v>0</v>
      </c>
      <c r="R380" s="188">
        <f>Q380*H380</f>
        <v>0</v>
      </c>
      <c r="S380" s="188">
        <v>0</v>
      </c>
      <c r="T380" s="189">
        <f>S380*H380</f>
        <v>0</v>
      </c>
      <c r="AR380" s="81" t="s">
        <v>119</v>
      </c>
      <c r="AT380" s="81" t="s">
        <v>116</v>
      </c>
      <c r="AU380" s="81" t="s">
        <v>76</v>
      </c>
      <c r="AY380" s="81" t="s">
        <v>114</v>
      </c>
      <c r="BE380" s="190">
        <f>IF(N380="základní",J380,0)</f>
        <v>0</v>
      </c>
      <c r="BF380" s="190">
        <f>IF(N380="snížená",J380,0)</f>
        <v>0</v>
      </c>
      <c r="BG380" s="190">
        <f>IF(N380="zákl. přenesená",J380,0)</f>
        <v>0</v>
      </c>
      <c r="BH380" s="190">
        <f>IF(N380="sníž. přenesená",J380,0)</f>
        <v>0</v>
      </c>
      <c r="BI380" s="190">
        <f>IF(N380="nulová",J380,0)</f>
        <v>0</v>
      </c>
      <c r="BJ380" s="81" t="s">
        <v>73</v>
      </c>
      <c r="BK380" s="190">
        <f>ROUND(I380*H380,2)</f>
        <v>0</v>
      </c>
      <c r="BL380" s="81" t="s">
        <v>119</v>
      </c>
      <c r="BM380" s="81" t="s">
        <v>1032</v>
      </c>
    </row>
    <row r="381" spans="2:65" s="92" customFormat="1" ht="16.5" customHeight="1">
      <c r="B381" s="90"/>
      <c r="C381" s="178"/>
      <c r="D381" s="178"/>
      <c r="E381" s="179"/>
      <c r="F381" s="260" t="s">
        <v>1538</v>
      </c>
      <c r="G381" s="181"/>
      <c r="H381" s="182">
        <f>((557-168+2.5+26+6+12+3*2)*1+4*2*2)*2</f>
        <v>915</v>
      </c>
      <c r="I381" s="69"/>
      <c r="J381" s="184"/>
      <c r="K381" s="180"/>
      <c r="L381" s="90"/>
      <c r="M381" s="185"/>
      <c r="N381" s="186"/>
      <c r="O381" s="187"/>
      <c r="P381" s="188"/>
      <c r="Q381" s="188"/>
      <c r="R381" s="188"/>
      <c r="S381" s="188"/>
      <c r="T381" s="189"/>
      <c r="AR381" s="81"/>
      <c r="AT381" s="81"/>
      <c r="AU381" s="81"/>
      <c r="AY381" s="81"/>
      <c r="BE381" s="190"/>
      <c r="BF381" s="190"/>
      <c r="BG381" s="190"/>
      <c r="BH381" s="190"/>
      <c r="BI381" s="190"/>
      <c r="BJ381" s="81"/>
      <c r="BK381" s="190"/>
      <c r="BL381" s="81"/>
      <c r="BM381" s="81"/>
    </row>
    <row r="382" spans="2:65" s="92" customFormat="1" ht="16.5" customHeight="1">
      <c r="B382" s="90"/>
      <c r="C382" s="178" t="s">
        <v>449</v>
      </c>
      <c r="D382" s="178" t="s">
        <v>116</v>
      </c>
      <c r="E382" s="179" t="s">
        <v>1033</v>
      </c>
      <c r="F382" s="180" t="s">
        <v>1034</v>
      </c>
      <c r="G382" s="181" t="s">
        <v>153</v>
      </c>
      <c r="H382" s="182">
        <v>21.9</v>
      </c>
      <c r="I382" s="69"/>
      <c r="J382" s="184">
        <f>ROUND(I382*H382,2)</f>
        <v>0</v>
      </c>
      <c r="K382" s="180" t="s">
        <v>154</v>
      </c>
      <c r="L382" s="90"/>
      <c r="M382" s="185" t="s">
        <v>1</v>
      </c>
      <c r="N382" s="186" t="s">
        <v>41</v>
      </c>
      <c r="O382" s="187"/>
      <c r="P382" s="188">
        <f>O382*H382</f>
        <v>0</v>
      </c>
      <c r="Q382" s="188">
        <v>0.08425</v>
      </c>
      <c r="R382" s="188">
        <f>Q382*H382</f>
        <v>1.845075</v>
      </c>
      <c r="S382" s="188">
        <v>0</v>
      </c>
      <c r="T382" s="189">
        <f>S382*H382</f>
        <v>0</v>
      </c>
      <c r="AR382" s="81" t="s">
        <v>119</v>
      </c>
      <c r="AT382" s="81" t="s">
        <v>116</v>
      </c>
      <c r="AU382" s="81" t="s">
        <v>76</v>
      </c>
      <c r="AY382" s="81" t="s">
        <v>114</v>
      </c>
      <c r="BE382" s="190">
        <f>IF(N382="základní",J382,0)</f>
        <v>0</v>
      </c>
      <c r="BF382" s="190">
        <f>IF(N382="snížená",J382,0)</f>
        <v>0</v>
      </c>
      <c r="BG382" s="190">
        <f>IF(N382="zákl. přenesená",J382,0)</f>
        <v>0</v>
      </c>
      <c r="BH382" s="190">
        <f>IF(N382="sníž. přenesená",J382,0)</f>
        <v>0</v>
      </c>
      <c r="BI382" s="190">
        <f>IF(N382="nulová",J382,0)</f>
        <v>0</v>
      </c>
      <c r="BJ382" s="81" t="s">
        <v>73</v>
      </c>
      <c r="BK382" s="190">
        <f>ROUND(I382*H382,2)</f>
        <v>0</v>
      </c>
      <c r="BL382" s="81" t="s">
        <v>119</v>
      </c>
      <c r="BM382" s="81" t="s">
        <v>1035</v>
      </c>
    </row>
    <row r="383" spans="2:65" s="92" customFormat="1" ht="16.5" customHeight="1">
      <c r="B383" s="90"/>
      <c r="C383" s="247" t="s">
        <v>453</v>
      </c>
      <c r="D383" s="247" t="s">
        <v>319</v>
      </c>
      <c r="E383" s="248" t="s">
        <v>1036</v>
      </c>
      <c r="F383" s="253" t="s">
        <v>1037</v>
      </c>
      <c r="G383" s="262" t="s">
        <v>153</v>
      </c>
      <c r="H383" s="263">
        <v>22.995</v>
      </c>
      <c r="I383" s="76"/>
      <c r="J383" s="252">
        <f>ROUND(I383*H383,2)</f>
        <v>0</v>
      </c>
      <c r="K383" s="253" t="s">
        <v>154</v>
      </c>
      <c r="L383" s="254"/>
      <c r="M383" s="255" t="s">
        <v>1</v>
      </c>
      <c r="N383" s="256" t="s">
        <v>41</v>
      </c>
      <c r="O383" s="187"/>
      <c r="P383" s="188">
        <f>O383*H383</f>
        <v>0</v>
      </c>
      <c r="Q383" s="188">
        <v>0.123</v>
      </c>
      <c r="R383" s="188">
        <f>Q383*H383</f>
        <v>2.828385</v>
      </c>
      <c r="S383" s="188">
        <v>0</v>
      </c>
      <c r="T383" s="189">
        <f>S383*H383</f>
        <v>0</v>
      </c>
      <c r="AR383" s="81" t="s">
        <v>183</v>
      </c>
      <c r="AT383" s="81" t="s">
        <v>319</v>
      </c>
      <c r="AU383" s="81" t="s">
        <v>76</v>
      </c>
      <c r="AY383" s="81" t="s">
        <v>114</v>
      </c>
      <c r="BE383" s="190">
        <f>IF(N383="základní",J383,0)</f>
        <v>0</v>
      </c>
      <c r="BF383" s="190">
        <f>IF(N383="snížená",J383,0)</f>
        <v>0</v>
      </c>
      <c r="BG383" s="190">
        <f>IF(N383="zákl. přenesená",J383,0)</f>
        <v>0</v>
      </c>
      <c r="BH383" s="190">
        <f>IF(N383="sníž. přenesená",J383,0)</f>
        <v>0</v>
      </c>
      <c r="BI383" s="190">
        <f>IF(N383="nulová",J383,0)</f>
        <v>0</v>
      </c>
      <c r="BJ383" s="81" t="s">
        <v>73</v>
      </c>
      <c r="BK383" s="190">
        <f>ROUND(I383*H383,2)</f>
        <v>0</v>
      </c>
      <c r="BL383" s="81" t="s">
        <v>119</v>
      </c>
      <c r="BM383" s="81" t="s">
        <v>1038</v>
      </c>
    </row>
    <row r="384" spans="2:51" s="208" customFormat="1" ht="12">
      <c r="B384" s="202"/>
      <c r="D384" s="193" t="s">
        <v>121</v>
      </c>
      <c r="F384" s="260" t="s">
        <v>1039</v>
      </c>
      <c r="H384" s="261">
        <v>22.995</v>
      </c>
      <c r="I384" s="70"/>
      <c r="L384" s="202"/>
      <c r="M384" s="209"/>
      <c r="N384" s="210"/>
      <c r="O384" s="210"/>
      <c r="P384" s="210"/>
      <c r="Q384" s="210"/>
      <c r="R384" s="210"/>
      <c r="S384" s="210"/>
      <c r="T384" s="211"/>
      <c r="AT384" s="204" t="s">
        <v>121</v>
      </c>
      <c r="AU384" s="204" t="s">
        <v>76</v>
      </c>
      <c r="AV384" s="208" t="s">
        <v>76</v>
      </c>
      <c r="AW384" s="208" t="s">
        <v>3</v>
      </c>
      <c r="AX384" s="208" t="s">
        <v>73</v>
      </c>
      <c r="AY384" s="204" t="s">
        <v>114</v>
      </c>
    </row>
    <row r="385" spans="2:65" s="92" customFormat="1" ht="16.5" customHeight="1">
      <c r="B385" s="90"/>
      <c r="C385" s="178" t="s">
        <v>457</v>
      </c>
      <c r="D385" s="178" t="s">
        <v>116</v>
      </c>
      <c r="E385" s="179" t="s">
        <v>418</v>
      </c>
      <c r="F385" s="180" t="s">
        <v>419</v>
      </c>
      <c r="G385" s="181" t="s">
        <v>176</v>
      </c>
      <c r="H385" s="182">
        <f>H386</f>
        <v>524</v>
      </c>
      <c r="I385" s="69"/>
      <c r="J385" s="184">
        <f>ROUND(I385*H385,2)</f>
        <v>0</v>
      </c>
      <c r="K385" s="180" t="s">
        <v>154</v>
      </c>
      <c r="L385" s="90"/>
      <c r="M385" s="185" t="s">
        <v>1</v>
      </c>
      <c r="N385" s="186" t="s">
        <v>41</v>
      </c>
      <c r="O385" s="187"/>
      <c r="P385" s="188">
        <f>O385*H385</f>
        <v>0</v>
      </c>
      <c r="Q385" s="188">
        <v>0.00224</v>
      </c>
      <c r="R385" s="188">
        <f>Q385*H385</f>
        <v>1.17376</v>
      </c>
      <c r="S385" s="188">
        <v>0</v>
      </c>
      <c r="T385" s="189">
        <f>S385*H385</f>
        <v>0</v>
      </c>
      <c r="AR385" s="81" t="s">
        <v>119</v>
      </c>
      <c r="AT385" s="81" t="s">
        <v>116</v>
      </c>
      <c r="AU385" s="81" t="s">
        <v>76</v>
      </c>
      <c r="AY385" s="81" t="s">
        <v>114</v>
      </c>
      <c r="BE385" s="190">
        <f>IF(N385="základní",J385,0)</f>
        <v>0</v>
      </c>
      <c r="BF385" s="190">
        <f>IF(N385="snížená",J385,0)</f>
        <v>0</v>
      </c>
      <c r="BG385" s="190">
        <f>IF(N385="zákl. přenesená",J385,0)</f>
        <v>0</v>
      </c>
      <c r="BH385" s="190">
        <f>IF(N385="sníž. přenesená",J385,0)</f>
        <v>0</v>
      </c>
      <c r="BI385" s="190">
        <f>IF(N385="nulová",J385,0)</f>
        <v>0</v>
      </c>
      <c r="BJ385" s="81" t="s">
        <v>73</v>
      </c>
      <c r="BK385" s="190">
        <f>ROUND(I385*H385,2)</f>
        <v>0</v>
      </c>
      <c r="BL385" s="81" t="s">
        <v>119</v>
      </c>
      <c r="BM385" s="81" t="s">
        <v>1040</v>
      </c>
    </row>
    <row r="386" spans="2:51" s="208" customFormat="1" ht="12">
      <c r="B386" s="202"/>
      <c r="D386" s="193" t="s">
        <v>121</v>
      </c>
      <c r="E386" s="204" t="s">
        <v>1</v>
      </c>
      <c r="F386" s="260" t="s">
        <v>1540</v>
      </c>
      <c r="H386" s="261">
        <f>(557-168+6)+(2.5+26+6+12+3*2)*2+(4+2)*2*2</f>
        <v>524</v>
      </c>
      <c r="I386" s="70"/>
      <c r="L386" s="202"/>
      <c r="M386" s="209"/>
      <c r="N386" s="210"/>
      <c r="O386" s="210"/>
      <c r="P386" s="210"/>
      <c r="Q386" s="210"/>
      <c r="R386" s="210"/>
      <c r="S386" s="210"/>
      <c r="T386" s="211"/>
      <c r="AT386" s="204" t="s">
        <v>121</v>
      </c>
      <c r="AU386" s="204" t="s">
        <v>76</v>
      </c>
      <c r="AV386" s="208" t="s">
        <v>76</v>
      </c>
      <c r="AW386" s="208" t="s">
        <v>32</v>
      </c>
      <c r="AX386" s="208" t="s">
        <v>68</v>
      </c>
      <c r="AY386" s="204" t="s">
        <v>114</v>
      </c>
    </row>
    <row r="387" spans="2:63" s="166" customFormat="1" ht="22.9" customHeight="1">
      <c r="B387" s="162"/>
      <c r="D387" s="164" t="s">
        <v>67</v>
      </c>
      <c r="E387" s="175" t="s">
        <v>183</v>
      </c>
      <c r="F387" s="175" t="s">
        <v>421</v>
      </c>
      <c r="I387" s="74"/>
      <c r="J387" s="176">
        <f>SUM(J388:J493)</f>
        <v>0</v>
      </c>
      <c r="L387" s="162"/>
      <c r="M387" s="169"/>
      <c r="N387" s="170"/>
      <c r="O387" s="170"/>
      <c r="P387" s="171">
        <f>SUM(P388:P491)</f>
        <v>0</v>
      </c>
      <c r="Q387" s="170"/>
      <c r="R387" s="171">
        <f>SUM(R388:R491)</f>
        <v>18.16152521</v>
      </c>
      <c r="S387" s="170"/>
      <c r="T387" s="172">
        <f>SUM(T388:T491)</f>
        <v>0</v>
      </c>
      <c r="AR387" s="164" t="s">
        <v>73</v>
      </c>
      <c r="AT387" s="173" t="s">
        <v>67</v>
      </c>
      <c r="AU387" s="173" t="s">
        <v>73</v>
      </c>
      <c r="AY387" s="164" t="s">
        <v>114</v>
      </c>
      <c r="BK387" s="174">
        <f>SUM(BK388:BK491)</f>
        <v>0</v>
      </c>
    </row>
    <row r="388" spans="2:65" s="92" customFormat="1" ht="16.5" customHeight="1">
      <c r="B388" s="90"/>
      <c r="C388" s="178" t="s">
        <v>461</v>
      </c>
      <c r="D388" s="178" t="s">
        <v>116</v>
      </c>
      <c r="E388" s="179" t="s">
        <v>1041</v>
      </c>
      <c r="F388" s="180" t="s">
        <v>1042</v>
      </c>
      <c r="G388" s="181" t="s">
        <v>176</v>
      </c>
      <c r="H388" s="182">
        <v>61.5</v>
      </c>
      <c r="I388" s="69"/>
      <c r="J388" s="184">
        <f>ROUND(I388*H388,2)</f>
        <v>0</v>
      </c>
      <c r="K388" s="180" t="s">
        <v>154</v>
      </c>
      <c r="L388" s="90"/>
      <c r="M388" s="185" t="s">
        <v>1</v>
      </c>
      <c r="N388" s="186" t="s">
        <v>41</v>
      </c>
      <c r="O388" s="187"/>
      <c r="P388" s="188">
        <f>O388*H388</f>
        <v>0</v>
      </c>
      <c r="Q388" s="188">
        <v>0</v>
      </c>
      <c r="R388" s="188">
        <f>Q388*H388</f>
        <v>0</v>
      </c>
      <c r="S388" s="188">
        <v>0</v>
      </c>
      <c r="T388" s="189">
        <f>S388*H388</f>
        <v>0</v>
      </c>
      <c r="AR388" s="81" t="s">
        <v>119</v>
      </c>
      <c r="AT388" s="81" t="s">
        <v>116</v>
      </c>
      <c r="AU388" s="81" t="s">
        <v>76</v>
      </c>
      <c r="AY388" s="81" t="s">
        <v>114</v>
      </c>
      <c r="BE388" s="190">
        <f>IF(N388="základní",J388,0)</f>
        <v>0</v>
      </c>
      <c r="BF388" s="190">
        <f>IF(N388="snížená",J388,0)</f>
        <v>0</v>
      </c>
      <c r="BG388" s="190">
        <f>IF(N388="zákl. přenesená",J388,0)</f>
        <v>0</v>
      </c>
      <c r="BH388" s="190">
        <f>IF(N388="sníž. přenesená",J388,0)</f>
        <v>0</v>
      </c>
      <c r="BI388" s="190">
        <f>IF(N388="nulová",J388,0)</f>
        <v>0</v>
      </c>
      <c r="BJ388" s="81" t="s">
        <v>73</v>
      </c>
      <c r="BK388" s="190">
        <f>ROUND(I388*H388,2)</f>
        <v>0</v>
      </c>
      <c r="BL388" s="81" t="s">
        <v>119</v>
      </c>
      <c r="BM388" s="81" t="s">
        <v>1043</v>
      </c>
    </row>
    <row r="389" spans="2:51" s="208" customFormat="1" ht="12">
      <c r="B389" s="202"/>
      <c r="D389" s="193" t="s">
        <v>121</v>
      </c>
      <c r="E389" s="204" t="s">
        <v>1</v>
      </c>
      <c r="F389" s="260" t="s">
        <v>1506</v>
      </c>
      <c r="H389" s="261">
        <v>66.5</v>
      </c>
      <c r="I389" s="70"/>
      <c r="L389" s="202"/>
      <c r="M389" s="209"/>
      <c r="N389" s="210"/>
      <c r="O389" s="210"/>
      <c r="P389" s="210"/>
      <c r="Q389" s="210"/>
      <c r="R389" s="210"/>
      <c r="S389" s="210"/>
      <c r="T389" s="211"/>
      <c r="AT389" s="204" t="s">
        <v>121</v>
      </c>
      <c r="AU389" s="204" t="s">
        <v>76</v>
      </c>
      <c r="AV389" s="208" t="s">
        <v>76</v>
      </c>
      <c r="AW389" s="208" t="s">
        <v>32</v>
      </c>
      <c r="AX389" s="208" t="s">
        <v>68</v>
      </c>
      <c r="AY389" s="204" t="s">
        <v>114</v>
      </c>
    </row>
    <row r="390" spans="2:51" s="198" customFormat="1" ht="12">
      <c r="B390" s="191"/>
      <c r="D390" s="193" t="s">
        <v>121</v>
      </c>
      <c r="E390" s="194" t="s">
        <v>1</v>
      </c>
      <c r="F390" s="259" t="s">
        <v>1044</v>
      </c>
      <c r="H390" s="194" t="s">
        <v>1</v>
      </c>
      <c r="I390" s="71"/>
      <c r="L390" s="191"/>
      <c r="M390" s="199"/>
      <c r="N390" s="200"/>
      <c r="O390" s="200"/>
      <c r="P390" s="200"/>
      <c r="Q390" s="200"/>
      <c r="R390" s="200"/>
      <c r="S390" s="200"/>
      <c r="T390" s="201"/>
      <c r="AT390" s="194" t="s">
        <v>121</v>
      </c>
      <c r="AU390" s="194" t="s">
        <v>76</v>
      </c>
      <c r="AV390" s="198" t="s">
        <v>73</v>
      </c>
      <c r="AW390" s="198" t="s">
        <v>32</v>
      </c>
      <c r="AX390" s="198" t="s">
        <v>68</v>
      </c>
      <c r="AY390" s="194" t="s">
        <v>114</v>
      </c>
    </row>
    <row r="391" spans="2:51" s="208" customFormat="1" ht="12">
      <c r="B391" s="202"/>
      <c r="D391" s="193" t="s">
        <v>121</v>
      </c>
      <c r="E391" s="204" t="s">
        <v>1</v>
      </c>
      <c r="F391" s="260" t="s">
        <v>1045</v>
      </c>
      <c r="H391" s="261">
        <v>-5</v>
      </c>
      <c r="I391" s="70"/>
      <c r="L391" s="202"/>
      <c r="M391" s="209"/>
      <c r="N391" s="210"/>
      <c r="O391" s="210"/>
      <c r="P391" s="210"/>
      <c r="Q391" s="210"/>
      <c r="R391" s="210"/>
      <c r="S391" s="210"/>
      <c r="T391" s="211"/>
      <c r="AT391" s="204" t="s">
        <v>121</v>
      </c>
      <c r="AU391" s="204" t="s">
        <v>76</v>
      </c>
      <c r="AV391" s="208" t="s">
        <v>76</v>
      </c>
      <c r="AW391" s="208" t="s">
        <v>32</v>
      </c>
      <c r="AX391" s="208" t="s">
        <v>68</v>
      </c>
      <c r="AY391" s="204" t="s">
        <v>114</v>
      </c>
    </row>
    <row r="392" spans="2:51" s="228" customFormat="1" ht="12">
      <c r="B392" s="222"/>
      <c r="D392" s="193" t="s">
        <v>121</v>
      </c>
      <c r="E392" s="224" t="s">
        <v>1</v>
      </c>
      <c r="F392" s="266" t="s">
        <v>150</v>
      </c>
      <c r="H392" s="264">
        <v>61.5</v>
      </c>
      <c r="I392" s="72"/>
      <c r="L392" s="222"/>
      <c r="M392" s="229"/>
      <c r="N392" s="230"/>
      <c r="O392" s="230"/>
      <c r="P392" s="230"/>
      <c r="Q392" s="230"/>
      <c r="R392" s="230"/>
      <c r="S392" s="230"/>
      <c r="T392" s="231"/>
      <c r="AT392" s="224" t="s">
        <v>121</v>
      </c>
      <c r="AU392" s="224" t="s">
        <v>76</v>
      </c>
      <c r="AV392" s="228" t="s">
        <v>119</v>
      </c>
      <c r="AW392" s="228" t="s">
        <v>32</v>
      </c>
      <c r="AX392" s="228" t="s">
        <v>73</v>
      </c>
      <c r="AY392" s="224" t="s">
        <v>114</v>
      </c>
    </row>
    <row r="393" spans="2:65" s="92" customFormat="1" ht="16.5" customHeight="1">
      <c r="B393" s="90"/>
      <c r="C393" s="178" t="s">
        <v>464</v>
      </c>
      <c r="D393" s="178" t="s">
        <v>116</v>
      </c>
      <c r="E393" s="179" t="s">
        <v>1046</v>
      </c>
      <c r="F393" s="180" t="s">
        <v>1047</v>
      </c>
      <c r="G393" s="181" t="s">
        <v>176</v>
      </c>
      <c r="H393" s="182">
        <v>5</v>
      </c>
      <c r="I393" s="69"/>
      <c r="J393" s="184">
        <f>ROUND(I393*H393,2)</f>
        <v>0</v>
      </c>
      <c r="K393" s="180" t="s">
        <v>1</v>
      </c>
      <c r="L393" s="90"/>
      <c r="M393" s="185" t="s">
        <v>1</v>
      </c>
      <c r="N393" s="186" t="s">
        <v>41</v>
      </c>
      <c r="O393" s="187"/>
      <c r="P393" s="188">
        <f>O393*H393</f>
        <v>0</v>
      </c>
      <c r="Q393" s="188">
        <v>0</v>
      </c>
      <c r="R393" s="188">
        <f>Q393*H393</f>
        <v>0</v>
      </c>
      <c r="S393" s="188">
        <v>0</v>
      </c>
      <c r="T393" s="189">
        <f>S393*H393</f>
        <v>0</v>
      </c>
      <c r="AR393" s="81" t="s">
        <v>119</v>
      </c>
      <c r="AT393" s="81" t="s">
        <v>116</v>
      </c>
      <c r="AU393" s="81" t="s">
        <v>76</v>
      </c>
      <c r="AY393" s="81" t="s">
        <v>114</v>
      </c>
      <c r="BE393" s="190">
        <f>IF(N393="základní",J393,0)</f>
        <v>0</v>
      </c>
      <c r="BF393" s="190">
        <f>IF(N393="snížená",J393,0)</f>
        <v>0</v>
      </c>
      <c r="BG393" s="190">
        <f>IF(N393="zákl. přenesená",J393,0)</f>
        <v>0</v>
      </c>
      <c r="BH393" s="190">
        <f>IF(N393="sníž. přenesená",J393,0)</f>
        <v>0</v>
      </c>
      <c r="BI393" s="190">
        <f>IF(N393="nulová",J393,0)</f>
        <v>0</v>
      </c>
      <c r="BJ393" s="81" t="s">
        <v>73</v>
      </c>
      <c r="BK393" s="190">
        <f>ROUND(I393*H393,2)</f>
        <v>0</v>
      </c>
      <c r="BL393" s="81" t="s">
        <v>119</v>
      </c>
      <c r="BM393" s="81" t="s">
        <v>1048</v>
      </c>
    </row>
    <row r="394" spans="2:51" s="198" customFormat="1" ht="12">
      <c r="B394" s="191"/>
      <c r="D394" s="193" t="s">
        <v>121</v>
      </c>
      <c r="E394" s="194" t="s">
        <v>1</v>
      </c>
      <c r="F394" s="259" t="s">
        <v>1049</v>
      </c>
      <c r="H394" s="194" t="s">
        <v>1</v>
      </c>
      <c r="I394" s="71"/>
      <c r="L394" s="191"/>
      <c r="M394" s="199"/>
      <c r="N394" s="200"/>
      <c r="O394" s="200"/>
      <c r="P394" s="200"/>
      <c r="Q394" s="200"/>
      <c r="R394" s="200"/>
      <c r="S394" s="200"/>
      <c r="T394" s="201"/>
      <c r="AT394" s="194" t="s">
        <v>121</v>
      </c>
      <c r="AU394" s="194" t="s">
        <v>76</v>
      </c>
      <c r="AV394" s="198" t="s">
        <v>73</v>
      </c>
      <c r="AW394" s="198" t="s">
        <v>32</v>
      </c>
      <c r="AX394" s="198" t="s">
        <v>68</v>
      </c>
      <c r="AY394" s="194" t="s">
        <v>114</v>
      </c>
    </row>
    <row r="395" spans="2:51" s="208" customFormat="1" ht="12">
      <c r="B395" s="202"/>
      <c r="D395" s="193" t="s">
        <v>121</v>
      </c>
      <c r="E395" s="204" t="s">
        <v>1</v>
      </c>
      <c r="F395" s="260" t="s">
        <v>167</v>
      </c>
      <c r="H395" s="261">
        <v>5</v>
      </c>
      <c r="I395" s="70"/>
      <c r="L395" s="202"/>
      <c r="M395" s="209"/>
      <c r="N395" s="210"/>
      <c r="O395" s="210"/>
      <c r="P395" s="210"/>
      <c r="Q395" s="210"/>
      <c r="R395" s="210"/>
      <c r="S395" s="210"/>
      <c r="T395" s="211"/>
      <c r="AT395" s="204" t="s">
        <v>121</v>
      </c>
      <c r="AU395" s="204" t="s">
        <v>76</v>
      </c>
      <c r="AV395" s="208" t="s">
        <v>76</v>
      </c>
      <c r="AW395" s="208" t="s">
        <v>32</v>
      </c>
      <c r="AX395" s="208" t="s">
        <v>68</v>
      </c>
      <c r="AY395" s="204" t="s">
        <v>114</v>
      </c>
    </row>
    <row r="396" spans="2:51" s="228" customFormat="1" ht="12">
      <c r="B396" s="222"/>
      <c r="D396" s="193" t="s">
        <v>121</v>
      </c>
      <c r="E396" s="224" t="s">
        <v>1</v>
      </c>
      <c r="F396" s="266" t="s">
        <v>150</v>
      </c>
      <c r="H396" s="264">
        <v>5</v>
      </c>
      <c r="I396" s="72"/>
      <c r="L396" s="222"/>
      <c r="M396" s="229"/>
      <c r="N396" s="230"/>
      <c r="O396" s="230"/>
      <c r="P396" s="230"/>
      <c r="Q396" s="230"/>
      <c r="R396" s="230"/>
      <c r="S396" s="230"/>
      <c r="T396" s="231"/>
      <c r="AT396" s="224" t="s">
        <v>121</v>
      </c>
      <c r="AU396" s="224" t="s">
        <v>76</v>
      </c>
      <c r="AV396" s="228" t="s">
        <v>119</v>
      </c>
      <c r="AW396" s="228" t="s">
        <v>32</v>
      </c>
      <c r="AX396" s="228" t="s">
        <v>73</v>
      </c>
      <c r="AY396" s="224" t="s">
        <v>114</v>
      </c>
    </row>
    <row r="397" spans="2:65" s="92" customFormat="1" ht="16.5" customHeight="1">
      <c r="B397" s="90"/>
      <c r="C397" s="247" t="s">
        <v>468</v>
      </c>
      <c r="D397" s="247" t="s">
        <v>319</v>
      </c>
      <c r="E397" s="248" t="s">
        <v>1050</v>
      </c>
      <c r="F397" s="253" t="s">
        <v>1051</v>
      </c>
      <c r="G397" s="262" t="s">
        <v>176</v>
      </c>
      <c r="H397" s="263">
        <v>66.5</v>
      </c>
      <c r="I397" s="76"/>
      <c r="J397" s="252">
        <f>ROUND(I397*H397,2)</f>
        <v>0</v>
      </c>
      <c r="K397" s="253" t="s">
        <v>154</v>
      </c>
      <c r="L397" s="254"/>
      <c r="M397" s="255" t="s">
        <v>1</v>
      </c>
      <c r="N397" s="256" t="s">
        <v>41</v>
      </c>
      <c r="O397" s="187"/>
      <c r="P397" s="188">
        <f>O397*H397</f>
        <v>0</v>
      </c>
      <c r="Q397" s="188">
        <v>0.0145</v>
      </c>
      <c r="R397" s="188">
        <f>Q397*H397</f>
        <v>0.96425</v>
      </c>
      <c r="S397" s="188">
        <v>0</v>
      </c>
      <c r="T397" s="189">
        <f>S397*H397</f>
        <v>0</v>
      </c>
      <c r="AR397" s="81" t="s">
        <v>183</v>
      </c>
      <c r="AT397" s="81" t="s">
        <v>319</v>
      </c>
      <c r="AU397" s="81" t="s">
        <v>76</v>
      </c>
      <c r="AY397" s="81" t="s">
        <v>114</v>
      </c>
      <c r="BE397" s="190">
        <f>IF(N397="základní",J397,0)</f>
        <v>0</v>
      </c>
      <c r="BF397" s="190">
        <f>IF(N397="snížená",J397,0)</f>
        <v>0</v>
      </c>
      <c r="BG397" s="190">
        <f>IF(N397="zákl. přenesená",J397,0)</f>
        <v>0</v>
      </c>
      <c r="BH397" s="190">
        <f>IF(N397="sníž. přenesená",J397,0)</f>
        <v>0</v>
      </c>
      <c r="BI397" s="190">
        <f>IF(N397="nulová",J397,0)</f>
        <v>0</v>
      </c>
      <c r="BJ397" s="81" t="s">
        <v>73</v>
      </c>
      <c r="BK397" s="190">
        <f>ROUND(I397*H397,2)</f>
        <v>0</v>
      </c>
      <c r="BL397" s="81" t="s">
        <v>119</v>
      </c>
      <c r="BM397" s="81" t="s">
        <v>1052</v>
      </c>
    </row>
    <row r="398" spans="2:65" s="92" customFormat="1" ht="16.5" customHeight="1">
      <c r="B398" s="90"/>
      <c r="C398" s="178" t="s">
        <v>472</v>
      </c>
      <c r="D398" s="178" t="s">
        <v>116</v>
      </c>
      <c r="E398" s="179" t="s">
        <v>423</v>
      </c>
      <c r="F398" s="180" t="s">
        <v>424</v>
      </c>
      <c r="G398" s="181" t="s">
        <v>176</v>
      </c>
      <c r="H398" s="182">
        <f>H402</f>
        <v>420</v>
      </c>
      <c r="I398" s="69"/>
      <c r="J398" s="184">
        <f>ROUND(I398*H398,2)</f>
        <v>0</v>
      </c>
      <c r="K398" s="180" t="s">
        <v>154</v>
      </c>
      <c r="L398" s="90"/>
      <c r="M398" s="185" t="s">
        <v>1</v>
      </c>
      <c r="N398" s="186" t="s">
        <v>41</v>
      </c>
      <c r="O398" s="187"/>
      <c r="P398" s="188">
        <f>O398*H398</f>
        <v>0</v>
      </c>
      <c r="Q398" s="188">
        <v>0</v>
      </c>
      <c r="R398" s="188">
        <f>Q398*H398</f>
        <v>0</v>
      </c>
      <c r="S398" s="188">
        <v>0</v>
      </c>
      <c r="T398" s="189">
        <f>S398*H398</f>
        <v>0</v>
      </c>
      <c r="AR398" s="81" t="s">
        <v>119</v>
      </c>
      <c r="AT398" s="81" t="s">
        <v>116</v>
      </c>
      <c r="AU398" s="81" t="s">
        <v>76</v>
      </c>
      <c r="AY398" s="81" t="s">
        <v>114</v>
      </c>
      <c r="BE398" s="190">
        <f>IF(N398="základní",J398,0)</f>
        <v>0</v>
      </c>
      <c r="BF398" s="190">
        <f>IF(N398="snížená",J398,0)</f>
        <v>0</v>
      </c>
      <c r="BG398" s="190">
        <f>IF(N398="zákl. přenesená",J398,0)</f>
        <v>0</v>
      </c>
      <c r="BH398" s="190">
        <f>IF(N398="sníž. přenesená",J398,0)</f>
        <v>0</v>
      </c>
      <c r="BI398" s="190">
        <f>IF(N398="nulová",J398,0)</f>
        <v>0</v>
      </c>
      <c r="BJ398" s="81" t="s">
        <v>73</v>
      </c>
      <c r="BK398" s="190">
        <f>ROUND(I398*H398,2)</f>
        <v>0</v>
      </c>
      <c r="BL398" s="81" t="s">
        <v>119</v>
      </c>
      <c r="BM398" s="81" t="s">
        <v>1053</v>
      </c>
    </row>
    <row r="399" spans="2:51" s="208" customFormat="1" ht="12">
      <c r="B399" s="202"/>
      <c r="D399" s="193" t="s">
        <v>121</v>
      </c>
      <c r="E399" s="204" t="s">
        <v>1</v>
      </c>
      <c r="F399" s="260" t="s">
        <v>1497</v>
      </c>
      <c r="H399" s="261">
        <f>609-168</f>
        <v>441</v>
      </c>
      <c r="I399" s="70"/>
      <c r="L399" s="202"/>
      <c r="M399" s="209"/>
      <c r="N399" s="210"/>
      <c r="O399" s="210"/>
      <c r="P399" s="210"/>
      <c r="Q399" s="210"/>
      <c r="R399" s="210"/>
      <c r="S399" s="210"/>
      <c r="T399" s="211"/>
      <c r="AT399" s="204" t="s">
        <v>121</v>
      </c>
      <c r="AU399" s="204" t="s">
        <v>76</v>
      </c>
      <c r="AV399" s="208" t="s">
        <v>76</v>
      </c>
      <c r="AW399" s="208" t="s">
        <v>32</v>
      </c>
      <c r="AX399" s="208" t="s">
        <v>68</v>
      </c>
      <c r="AY399" s="204" t="s">
        <v>114</v>
      </c>
    </row>
    <row r="400" spans="2:51" s="198" customFormat="1" ht="12">
      <c r="B400" s="191"/>
      <c r="D400" s="193" t="s">
        <v>121</v>
      </c>
      <c r="E400" s="194" t="s">
        <v>1</v>
      </c>
      <c r="F400" s="259" t="s">
        <v>1044</v>
      </c>
      <c r="H400" s="194" t="s">
        <v>1</v>
      </c>
      <c r="I400" s="71"/>
      <c r="L400" s="191"/>
      <c r="M400" s="199"/>
      <c r="N400" s="200"/>
      <c r="O400" s="200"/>
      <c r="P400" s="200"/>
      <c r="Q400" s="200"/>
      <c r="R400" s="200"/>
      <c r="S400" s="200"/>
      <c r="T400" s="201"/>
      <c r="AT400" s="194" t="s">
        <v>121</v>
      </c>
      <c r="AU400" s="194" t="s">
        <v>76</v>
      </c>
      <c r="AV400" s="198" t="s">
        <v>73</v>
      </c>
      <c r="AW400" s="198" t="s">
        <v>32</v>
      </c>
      <c r="AX400" s="198" t="s">
        <v>68</v>
      </c>
      <c r="AY400" s="194" t="s">
        <v>114</v>
      </c>
    </row>
    <row r="401" spans="2:51" s="208" customFormat="1" ht="12">
      <c r="B401" s="202"/>
      <c r="D401" s="193" t="s">
        <v>121</v>
      </c>
      <c r="E401" s="204" t="s">
        <v>1</v>
      </c>
      <c r="F401" s="260" t="s">
        <v>1054</v>
      </c>
      <c r="H401" s="261">
        <v>-21</v>
      </c>
      <c r="I401" s="70"/>
      <c r="L401" s="202"/>
      <c r="M401" s="209"/>
      <c r="N401" s="210"/>
      <c r="O401" s="210"/>
      <c r="P401" s="210"/>
      <c r="Q401" s="210"/>
      <c r="R401" s="210"/>
      <c r="S401" s="210"/>
      <c r="T401" s="211"/>
      <c r="AT401" s="204" t="s">
        <v>121</v>
      </c>
      <c r="AU401" s="204" t="s">
        <v>76</v>
      </c>
      <c r="AV401" s="208" t="s">
        <v>76</v>
      </c>
      <c r="AW401" s="208" t="s">
        <v>32</v>
      </c>
      <c r="AX401" s="208" t="s">
        <v>68</v>
      </c>
      <c r="AY401" s="204" t="s">
        <v>114</v>
      </c>
    </row>
    <row r="402" spans="2:51" s="228" customFormat="1" ht="12">
      <c r="B402" s="222"/>
      <c r="D402" s="193" t="s">
        <v>121</v>
      </c>
      <c r="E402" s="224" t="s">
        <v>1</v>
      </c>
      <c r="F402" s="266" t="s">
        <v>150</v>
      </c>
      <c r="H402" s="264">
        <f>H399+H401</f>
        <v>420</v>
      </c>
      <c r="I402" s="72"/>
      <c r="L402" s="222"/>
      <c r="M402" s="229"/>
      <c r="N402" s="230"/>
      <c r="O402" s="230"/>
      <c r="P402" s="230"/>
      <c r="Q402" s="230"/>
      <c r="R402" s="230"/>
      <c r="S402" s="230"/>
      <c r="T402" s="231"/>
      <c r="AT402" s="224" t="s">
        <v>121</v>
      </c>
      <c r="AU402" s="224" t="s">
        <v>76</v>
      </c>
      <c r="AV402" s="228" t="s">
        <v>119</v>
      </c>
      <c r="AW402" s="228" t="s">
        <v>32</v>
      </c>
      <c r="AX402" s="228" t="s">
        <v>73</v>
      </c>
      <c r="AY402" s="224" t="s">
        <v>114</v>
      </c>
    </row>
    <row r="403" spans="2:65" s="92" customFormat="1" ht="16.5" customHeight="1">
      <c r="B403" s="90"/>
      <c r="C403" s="178" t="s">
        <v>476</v>
      </c>
      <c r="D403" s="178" t="s">
        <v>116</v>
      </c>
      <c r="E403" s="179" t="s">
        <v>1055</v>
      </c>
      <c r="F403" s="180" t="s">
        <v>1056</v>
      </c>
      <c r="G403" s="181" t="s">
        <v>176</v>
      </c>
      <c r="H403" s="182">
        <v>21</v>
      </c>
      <c r="I403" s="69"/>
      <c r="J403" s="184">
        <f>ROUND(I403*H403,2)</f>
        <v>0</v>
      </c>
      <c r="K403" s="180" t="s">
        <v>1</v>
      </c>
      <c r="L403" s="90"/>
      <c r="M403" s="185" t="s">
        <v>1</v>
      </c>
      <c r="N403" s="186" t="s">
        <v>41</v>
      </c>
      <c r="O403" s="187"/>
      <c r="P403" s="188">
        <f>O403*H403</f>
        <v>0</v>
      </c>
      <c r="Q403" s="188">
        <v>0</v>
      </c>
      <c r="R403" s="188">
        <f>Q403*H403</f>
        <v>0</v>
      </c>
      <c r="S403" s="188">
        <v>0</v>
      </c>
      <c r="T403" s="189">
        <f>S403*H403</f>
        <v>0</v>
      </c>
      <c r="AR403" s="81" t="s">
        <v>119</v>
      </c>
      <c r="AT403" s="81" t="s">
        <v>116</v>
      </c>
      <c r="AU403" s="81" t="s">
        <v>76</v>
      </c>
      <c r="AY403" s="81" t="s">
        <v>114</v>
      </c>
      <c r="BE403" s="190">
        <f>IF(N403="základní",J403,0)</f>
        <v>0</v>
      </c>
      <c r="BF403" s="190">
        <f>IF(N403="snížená",J403,0)</f>
        <v>0</v>
      </c>
      <c r="BG403" s="190">
        <f>IF(N403="zákl. přenesená",J403,0)</f>
        <v>0</v>
      </c>
      <c r="BH403" s="190">
        <f>IF(N403="sníž. přenesená",J403,0)</f>
        <v>0</v>
      </c>
      <c r="BI403" s="190">
        <f>IF(N403="nulová",J403,0)</f>
        <v>0</v>
      </c>
      <c r="BJ403" s="81" t="s">
        <v>73</v>
      </c>
      <c r="BK403" s="190">
        <f>ROUND(I403*H403,2)</f>
        <v>0</v>
      </c>
      <c r="BL403" s="81" t="s">
        <v>119</v>
      </c>
      <c r="BM403" s="81" t="s">
        <v>1057</v>
      </c>
    </row>
    <row r="404" spans="2:51" s="198" customFormat="1" ht="12">
      <c r="B404" s="191"/>
      <c r="D404" s="193" t="s">
        <v>121</v>
      </c>
      <c r="E404" s="194" t="s">
        <v>1</v>
      </c>
      <c r="F404" s="259" t="s">
        <v>1049</v>
      </c>
      <c r="H404" s="194" t="s">
        <v>1</v>
      </c>
      <c r="I404" s="71"/>
      <c r="L404" s="191"/>
      <c r="M404" s="199"/>
      <c r="N404" s="200"/>
      <c r="O404" s="200"/>
      <c r="P404" s="200"/>
      <c r="Q404" s="200"/>
      <c r="R404" s="200"/>
      <c r="S404" s="200"/>
      <c r="T404" s="201"/>
      <c r="AT404" s="194" t="s">
        <v>121</v>
      </c>
      <c r="AU404" s="194" t="s">
        <v>76</v>
      </c>
      <c r="AV404" s="198" t="s">
        <v>73</v>
      </c>
      <c r="AW404" s="198" t="s">
        <v>32</v>
      </c>
      <c r="AX404" s="198" t="s">
        <v>68</v>
      </c>
      <c r="AY404" s="194" t="s">
        <v>114</v>
      </c>
    </row>
    <row r="405" spans="2:51" s="208" customFormat="1" ht="12">
      <c r="B405" s="202"/>
      <c r="D405" s="193" t="s">
        <v>121</v>
      </c>
      <c r="E405" s="204" t="s">
        <v>1</v>
      </c>
      <c r="F405" s="260" t="s">
        <v>1058</v>
      </c>
      <c r="H405" s="261">
        <v>21</v>
      </c>
      <c r="I405" s="70"/>
      <c r="L405" s="202"/>
      <c r="M405" s="209"/>
      <c r="N405" s="210"/>
      <c r="O405" s="210"/>
      <c r="P405" s="210"/>
      <c r="Q405" s="210"/>
      <c r="R405" s="210"/>
      <c r="S405" s="210"/>
      <c r="T405" s="211"/>
      <c r="AT405" s="204" t="s">
        <v>121</v>
      </c>
      <c r="AU405" s="204" t="s">
        <v>76</v>
      </c>
      <c r="AV405" s="208" t="s">
        <v>76</v>
      </c>
      <c r="AW405" s="208" t="s">
        <v>32</v>
      </c>
      <c r="AX405" s="208" t="s">
        <v>68</v>
      </c>
      <c r="AY405" s="204" t="s">
        <v>114</v>
      </c>
    </row>
    <row r="406" spans="2:51" s="228" customFormat="1" ht="12">
      <c r="B406" s="222"/>
      <c r="D406" s="193" t="s">
        <v>121</v>
      </c>
      <c r="E406" s="224" t="s">
        <v>1</v>
      </c>
      <c r="F406" s="266" t="s">
        <v>150</v>
      </c>
      <c r="H406" s="264">
        <v>21</v>
      </c>
      <c r="I406" s="72"/>
      <c r="L406" s="222"/>
      <c r="M406" s="229"/>
      <c r="N406" s="230"/>
      <c r="O406" s="230"/>
      <c r="P406" s="230"/>
      <c r="Q406" s="230"/>
      <c r="R406" s="230"/>
      <c r="S406" s="230"/>
      <c r="T406" s="231"/>
      <c r="AT406" s="224" t="s">
        <v>121</v>
      </c>
      <c r="AU406" s="224" t="s">
        <v>76</v>
      </c>
      <c r="AV406" s="228" t="s">
        <v>119</v>
      </c>
      <c r="AW406" s="228" t="s">
        <v>32</v>
      </c>
      <c r="AX406" s="228" t="s">
        <v>73</v>
      </c>
      <c r="AY406" s="224" t="s">
        <v>114</v>
      </c>
    </row>
    <row r="407" spans="2:65" s="92" customFormat="1" ht="16.5" customHeight="1">
      <c r="B407" s="90"/>
      <c r="C407" s="247" t="s">
        <v>480</v>
      </c>
      <c r="D407" s="247" t="s">
        <v>319</v>
      </c>
      <c r="E407" s="248" t="s">
        <v>427</v>
      </c>
      <c r="F407" s="253" t="s">
        <v>428</v>
      </c>
      <c r="G407" s="262" t="s">
        <v>176</v>
      </c>
      <c r="H407" s="263">
        <v>441</v>
      </c>
      <c r="I407" s="76"/>
      <c r="J407" s="252">
        <f>ROUND(I407*H407,2)</f>
        <v>0</v>
      </c>
      <c r="K407" s="253" t="s">
        <v>154</v>
      </c>
      <c r="L407" s="254"/>
      <c r="M407" s="255" t="s">
        <v>1</v>
      </c>
      <c r="N407" s="256" t="s">
        <v>41</v>
      </c>
      <c r="O407" s="187"/>
      <c r="P407" s="188">
        <f>O407*H407</f>
        <v>0</v>
      </c>
      <c r="Q407" s="188">
        <v>0.0177</v>
      </c>
      <c r="R407" s="188">
        <f>Q407*H407</f>
        <v>7.8057</v>
      </c>
      <c r="S407" s="188">
        <v>0</v>
      </c>
      <c r="T407" s="189">
        <f>S407*H407</f>
        <v>0</v>
      </c>
      <c r="AR407" s="81" t="s">
        <v>183</v>
      </c>
      <c r="AT407" s="81" t="s">
        <v>319</v>
      </c>
      <c r="AU407" s="81" t="s">
        <v>76</v>
      </c>
      <c r="AY407" s="81" t="s">
        <v>114</v>
      </c>
      <c r="BE407" s="190">
        <f>IF(N407="základní",J407,0)</f>
        <v>0</v>
      </c>
      <c r="BF407" s="190">
        <f>IF(N407="snížená",J407,0)</f>
        <v>0</v>
      </c>
      <c r="BG407" s="190">
        <f>IF(N407="zákl. přenesená",J407,0)</f>
        <v>0</v>
      </c>
      <c r="BH407" s="190">
        <f>IF(N407="sníž. přenesená",J407,0)</f>
        <v>0</v>
      </c>
      <c r="BI407" s="190">
        <f>IF(N407="nulová",J407,0)</f>
        <v>0</v>
      </c>
      <c r="BJ407" s="81" t="s">
        <v>73</v>
      </c>
      <c r="BK407" s="190">
        <f>ROUND(I407*H407,2)</f>
        <v>0</v>
      </c>
      <c r="BL407" s="81" t="s">
        <v>119</v>
      </c>
      <c r="BM407" s="81" t="s">
        <v>1059</v>
      </c>
    </row>
    <row r="408" spans="2:65" s="92" customFormat="1" ht="16.5" customHeight="1">
      <c r="B408" s="90"/>
      <c r="C408" s="178" t="s">
        <v>508</v>
      </c>
      <c r="D408" s="178" t="s">
        <v>116</v>
      </c>
      <c r="E408" s="179" t="s">
        <v>1083</v>
      </c>
      <c r="F408" s="180" t="s">
        <v>1084</v>
      </c>
      <c r="G408" s="181" t="s">
        <v>358</v>
      </c>
      <c r="H408" s="182">
        <v>7</v>
      </c>
      <c r="I408" s="69"/>
      <c r="J408" s="184">
        <f>ROUND(I408*H408,2)</f>
        <v>0</v>
      </c>
      <c r="K408" s="180" t="s">
        <v>154</v>
      </c>
      <c r="L408" s="90"/>
      <c r="M408" s="185" t="s">
        <v>1</v>
      </c>
      <c r="N408" s="186" t="s">
        <v>41</v>
      </c>
      <c r="O408" s="187"/>
      <c r="P408" s="188">
        <f>O408*H408</f>
        <v>0</v>
      </c>
      <c r="Q408" s="188">
        <v>0</v>
      </c>
      <c r="R408" s="188">
        <f>Q408*H408</f>
        <v>0</v>
      </c>
      <c r="S408" s="188">
        <v>0</v>
      </c>
      <c r="T408" s="189">
        <f>S408*H408</f>
        <v>0</v>
      </c>
      <c r="AR408" s="81" t="s">
        <v>119</v>
      </c>
      <c r="AT408" s="81" t="s">
        <v>116</v>
      </c>
      <c r="AU408" s="81" t="s">
        <v>76</v>
      </c>
      <c r="AY408" s="81" t="s">
        <v>114</v>
      </c>
      <c r="BE408" s="190">
        <f>IF(N408="základní",J408,0)</f>
        <v>0</v>
      </c>
      <c r="BF408" s="190">
        <f>IF(N408="snížená",J408,0)</f>
        <v>0</v>
      </c>
      <c r="BG408" s="190">
        <f>IF(N408="zákl. přenesená",J408,0)</f>
        <v>0</v>
      </c>
      <c r="BH408" s="190">
        <f>IF(N408="sníž. přenesená",J408,0)</f>
        <v>0</v>
      </c>
      <c r="BI408" s="190">
        <f>IF(N408="nulová",J408,0)</f>
        <v>0</v>
      </c>
      <c r="BJ408" s="81" t="s">
        <v>73</v>
      </c>
      <c r="BK408" s="190">
        <f>ROUND(I408*H408,2)</f>
        <v>0</v>
      </c>
      <c r="BL408" s="81" t="s">
        <v>119</v>
      </c>
      <c r="BM408" s="81" t="s">
        <v>1085</v>
      </c>
    </row>
    <row r="409" spans="2:51" s="208" customFormat="1" ht="12">
      <c r="B409" s="202"/>
      <c r="D409" s="193" t="s">
        <v>121</v>
      </c>
      <c r="E409" s="204" t="s">
        <v>1</v>
      </c>
      <c r="F409" s="260" t="s">
        <v>1086</v>
      </c>
      <c r="H409" s="261">
        <v>7</v>
      </c>
      <c r="I409" s="70"/>
      <c r="L409" s="202"/>
      <c r="M409" s="209"/>
      <c r="N409" s="210"/>
      <c r="O409" s="210"/>
      <c r="P409" s="210"/>
      <c r="Q409" s="210"/>
      <c r="R409" s="210"/>
      <c r="S409" s="210"/>
      <c r="T409" s="211"/>
      <c r="AT409" s="204" t="s">
        <v>121</v>
      </c>
      <c r="AU409" s="204" t="s">
        <v>76</v>
      </c>
      <c r="AV409" s="208" t="s">
        <v>76</v>
      </c>
      <c r="AW409" s="208" t="s">
        <v>32</v>
      </c>
      <c r="AX409" s="208" t="s">
        <v>68</v>
      </c>
      <c r="AY409" s="204" t="s">
        <v>114</v>
      </c>
    </row>
    <row r="410" spans="2:51" s="228" customFormat="1" ht="12">
      <c r="B410" s="222"/>
      <c r="D410" s="193" t="s">
        <v>121</v>
      </c>
      <c r="E410" s="224" t="s">
        <v>1</v>
      </c>
      <c r="F410" s="266" t="s">
        <v>150</v>
      </c>
      <c r="H410" s="264">
        <v>7</v>
      </c>
      <c r="I410" s="72"/>
      <c r="L410" s="222"/>
      <c r="M410" s="229"/>
      <c r="N410" s="230"/>
      <c r="O410" s="230"/>
      <c r="P410" s="230"/>
      <c r="Q410" s="230"/>
      <c r="R410" s="230"/>
      <c r="S410" s="230"/>
      <c r="T410" s="231"/>
      <c r="AT410" s="224" t="s">
        <v>121</v>
      </c>
      <c r="AU410" s="224" t="s">
        <v>76</v>
      </c>
      <c r="AV410" s="228" t="s">
        <v>119</v>
      </c>
      <c r="AW410" s="228" t="s">
        <v>32</v>
      </c>
      <c r="AX410" s="228" t="s">
        <v>73</v>
      </c>
      <c r="AY410" s="224" t="s">
        <v>114</v>
      </c>
    </row>
    <row r="411" spans="2:65" s="92" customFormat="1" ht="16.5" customHeight="1">
      <c r="B411" s="90"/>
      <c r="C411" s="247" t="s">
        <v>512</v>
      </c>
      <c r="D411" s="247" t="s">
        <v>319</v>
      </c>
      <c r="E411" s="248" t="s">
        <v>1087</v>
      </c>
      <c r="F411" s="253" t="s">
        <v>1088</v>
      </c>
      <c r="G411" s="262" t="s">
        <v>358</v>
      </c>
      <c r="H411" s="263">
        <v>1</v>
      </c>
      <c r="I411" s="76"/>
      <c r="J411" s="252">
        <f>ROUND(I411*H411,2)</f>
        <v>0</v>
      </c>
      <c r="K411" s="253" t="s">
        <v>154</v>
      </c>
      <c r="L411" s="254"/>
      <c r="M411" s="255" t="s">
        <v>1</v>
      </c>
      <c r="N411" s="256" t="s">
        <v>41</v>
      </c>
      <c r="O411" s="187"/>
      <c r="P411" s="188">
        <f>O411*H411</f>
        <v>0</v>
      </c>
      <c r="Q411" s="188">
        <v>0.007</v>
      </c>
      <c r="R411" s="188">
        <f>Q411*H411</f>
        <v>0.007</v>
      </c>
      <c r="S411" s="188">
        <v>0</v>
      </c>
      <c r="T411" s="189">
        <f>S411*H411</f>
        <v>0</v>
      </c>
      <c r="AR411" s="81" t="s">
        <v>183</v>
      </c>
      <c r="AT411" s="81" t="s">
        <v>319</v>
      </c>
      <c r="AU411" s="81" t="s">
        <v>76</v>
      </c>
      <c r="AY411" s="81" t="s">
        <v>114</v>
      </c>
      <c r="BE411" s="190">
        <f>IF(N411="základní",J411,0)</f>
        <v>0</v>
      </c>
      <c r="BF411" s="190">
        <f>IF(N411="snížená",J411,0)</f>
        <v>0</v>
      </c>
      <c r="BG411" s="190">
        <f>IF(N411="zákl. přenesená",J411,0)</f>
        <v>0</v>
      </c>
      <c r="BH411" s="190">
        <f>IF(N411="sníž. přenesená",J411,0)</f>
        <v>0</v>
      </c>
      <c r="BI411" s="190">
        <f>IF(N411="nulová",J411,0)</f>
        <v>0</v>
      </c>
      <c r="BJ411" s="81" t="s">
        <v>73</v>
      </c>
      <c r="BK411" s="190">
        <f>ROUND(I411*H411,2)</f>
        <v>0</v>
      </c>
      <c r="BL411" s="81" t="s">
        <v>119</v>
      </c>
      <c r="BM411" s="81" t="s">
        <v>1089</v>
      </c>
    </row>
    <row r="412" spans="2:65" s="92" customFormat="1" ht="16.5" customHeight="1">
      <c r="B412" s="90"/>
      <c r="C412" s="247" t="s">
        <v>516</v>
      </c>
      <c r="D412" s="247" t="s">
        <v>319</v>
      </c>
      <c r="E412" s="248" t="s">
        <v>1090</v>
      </c>
      <c r="F412" s="253" t="s">
        <v>1091</v>
      </c>
      <c r="G412" s="262" t="s">
        <v>358</v>
      </c>
      <c r="H412" s="263">
        <v>1</v>
      </c>
      <c r="I412" s="76"/>
      <c r="J412" s="252">
        <f>ROUND(I412*H412,2)</f>
        <v>0</v>
      </c>
      <c r="K412" s="253" t="s">
        <v>154</v>
      </c>
      <c r="L412" s="254"/>
      <c r="M412" s="255" t="s">
        <v>1</v>
      </c>
      <c r="N412" s="256" t="s">
        <v>41</v>
      </c>
      <c r="O412" s="187"/>
      <c r="P412" s="188">
        <f>O412*H412</f>
        <v>0</v>
      </c>
      <c r="Q412" s="188">
        <v>0.0065</v>
      </c>
      <c r="R412" s="188">
        <f>Q412*H412</f>
        <v>0.0065</v>
      </c>
      <c r="S412" s="188">
        <v>0</v>
      </c>
      <c r="T412" s="189">
        <f>S412*H412</f>
        <v>0</v>
      </c>
      <c r="AR412" s="81" t="s">
        <v>183</v>
      </c>
      <c r="AT412" s="81" t="s">
        <v>319</v>
      </c>
      <c r="AU412" s="81" t="s">
        <v>76</v>
      </c>
      <c r="AY412" s="81" t="s">
        <v>114</v>
      </c>
      <c r="BE412" s="190">
        <f>IF(N412="základní",J412,0)</f>
        <v>0</v>
      </c>
      <c r="BF412" s="190">
        <f>IF(N412="snížená",J412,0)</f>
        <v>0</v>
      </c>
      <c r="BG412" s="190">
        <f>IF(N412="zákl. přenesená",J412,0)</f>
        <v>0</v>
      </c>
      <c r="BH412" s="190">
        <f>IF(N412="sníž. přenesená",J412,0)</f>
        <v>0</v>
      </c>
      <c r="BI412" s="190">
        <f>IF(N412="nulová",J412,0)</f>
        <v>0</v>
      </c>
      <c r="BJ412" s="81" t="s">
        <v>73</v>
      </c>
      <c r="BK412" s="190">
        <f>ROUND(I412*H412,2)</f>
        <v>0</v>
      </c>
      <c r="BL412" s="81" t="s">
        <v>119</v>
      </c>
      <c r="BM412" s="81" t="s">
        <v>1092</v>
      </c>
    </row>
    <row r="413" spans="2:65" s="92" customFormat="1" ht="16.5" customHeight="1">
      <c r="B413" s="90"/>
      <c r="C413" s="247" t="s">
        <v>520</v>
      </c>
      <c r="D413" s="247" t="s">
        <v>319</v>
      </c>
      <c r="E413" s="248" t="s">
        <v>1093</v>
      </c>
      <c r="F413" s="253" t="s">
        <v>1094</v>
      </c>
      <c r="G413" s="262" t="s">
        <v>358</v>
      </c>
      <c r="H413" s="263">
        <v>4</v>
      </c>
      <c r="I413" s="76"/>
      <c r="J413" s="252">
        <f>ROUND(I413*H413,2)</f>
        <v>0</v>
      </c>
      <c r="K413" s="253" t="s">
        <v>154</v>
      </c>
      <c r="L413" s="254"/>
      <c r="M413" s="255" t="s">
        <v>1</v>
      </c>
      <c r="N413" s="256" t="s">
        <v>41</v>
      </c>
      <c r="O413" s="187"/>
      <c r="P413" s="188">
        <f>O413*H413</f>
        <v>0</v>
      </c>
      <c r="Q413" s="188">
        <v>0.0068</v>
      </c>
      <c r="R413" s="188">
        <f>Q413*H413</f>
        <v>0.0272</v>
      </c>
      <c r="S413" s="188">
        <v>0</v>
      </c>
      <c r="T413" s="189">
        <f>S413*H413</f>
        <v>0</v>
      </c>
      <c r="AR413" s="81" t="s">
        <v>183</v>
      </c>
      <c r="AT413" s="81" t="s">
        <v>319</v>
      </c>
      <c r="AU413" s="81" t="s">
        <v>76</v>
      </c>
      <c r="AY413" s="81" t="s">
        <v>114</v>
      </c>
      <c r="BE413" s="190">
        <f>IF(N413="základní",J413,0)</f>
        <v>0</v>
      </c>
      <c r="BF413" s="190">
        <f>IF(N413="snížená",J413,0)</f>
        <v>0</v>
      </c>
      <c r="BG413" s="190">
        <f>IF(N413="zákl. přenesená",J413,0)</f>
        <v>0</v>
      </c>
      <c r="BH413" s="190">
        <f>IF(N413="sníž. přenesená",J413,0)</f>
        <v>0</v>
      </c>
      <c r="BI413" s="190">
        <f>IF(N413="nulová",J413,0)</f>
        <v>0</v>
      </c>
      <c r="BJ413" s="81" t="s">
        <v>73</v>
      </c>
      <c r="BK413" s="190">
        <f>ROUND(I413*H413,2)</f>
        <v>0</v>
      </c>
      <c r="BL413" s="81" t="s">
        <v>119</v>
      </c>
      <c r="BM413" s="81" t="s">
        <v>1095</v>
      </c>
    </row>
    <row r="414" spans="2:65" s="92" customFormat="1" ht="16.5" customHeight="1">
      <c r="B414" s="90"/>
      <c r="C414" s="247" t="s">
        <v>524</v>
      </c>
      <c r="D414" s="247" t="s">
        <v>319</v>
      </c>
      <c r="E414" s="248" t="s">
        <v>1096</v>
      </c>
      <c r="F414" s="253" t="s">
        <v>1097</v>
      </c>
      <c r="G414" s="262" t="s">
        <v>358</v>
      </c>
      <c r="H414" s="263">
        <v>1</v>
      </c>
      <c r="I414" s="76"/>
      <c r="J414" s="252">
        <f>ROUND(I414*H414,2)</f>
        <v>0</v>
      </c>
      <c r="K414" s="253" t="s">
        <v>154</v>
      </c>
      <c r="L414" s="254"/>
      <c r="M414" s="255" t="s">
        <v>1</v>
      </c>
      <c r="N414" s="256" t="s">
        <v>41</v>
      </c>
      <c r="O414" s="187"/>
      <c r="P414" s="188">
        <f>O414*H414</f>
        <v>0</v>
      </c>
      <c r="Q414" s="188">
        <v>0.0065</v>
      </c>
      <c r="R414" s="188">
        <f>Q414*H414</f>
        <v>0.0065</v>
      </c>
      <c r="S414" s="188">
        <v>0</v>
      </c>
      <c r="T414" s="189">
        <f>S414*H414</f>
        <v>0</v>
      </c>
      <c r="AR414" s="81" t="s">
        <v>183</v>
      </c>
      <c r="AT414" s="81" t="s">
        <v>319</v>
      </c>
      <c r="AU414" s="81" t="s">
        <v>76</v>
      </c>
      <c r="AY414" s="81" t="s">
        <v>114</v>
      </c>
      <c r="BE414" s="190">
        <f>IF(N414="základní",J414,0)</f>
        <v>0</v>
      </c>
      <c r="BF414" s="190">
        <f>IF(N414="snížená",J414,0)</f>
        <v>0</v>
      </c>
      <c r="BG414" s="190">
        <f>IF(N414="zákl. přenesená",J414,0)</f>
        <v>0</v>
      </c>
      <c r="BH414" s="190">
        <f>IF(N414="sníž. přenesená",J414,0)</f>
        <v>0</v>
      </c>
      <c r="BI414" s="190">
        <f>IF(N414="nulová",J414,0)</f>
        <v>0</v>
      </c>
      <c r="BJ414" s="81" t="s">
        <v>73</v>
      </c>
      <c r="BK414" s="190">
        <f>ROUND(I414*H414,2)</f>
        <v>0</v>
      </c>
      <c r="BL414" s="81" t="s">
        <v>119</v>
      </c>
      <c r="BM414" s="81" t="s">
        <v>1098</v>
      </c>
    </row>
    <row r="415" spans="2:65" s="92" customFormat="1" ht="16.5" customHeight="1">
      <c r="B415" s="90"/>
      <c r="C415" s="178" t="s">
        <v>528</v>
      </c>
      <c r="D415" s="178" t="s">
        <v>116</v>
      </c>
      <c r="E415" s="179" t="s">
        <v>430</v>
      </c>
      <c r="F415" s="180" t="s">
        <v>431</v>
      </c>
      <c r="G415" s="181" t="s">
        <v>358</v>
      </c>
      <c r="H415" s="182">
        <f>H417</f>
        <v>10</v>
      </c>
      <c r="I415" s="69"/>
      <c r="J415" s="184">
        <f>ROUND(I415*H415,2)</f>
        <v>0</v>
      </c>
      <c r="K415" s="180" t="s">
        <v>154</v>
      </c>
      <c r="L415" s="90"/>
      <c r="M415" s="185" t="s">
        <v>1</v>
      </c>
      <c r="N415" s="186" t="s">
        <v>41</v>
      </c>
      <c r="O415" s="187"/>
      <c r="P415" s="188">
        <f>O415*H415</f>
        <v>0</v>
      </c>
      <c r="Q415" s="188">
        <v>0.00167</v>
      </c>
      <c r="R415" s="188">
        <f>Q415*H415</f>
        <v>0.0167</v>
      </c>
      <c r="S415" s="188">
        <v>0</v>
      </c>
      <c r="T415" s="189">
        <f>S415*H415</f>
        <v>0</v>
      </c>
      <c r="AR415" s="81" t="s">
        <v>119</v>
      </c>
      <c r="AT415" s="81" t="s">
        <v>116</v>
      </c>
      <c r="AU415" s="81" t="s">
        <v>76</v>
      </c>
      <c r="AY415" s="81" t="s">
        <v>114</v>
      </c>
      <c r="BE415" s="190">
        <f>IF(N415="základní",J415,0)</f>
        <v>0</v>
      </c>
      <c r="BF415" s="190">
        <f>IF(N415="snížená",J415,0)</f>
        <v>0</v>
      </c>
      <c r="BG415" s="190">
        <f>IF(N415="zákl. přenesená",J415,0)</f>
        <v>0</v>
      </c>
      <c r="BH415" s="190">
        <f>IF(N415="sníž. přenesená",J415,0)</f>
        <v>0</v>
      </c>
      <c r="BI415" s="190">
        <f>IF(N415="nulová",J415,0)</f>
        <v>0</v>
      </c>
      <c r="BJ415" s="81" t="s">
        <v>73</v>
      </c>
      <c r="BK415" s="190">
        <f>ROUND(I415*H415,2)</f>
        <v>0</v>
      </c>
      <c r="BL415" s="81" t="s">
        <v>119</v>
      </c>
      <c r="BM415" s="81" t="s">
        <v>1099</v>
      </c>
    </row>
    <row r="416" spans="2:51" s="208" customFormat="1" ht="12">
      <c r="B416" s="202"/>
      <c r="D416" s="193" t="s">
        <v>121</v>
      </c>
      <c r="E416" s="204" t="s">
        <v>1</v>
      </c>
      <c r="F416" s="260" t="s">
        <v>1498</v>
      </c>
      <c r="H416" s="261">
        <f>1+1+1+5+2</f>
        <v>10</v>
      </c>
      <c r="I416" s="70"/>
      <c r="L416" s="202"/>
      <c r="M416" s="209"/>
      <c r="N416" s="210"/>
      <c r="O416" s="210"/>
      <c r="P416" s="210"/>
      <c r="Q416" s="210"/>
      <c r="R416" s="210"/>
      <c r="S416" s="210"/>
      <c r="T416" s="211"/>
      <c r="AT416" s="204" t="s">
        <v>121</v>
      </c>
      <c r="AU416" s="204" t="s">
        <v>76</v>
      </c>
      <c r="AV416" s="208" t="s">
        <v>76</v>
      </c>
      <c r="AW416" s="208" t="s">
        <v>32</v>
      </c>
      <c r="AX416" s="208" t="s">
        <v>68</v>
      </c>
      <c r="AY416" s="204" t="s">
        <v>114</v>
      </c>
    </row>
    <row r="417" spans="2:51" s="228" customFormat="1" ht="12">
      <c r="B417" s="222"/>
      <c r="D417" s="193" t="s">
        <v>121</v>
      </c>
      <c r="E417" s="224" t="s">
        <v>1</v>
      </c>
      <c r="F417" s="266" t="s">
        <v>150</v>
      </c>
      <c r="H417" s="264">
        <f>H416</f>
        <v>10</v>
      </c>
      <c r="I417" s="72"/>
      <c r="L417" s="222"/>
      <c r="M417" s="229"/>
      <c r="N417" s="230"/>
      <c r="O417" s="230"/>
      <c r="P417" s="230"/>
      <c r="Q417" s="230"/>
      <c r="R417" s="230"/>
      <c r="S417" s="230"/>
      <c r="T417" s="231"/>
      <c r="AT417" s="224" t="s">
        <v>121</v>
      </c>
      <c r="AU417" s="224" t="s">
        <v>76</v>
      </c>
      <c r="AV417" s="228" t="s">
        <v>119</v>
      </c>
      <c r="AW417" s="228" t="s">
        <v>32</v>
      </c>
      <c r="AX417" s="228" t="s">
        <v>73</v>
      </c>
      <c r="AY417" s="224" t="s">
        <v>114</v>
      </c>
    </row>
    <row r="418" spans="2:65" s="92" customFormat="1" ht="16.5" customHeight="1">
      <c r="B418" s="90"/>
      <c r="C418" s="247" t="s">
        <v>532</v>
      </c>
      <c r="D418" s="247" t="s">
        <v>319</v>
      </c>
      <c r="E418" s="248" t="s">
        <v>434</v>
      </c>
      <c r="F418" s="253" t="s">
        <v>435</v>
      </c>
      <c r="G418" s="262" t="s">
        <v>358</v>
      </c>
      <c r="H418" s="263">
        <v>1</v>
      </c>
      <c r="I418" s="76"/>
      <c r="J418" s="252">
        <f aca="true" t="shared" si="0" ref="J418:J425">ROUND(I418*H418,2)</f>
        <v>0</v>
      </c>
      <c r="K418" s="253" t="s">
        <v>1</v>
      </c>
      <c r="L418" s="254"/>
      <c r="M418" s="255" t="s">
        <v>1</v>
      </c>
      <c r="N418" s="256" t="s">
        <v>41</v>
      </c>
      <c r="O418" s="187"/>
      <c r="P418" s="188">
        <f aca="true" t="shared" si="1" ref="P418:P425">O418*H418</f>
        <v>0</v>
      </c>
      <c r="Q418" s="188">
        <v>0.0122</v>
      </c>
      <c r="R418" s="188">
        <f aca="true" t="shared" si="2" ref="R418:R425">Q418*H418</f>
        <v>0.0122</v>
      </c>
      <c r="S418" s="188">
        <v>0</v>
      </c>
      <c r="T418" s="189">
        <f aca="true" t="shared" si="3" ref="T418:T425">S418*H418</f>
        <v>0</v>
      </c>
      <c r="AR418" s="81" t="s">
        <v>183</v>
      </c>
      <c r="AT418" s="81" t="s">
        <v>319</v>
      </c>
      <c r="AU418" s="81" t="s">
        <v>76</v>
      </c>
      <c r="AY418" s="81" t="s">
        <v>114</v>
      </c>
      <c r="BE418" s="190">
        <f aca="true" t="shared" si="4" ref="BE418:BE425">IF(N418="základní",J418,0)</f>
        <v>0</v>
      </c>
      <c r="BF418" s="190">
        <f aca="true" t="shared" si="5" ref="BF418:BF425">IF(N418="snížená",J418,0)</f>
        <v>0</v>
      </c>
      <c r="BG418" s="190">
        <f aca="true" t="shared" si="6" ref="BG418:BG425">IF(N418="zákl. přenesená",J418,0)</f>
        <v>0</v>
      </c>
      <c r="BH418" s="190">
        <f aca="true" t="shared" si="7" ref="BH418:BH425">IF(N418="sníž. přenesená",J418,0)</f>
        <v>0</v>
      </c>
      <c r="BI418" s="190">
        <f aca="true" t="shared" si="8" ref="BI418:BI425">IF(N418="nulová",J418,0)</f>
        <v>0</v>
      </c>
      <c r="BJ418" s="81" t="s">
        <v>73</v>
      </c>
      <c r="BK418" s="190">
        <f aca="true" t="shared" si="9" ref="BK418:BK425">ROUND(I418*H418,2)</f>
        <v>0</v>
      </c>
      <c r="BL418" s="81" t="s">
        <v>119</v>
      </c>
      <c r="BM418" s="81" t="s">
        <v>1100</v>
      </c>
    </row>
    <row r="419" spans="2:65" s="92" customFormat="1" ht="16.5" customHeight="1">
      <c r="B419" s="90"/>
      <c r="C419" s="247" t="s">
        <v>536</v>
      </c>
      <c r="D419" s="247" t="s">
        <v>319</v>
      </c>
      <c r="E419" s="248" t="s">
        <v>1101</v>
      </c>
      <c r="F419" s="253" t="s">
        <v>1102</v>
      </c>
      <c r="G419" s="262" t="s">
        <v>358</v>
      </c>
      <c r="H419" s="263">
        <v>1</v>
      </c>
      <c r="I419" s="76"/>
      <c r="J419" s="252">
        <f t="shared" si="0"/>
        <v>0</v>
      </c>
      <c r="K419" s="253" t="s">
        <v>154</v>
      </c>
      <c r="L419" s="254"/>
      <c r="M419" s="255" t="s">
        <v>1</v>
      </c>
      <c r="N419" s="256" t="s">
        <v>41</v>
      </c>
      <c r="O419" s="187"/>
      <c r="P419" s="188">
        <f t="shared" si="1"/>
        <v>0</v>
      </c>
      <c r="Q419" s="188">
        <v>0.009</v>
      </c>
      <c r="R419" s="188">
        <f t="shared" si="2"/>
        <v>0.009</v>
      </c>
      <c r="S419" s="188">
        <v>0</v>
      </c>
      <c r="T419" s="189">
        <f t="shared" si="3"/>
        <v>0</v>
      </c>
      <c r="AR419" s="81" t="s">
        <v>183</v>
      </c>
      <c r="AT419" s="81" t="s">
        <v>319</v>
      </c>
      <c r="AU419" s="81" t="s">
        <v>76</v>
      </c>
      <c r="AY419" s="81" t="s">
        <v>114</v>
      </c>
      <c r="BE419" s="190">
        <f t="shared" si="4"/>
        <v>0</v>
      </c>
      <c r="BF419" s="190">
        <f t="shared" si="5"/>
        <v>0</v>
      </c>
      <c r="BG419" s="190">
        <f t="shared" si="6"/>
        <v>0</v>
      </c>
      <c r="BH419" s="190">
        <f t="shared" si="7"/>
        <v>0</v>
      </c>
      <c r="BI419" s="190">
        <f t="shared" si="8"/>
        <v>0</v>
      </c>
      <c r="BJ419" s="81" t="s">
        <v>73</v>
      </c>
      <c r="BK419" s="190">
        <f t="shared" si="9"/>
        <v>0</v>
      </c>
      <c r="BL419" s="81" t="s">
        <v>119</v>
      </c>
      <c r="BM419" s="81" t="s">
        <v>1103</v>
      </c>
    </row>
    <row r="420" spans="2:65" s="92" customFormat="1" ht="16.5" customHeight="1">
      <c r="B420" s="90"/>
      <c r="C420" s="247" t="s">
        <v>543</v>
      </c>
      <c r="D420" s="247" t="s">
        <v>319</v>
      </c>
      <c r="E420" s="248" t="s">
        <v>1107</v>
      </c>
      <c r="F420" s="253" t="s">
        <v>1108</v>
      </c>
      <c r="G420" s="262" t="s">
        <v>358</v>
      </c>
      <c r="H420" s="263">
        <v>1</v>
      </c>
      <c r="I420" s="76"/>
      <c r="J420" s="252">
        <f t="shared" si="0"/>
        <v>0</v>
      </c>
      <c r="K420" s="253" t="s">
        <v>154</v>
      </c>
      <c r="L420" s="254"/>
      <c r="M420" s="255" t="s">
        <v>1</v>
      </c>
      <c r="N420" s="256" t="s">
        <v>41</v>
      </c>
      <c r="O420" s="187"/>
      <c r="P420" s="188">
        <f t="shared" si="1"/>
        <v>0</v>
      </c>
      <c r="Q420" s="188">
        <v>0.03533</v>
      </c>
      <c r="R420" s="188">
        <f t="shared" si="2"/>
        <v>0.03533</v>
      </c>
      <c r="S420" s="188">
        <v>0</v>
      </c>
      <c r="T420" s="189">
        <f t="shared" si="3"/>
        <v>0</v>
      </c>
      <c r="AR420" s="81" t="s">
        <v>183</v>
      </c>
      <c r="AT420" s="81" t="s">
        <v>319</v>
      </c>
      <c r="AU420" s="81" t="s">
        <v>76</v>
      </c>
      <c r="AY420" s="81" t="s">
        <v>114</v>
      </c>
      <c r="BE420" s="190">
        <f t="shared" si="4"/>
        <v>0</v>
      </c>
      <c r="BF420" s="190">
        <f t="shared" si="5"/>
        <v>0</v>
      </c>
      <c r="BG420" s="190">
        <f t="shared" si="6"/>
        <v>0</v>
      </c>
      <c r="BH420" s="190">
        <f t="shared" si="7"/>
        <v>0</v>
      </c>
      <c r="BI420" s="190">
        <f t="shared" si="8"/>
        <v>0</v>
      </c>
      <c r="BJ420" s="81" t="s">
        <v>73</v>
      </c>
      <c r="BK420" s="190">
        <f t="shared" si="9"/>
        <v>0</v>
      </c>
      <c r="BL420" s="81" t="s">
        <v>119</v>
      </c>
      <c r="BM420" s="81" t="s">
        <v>1109</v>
      </c>
    </row>
    <row r="421" spans="2:65" s="92" customFormat="1" ht="16.5" customHeight="1">
      <c r="B421" s="90"/>
      <c r="C421" s="247" t="s">
        <v>547</v>
      </c>
      <c r="D421" s="247" t="s">
        <v>319</v>
      </c>
      <c r="E421" s="248" t="s">
        <v>1110</v>
      </c>
      <c r="F421" s="253" t="s">
        <v>1111</v>
      </c>
      <c r="G421" s="262" t="s">
        <v>358</v>
      </c>
      <c r="H421" s="263">
        <v>5</v>
      </c>
      <c r="I421" s="76"/>
      <c r="J421" s="252">
        <f t="shared" si="0"/>
        <v>0</v>
      </c>
      <c r="K421" s="253" t="s">
        <v>154</v>
      </c>
      <c r="L421" s="254"/>
      <c r="M421" s="255" t="s">
        <v>1</v>
      </c>
      <c r="N421" s="256" t="s">
        <v>41</v>
      </c>
      <c r="O421" s="187"/>
      <c r="P421" s="188">
        <f t="shared" si="1"/>
        <v>0</v>
      </c>
      <c r="Q421" s="188">
        <v>0.0069</v>
      </c>
      <c r="R421" s="188">
        <f t="shared" si="2"/>
        <v>0.0345</v>
      </c>
      <c r="S421" s="188">
        <v>0</v>
      </c>
      <c r="T421" s="189">
        <f t="shared" si="3"/>
        <v>0</v>
      </c>
      <c r="AR421" s="81" t="s">
        <v>183</v>
      </c>
      <c r="AT421" s="81" t="s">
        <v>319</v>
      </c>
      <c r="AU421" s="81" t="s">
        <v>76</v>
      </c>
      <c r="AY421" s="81" t="s">
        <v>114</v>
      </c>
      <c r="BE421" s="190">
        <f t="shared" si="4"/>
        <v>0</v>
      </c>
      <c r="BF421" s="190">
        <f t="shared" si="5"/>
        <v>0</v>
      </c>
      <c r="BG421" s="190">
        <f t="shared" si="6"/>
        <v>0</v>
      </c>
      <c r="BH421" s="190">
        <f t="shared" si="7"/>
        <v>0</v>
      </c>
      <c r="BI421" s="190">
        <f t="shared" si="8"/>
        <v>0</v>
      </c>
      <c r="BJ421" s="81" t="s">
        <v>73</v>
      </c>
      <c r="BK421" s="190">
        <f t="shared" si="9"/>
        <v>0</v>
      </c>
      <c r="BL421" s="81" t="s">
        <v>119</v>
      </c>
      <c r="BM421" s="81" t="s">
        <v>1112</v>
      </c>
    </row>
    <row r="422" spans="2:65" s="92" customFormat="1" ht="16.5" customHeight="1">
      <c r="B422" s="90"/>
      <c r="C422" s="247" t="s">
        <v>551</v>
      </c>
      <c r="D422" s="247" t="s">
        <v>319</v>
      </c>
      <c r="E422" s="248" t="s">
        <v>1113</v>
      </c>
      <c r="F422" s="253" t="s">
        <v>1114</v>
      </c>
      <c r="G422" s="262" t="s">
        <v>358</v>
      </c>
      <c r="H422" s="263">
        <v>2</v>
      </c>
      <c r="I422" s="76"/>
      <c r="J422" s="252">
        <f t="shared" si="0"/>
        <v>0</v>
      </c>
      <c r="K422" s="253" t="s">
        <v>154</v>
      </c>
      <c r="L422" s="254"/>
      <c r="M422" s="255" t="s">
        <v>1</v>
      </c>
      <c r="N422" s="256" t="s">
        <v>41</v>
      </c>
      <c r="O422" s="187"/>
      <c r="P422" s="188">
        <f t="shared" si="1"/>
        <v>0</v>
      </c>
      <c r="Q422" s="188">
        <v>0.0077</v>
      </c>
      <c r="R422" s="188">
        <f t="shared" si="2"/>
        <v>0.0154</v>
      </c>
      <c r="S422" s="188">
        <v>0</v>
      </c>
      <c r="T422" s="189">
        <f t="shared" si="3"/>
        <v>0</v>
      </c>
      <c r="AR422" s="81" t="s">
        <v>183</v>
      </c>
      <c r="AT422" s="81" t="s">
        <v>319</v>
      </c>
      <c r="AU422" s="81" t="s">
        <v>76</v>
      </c>
      <c r="AY422" s="81" t="s">
        <v>114</v>
      </c>
      <c r="BE422" s="190">
        <f t="shared" si="4"/>
        <v>0</v>
      </c>
      <c r="BF422" s="190">
        <f t="shared" si="5"/>
        <v>0</v>
      </c>
      <c r="BG422" s="190">
        <f t="shared" si="6"/>
        <v>0</v>
      </c>
      <c r="BH422" s="190">
        <f t="shared" si="7"/>
        <v>0</v>
      </c>
      <c r="BI422" s="190">
        <f t="shared" si="8"/>
        <v>0</v>
      </c>
      <c r="BJ422" s="81" t="s">
        <v>73</v>
      </c>
      <c r="BK422" s="190">
        <f t="shared" si="9"/>
        <v>0</v>
      </c>
      <c r="BL422" s="81" t="s">
        <v>119</v>
      </c>
      <c r="BM422" s="81" t="s">
        <v>1115</v>
      </c>
    </row>
    <row r="423" spans="2:65" s="92" customFormat="1" ht="16.5" customHeight="1">
      <c r="B423" s="90"/>
      <c r="C423" s="178" t="s">
        <v>555</v>
      </c>
      <c r="D423" s="178" t="s">
        <v>116</v>
      </c>
      <c r="E423" s="179" t="s">
        <v>1116</v>
      </c>
      <c r="F423" s="180" t="s">
        <v>1117</v>
      </c>
      <c r="G423" s="181" t="s">
        <v>358</v>
      </c>
      <c r="H423" s="182">
        <v>1</v>
      </c>
      <c r="I423" s="69"/>
      <c r="J423" s="184">
        <f t="shared" si="0"/>
        <v>0</v>
      </c>
      <c r="K423" s="180" t="s">
        <v>154</v>
      </c>
      <c r="L423" s="90"/>
      <c r="M423" s="185" t="s">
        <v>1</v>
      </c>
      <c r="N423" s="186" t="s">
        <v>41</v>
      </c>
      <c r="O423" s="187"/>
      <c r="P423" s="188">
        <f t="shared" si="1"/>
        <v>0</v>
      </c>
      <c r="Q423" s="188">
        <v>0</v>
      </c>
      <c r="R423" s="188">
        <f t="shared" si="2"/>
        <v>0</v>
      </c>
      <c r="S423" s="188">
        <v>0</v>
      </c>
      <c r="T423" s="189">
        <f t="shared" si="3"/>
        <v>0</v>
      </c>
      <c r="AR423" s="81" t="s">
        <v>119</v>
      </c>
      <c r="AT423" s="81" t="s">
        <v>116</v>
      </c>
      <c r="AU423" s="81" t="s">
        <v>76</v>
      </c>
      <c r="AY423" s="81" t="s">
        <v>114</v>
      </c>
      <c r="BE423" s="190">
        <f t="shared" si="4"/>
        <v>0</v>
      </c>
      <c r="BF423" s="190">
        <f t="shared" si="5"/>
        <v>0</v>
      </c>
      <c r="BG423" s="190">
        <f t="shared" si="6"/>
        <v>0</v>
      </c>
      <c r="BH423" s="190">
        <f t="shared" si="7"/>
        <v>0</v>
      </c>
      <c r="BI423" s="190">
        <f t="shared" si="8"/>
        <v>0</v>
      </c>
      <c r="BJ423" s="81" t="s">
        <v>73</v>
      </c>
      <c r="BK423" s="190">
        <f t="shared" si="9"/>
        <v>0</v>
      </c>
      <c r="BL423" s="81" t="s">
        <v>119</v>
      </c>
      <c r="BM423" s="81" t="s">
        <v>1118</v>
      </c>
    </row>
    <row r="424" spans="2:65" s="92" customFormat="1" ht="16.5" customHeight="1">
      <c r="B424" s="90"/>
      <c r="C424" s="247" t="s">
        <v>559</v>
      </c>
      <c r="D424" s="247" t="s">
        <v>319</v>
      </c>
      <c r="E424" s="248" t="s">
        <v>1119</v>
      </c>
      <c r="F424" s="253" t="s">
        <v>1120</v>
      </c>
      <c r="G424" s="262" t="s">
        <v>358</v>
      </c>
      <c r="H424" s="263">
        <v>1</v>
      </c>
      <c r="I424" s="76"/>
      <c r="J424" s="252">
        <f t="shared" si="0"/>
        <v>0</v>
      </c>
      <c r="K424" s="253" t="s">
        <v>154</v>
      </c>
      <c r="L424" s="254"/>
      <c r="M424" s="255" t="s">
        <v>1</v>
      </c>
      <c r="N424" s="256" t="s">
        <v>41</v>
      </c>
      <c r="O424" s="187"/>
      <c r="P424" s="188">
        <f t="shared" si="1"/>
        <v>0</v>
      </c>
      <c r="Q424" s="188">
        <v>0.0115</v>
      </c>
      <c r="R424" s="188">
        <f t="shared" si="2"/>
        <v>0.0115</v>
      </c>
      <c r="S424" s="188">
        <v>0</v>
      </c>
      <c r="T424" s="189">
        <f t="shared" si="3"/>
        <v>0</v>
      </c>
      <c r="AR424" s="81" t="s">
        <v>183</v>
      </c>
      <c r="AT424" s="81" t="s">
        <v>319</v>
      </c>
      <c r="AU424" s="81" t="s">
        <v>76</v>
      </c>
      <c r="AY424" s="81" t="s">
        <v>114</v>
      </c>
      <c r="BE424" s="190">
        <f t="shared" si="4"/>
        <v>0</v>
      </c>
      <c r="BF424" s="190">
        <f t="shared" si="5"/>
        <v>0</v>
      </c>
      <c r="BG424" s="190">
        <f t="shared" si="6"/>
        <v>0</v>
      </c>
      <c r="BH424" s="190">
        <f t="shared" si="7"/>
        <v>0</v>
      </c>
      <c r="BI424" s="190">
        <f t="shared" si="8"/>
        <v>0</v>
      </c>
      <c r="BJ424" s="81" t="s">
        <v>73</v>
      </c>
      <c r="BK424" s="190">
        <f t="shared" si="9"/>
        <v>0</v>
      </c>
      <c r="BL424" s="81" t="s">
        <v>119</v>
      </c>
      <c r="BM424" s="81" t="s">
        <v>1121</v>
      </c>
    </row>
    <row r="425" spans="2:65" s="92" customFormat="1" ht="16.5" customHeight="1">
      <c r="B425" s="90"/>
      <c r="C425" s="178" t="s">
        <v>563</v>
      </c>
      <c r="D425" s="178" t="s">
        <v>116</v>
      </c>
      <c r="E425" s="179" t="s">
        <v>454</v>
      </c>
      <c r="F425" s="180" t="s">
        <v>455</v>
      </c>
      <c r="G425" s="181" t="s">
        <v>358</v>
      </c>
      <c r="H425" s="182">
        <f>H427</f>
        <v>20</v>
      </c>
      <c r="I425" s="69"/>
      <c r="J425" s="184">
        <f t="shared" si="0"/>
        <v>0</v>
      </c>
      <c r="K425" s="180" t="s">
        <v>154</v>
      </c>
      <c r="L425" s="90"/>
      <c r="M425" s="185" t="s">
        <v>1</v>
      </c>
      <c r="N425" s="186" t="s">
        <v>41</v>
      </c>
      <c r="O425" s="187"/>
      <c r="P425" s="188">
        <f t="shared" si="1"/>
        <v>0</v>
      </c>
      <c r="Q425" s="188">
        <v>0</v>
      </c>
      <c r="R425" s="188">
        <f t="shared" si="2"/>
        <v>0</v>
      </c>
      <c r="S425" s="188">
        <v>0</v>
      </c>
      <c r="T425" s="189">
        <f t="shared" si="3"/>
        <v>0</v>
      </c>
      <c r="AR425" s="81" t="s">
        <v>119</v>
      </c>
      <c r="AT425" s="81" t="s">
        <v>116</v>
      </c>
      <c r="AU425" s="81" t="s">
        <v>76</v>
      </c>
      <c r="AY425" s="81" t="s">
        <v>114</v>
      </c>
      <c r="BE425" s="190">
        <f t="shared" si="4"/>
        <v>0</v>
      </c>
      <c r="BF425" s="190">
        <f t="shared" si="5"/>
        <v>0</v>
      </c>
      <c r="BG425" s="190">
        <f t="shared" si="6"/>
        <v>0</v>
      </c>
      <c r="BH425" s="190">
        <f t="shared" si="7"/>
        <v>0</v>
      </c>
      <c r="BI425" s="190">
        <f t="shared" si="8"/>
        <v>0</v>
      </c>
      <c r="BJ425" s="81" t="s">
        <v>73</v>
      </c>
      <c r="BK425" s="190">
        <f t="shared" si="9"/>
        <v>0</v>
      </c>
      <c r="BL425" s="81" t="s">
        <v>119</v>
      </c>
      <c r="BM425" s="81" t="s">
        <v>1122</v>
      </c>
    </row>
    <row r="426" spans="2:51" s="208" customFormat="1" ht="12">
      <c r="B426" s="202"/>
      <c r="D426" s="193" t="s">
        <v>121</v>
      </c>
      <c r="E426" s="204" t="s">
        <v>1</v>
      </c>
      <c r="F426" s="260"/>
      <c r="H426" s="261">
        <f>SUM(H428:H435)</f>
        <v>20</v>
      </c>
      <c r="I426" s="70"/>
      <c r="L426" s="202"/>
      <c r="M426" s="209"/>
      <c r="N426" s="210"/>
      <c r="O426" s="210"/>
      <c r="P426" s="210"/>
      <c r="Q426" s="210"/>
      <c r="R426" s="210"/>
      <c r="S426" s="210"/>
      <c r="T426" s="211"/>
      <c r="AT426" s="204" t="s">
        <v>121</v>
      </c>
      <c r="AU426" s="204" t="s">
        <v>76</v>
      </c>
      <c r="AV426" s="208" t="s">
        <v>76</v>
      </c>
      <c r="AW426" s="208" t="s">
        <v>32</v>
      </c>
      <c r="AX426" s="208" t="s">
        <v>68</v>
      </c>
      <c r="AY426" s="204" t="s">
        <v>114</v>
      </c>
    </row>
    <row r="427" spans="2:51" s="228" customFormat="1" ht="12">
      <c r="B427" s="222"/>
      <c r="D427" s="193" t="s">
        <v>121</v>
      </c>
      <c r="E427" s="224" t="s">
        <v>1</v>
      </c>
      <c r="F427" s="266" t="s">
        <v>150</v>
      </c>
      <c r="H427" s="264">
        <f>H426</f>
        <v>20</v>
      </c>
      <c r="I427" s="72"/>
      <c r="L427" s="222"/>
      <c r="M427" s="229"/>
      <c r="N427" s="230"/>
      <c r="O427" s="230"/>
      <c r="P427" s="230"/>
      <c r="Q427" s="230"/>
      <c r="R427" s="230"/>
      <c r="S427" s="230"/>
      <c r="T427" s="231"/>
      <c r="AT427" s="224" t="s">
        <v>121</v>
      </c>
      <c r="AU427" s="224" t="s">
        <v>76</v>
      </c>
      <c r="AV427" s="228" t="s">
        <v>119</v>
      </c>
      <c r="AW427" s="228" t="s">
        <v>32</v>
      </c>
      <c r="AX427" s="228" t="s">
        <v>73</v>
      </c>
      <c r="AY427" s="224" t="s">
        <v>114</v>
      </c>
    </row>
    <row r="428" spans="2:65" s="92" customFormat="1" ht="16.5" customHeight="1">
      <c r="B428" s="90"/>
      <c r="C428" s="247" t="s">
        <v>567</v>
      </c>
      <c r="D428" s="247" t="s">
        <v>319</v>
      </c>
      <c r="E428" s="248" t="s">
        <v>458</v>
      </c>
      <c r="F428" s="253" t="s">
        <v>459</v>
      </c>
      <c r="G428" s="262" t="s">
        <v>358</v>
      </c>
      <c r="H428" s="263">
        <v>3</v>
      </c>
      <c r="I428" s="76"/>
      <c r="J428" s="252">
        <f aca="true" t="shared" si="10" ref="J428:J436">ROUND(I428*H428,2)</f>
        <v>0</v>
      </c>
      <c r="K428" s="253" t="s">
        <v>154</v>
      </c>
      <c r="L428" s="254"/>
      <c r="M428" s="255" t="s">
        <v>1</v>
      </c>
      <c r="N428" s="256" t="s">
        <v>41</v>
      </c>
      <c r="O428" s="187"/>
      <c r="P428" s="188">
        <f aca="true" t="shared" si="11" ref="P428:P436">O428*H428</f>
        <v>0</v>
      </c>
      <c r="Q428" s="188">
        <v>0.0088</v>
      </c>
      <c r="R428" s="188">
        <f aca="true" t="shared" si="12" ref="R428:R436">Q428*H428</f>
        <v>0.0264</v>
      </c>
      <c r="S428" s="188">
        <v>0</v>
      </c>
      <c r="T428" s="189">
        <f aca="true" t="shared" si="13" ref="T428:T436">S428*H428</f>
        <v>0</v>
      </c>
      <c r="AR428" s="81" t="s">
        <v>183</v>
      </c>
      <c r="AT428" s="81" t="s">
        <v>319</v>
      </c>
      <c r="AU428" s="81" t="s">
        <v>76</v>
      </c>
      <c r="AY428" s="81" t="s">
        <v>114</v>
      </c>
      <c r="BE428" s="190">
        <f aca="true" t="shared" si="14" ref="BE428:BE436">IF(N428="základní",J428,0)</f>
        <v>0</v>
      </c>
      <c r="BF428" s="190">
        <f aca="true" t="shared" si="15" ref="BF428:BF436">IF(N428="snížená",J428,0)</f>
        <v>0</v>
      </c>
      <c r="BG428" s="190">
        <f aca="true" t="shared" si="16" ref="BG428:BG436">IF(N428="zákl. přenesená",J428,0)</f>
        <v>0</v>
      </c>
      <c r="BH428" s="190">
        <f aca="true" t="shared" si="17" ref="BH428:BH436">IF(N428="sníž. přenesená",J428,0)</f>
        <v>0</v>
      </c>
      <c r="BI428" s="190">
        <f aca="true" t="shared" si="18" ref="BI428:BI436">IF(N428="nulová",J428,0)</f>
        <v>0</v>
      </c>
      <c r="BJ428" s="81" t="s">
        <v>73</v>
      </c>
      <c r="BK428" s="190">
        <f aca="true" t="shared" si="19" ref="BK428:BK436">ROUND(I428*H428,2)</f>
        <v>0</v>
      </c>
      <c r="BL428" s="81" t="s">
        <v>119</v>
      </c>
      <c r="BM428" s="81" t="s">
        <v>1123</v>
      </c>
    </row>
    <row r="429" spans="2:65" s="92" customFormat="1" ht="16.5" customHeight="1">
      <c r="B429" s="90"/>
      <c r="C429" s="247" t="s">
        <v>571</v>
      </c>
      <c r="D429" s="247" t="s">
        <v>319</v>
      </c>
      <c r="E429" s="248" t="s">
        <v>1124</v>
      </c>
      <c r="F429" s="253" t="s">
        <v>1125</v>
      </c>
      <c r="G429" s="262" t="s">
        <v>358</v>
      </c>
      <c r="H429" s="263">
        <v>3</v>
      </c>
      <c r="I429" s="76"/>
      <c r="J429" s="252">
        <f t="shared" si="10"/>
        <v>0</v>
      </c>
      <c r="K429" s="253" t="s">
        <v>154</v>
      </c>
      <c r="L429" s="254"/>
      <c r="M429" s="255" t="s">
        <v>1</v>
      </c>
      <c r="N429" s="256" t="s">
        <v>41</v>
      </c>
      <c r="O429" s="187"/>
      <c r="P429" s="188">
        <f t="shared" si="11"/>
        <v>0</v>
      </c>
      <c r="Q429" s="188">
        <v>0.0092</v>
      </c>
      <c r="R429" s="188">
        <f t="shared" si="12"/>
        <v>0.0276</v>
      </c>
      <c r="S429" s="188">
        <v>0</v>
      </c>
      <c r="T429" s="189">
        <f t="shared" si="13"/>
        <v>0</v>
      </c>
      <c r="AR429" s="81" t="s">
        <v>183</v>
      </c>
      <c r="AT429" s="81" t="s">
        <v>319</v>
      </c>
      <c r="AU429" s="81" t="s">
        <v>76</v>
      </c>
      <c r="AY429" s="81" t="s">
        <v>114</v>
      </c>
      <c r="BE429" s="190">
        <f t="shared" si="14"/>
        <v>0</v>
      </c>
      <c r="BF429" s="190">
        <f t="shared" si="15"/>
        <v>0</v>
      </c>
      <c r="BG429" s="190">
        <f t="shared" si="16"/>
        <v>0</v>
      </c>
      <c r="BH429" s="190">
        <f t="shared" si="17"/>
        <v>0</v>
      </c>
      <c r="BI429" s="190">
        <f t="shared" si="18"/>
        <v>0</v>
      </c>
      <c r="BJ429" s="81" t="s">
        <v>73</v>
      </c>
      <c r="BK429" s="190">
        <f t="shared" si="19"/>
        <v>0</v>
      </c>
      <c r="BL429" s="81" t="s">
        <v>119</v>
      </c>
      <c r="BM429" s="81" t="s">
        <v>1126</v>
      </c>
    </row>
    <row r="430" spans="2:65" s="92" customFormat="1" ht="16.5" customHeight="1">
      <c r="B430" s="90"/>
      <c r="C430" s="247" t="s">
        <v>574</v>
      </c>
      <c r="D430" s="247" t="s">
        <v>319</v>
      </c>
      <c r="E430" s="248" t="s">
        <v>1127</v>
      </c>
      <c r="F430" s="253" t="s">
        <v>1128</v>
      </c>
      <c r="G430" s="262" t="s">
        <v>358</v>
      </c>
      <c r="H430" s="263">
        <v>2</v>
      </c>
      <c r="I430" s="76"/>
      <c r="J430" s="252">
        <f t="shared" si="10"/>
        <v>0</v>
      </c>
      <c r="K430" s="253" t="s">
        <v>154</v>
      </c>
      <c r="L430" s="254"/>
      <c r="M430" s="255" t="s">
        <v>1</v>
      </c>
      <c r="N430" s="256" t="s">
        <v>41</v>
      </c>
      <c r="O430" s="187"/>
      <c r="P430" s="188">
        <f t="shared" si="11"/>
        <v>0</v>
      </c>
      <c r="Q430" s="188">
        <v>0.0104</v>
      </c>
      <c r="R430" s="188">
        <f t="shared" si="12"/>
        <v>0.0208</v>
      </c>
      <c r="S430" s="188">
        <v>0</v>
      </c>
      <c r="T430" s="189">
        <f t="shared" si="13"/>
        <v>0</v>
      </c>
      <c r="AR430" s="81" t="s">
        <v>183</v>
      </c>
      <c r="AT430" s="81" t="s">
        <v>319</v>
      </c>
      <c r="AU430" s="81" t="s">
        <v>76</v>
      </c>
      <c r="AY430" s="81" t="s">
        <v>114</v>
      </c>
      <c r="BE430" s="190">
        <f t="shared" si="14"/>
        <v>0</v>
      </c>
      <c r="BF430" s="190">
        <f t="shared" si="15"/>
        <v>0</v>
      </c>
      <c r="BG430" s="190">
        <f t="shared" si="16"/>
        <v>0</v>
      </c>
      <c r="BH430" s="190">
        <f t="shared" si="17"/>
        <v>0</v>
      </c>
      <c r="BI430" s="190">
        <f t="shared" si="18"/>
        <v>0</v>
      </c>
      <c r="BJ430" s="81" t="s">
        <v>73</v>
      </c>
      <c r="BK430" s="190">
        <f t="shared" si="19"/>
        <v>0</v>
      </c>
      <c r="BL430" s="81" t="s">
        <v>119</v>
      </c>
      <c r="BM430" s="81" t="s">
        <v>1129</v>
      </c>
    </row>
    <row r="431" spans="2:65" s="92" customFormat="1" ht="16.5" customHeight="1">
      <c r="B431" s="90"/>
      <c r="C431" s="247" t="s">
        <v>577</v>
      </c>
      <c r="D431" s="247" t="s">
        <v>319</v>
      </c>
      <c r="E431" s="248" t="s">
        <v>462</v>
      </c>
      <c r="F431" s="253" t="s">
        <v>463</v>
      </c>
      <c r="G431" s="262" t="s">
        <v>358</v>
      </c>
      <c r="H431" s="263">
        <v>2</v>
      </c>
      <c r="I431" s="76"/>
      <c r="J431" s="252">
        <f t="shared" si="10"/>
        <v>0</v>
      </c>
      <c r="K431" s="253" t="s">
        <v>154</v>
      </c>
      <c r="L431" s="254"/>
      <c r="M431" s="255" t="s">
        <v>1</v>
      </c>
      <c r="N431" s="256" t="s">
        <v>41</v>
      </c>
      <c r="O431" s="187"/>
      <c r="P431" s="188">
        <f t="shared" si="11"/>
        <v>0</v>
      </c>
      <c r="Q431" s="188">
        <v>0.0101</v>
      </c>
      <c r="R431" s="188">
        <f t="shared" si="12"/>
        <v>0.0202</v>
      </c>
      <c r="S431" s="188">
        <v>0</v>
      </c>
      <c r="T431" s="189">
        <f t="shared" si="13"/>
        <v>0</v>
      </c>
      <c r="AR431" s="81" t="s">
        <v>183</v>
      </c>
      <c r="AT431" s="81" t="s">
        <v>319</v>
      </c>
      <c r="AU431" s="81" t="s">
        <v>76</v>
      </c>
      <c r="AY431" s="81" t="s">
        <v>114</v>
      </c>
      <c r="BE431" s="190">
        <f t="shared" si="14"/>
        <v>0</v>
      </c>
      <c r="BF431" s="190">
        <f t="shared" si="15"/>
        <v>0</v>
      </c>
      <c r="BG431" s="190">
        <f t="shared" si="16"/>
        <v>0</v>
      </c>
      <c r="BH431" s="190">
        <f t="shared" si="17"/>
        <v>0</v>
      </c>
      <c r="BI431" s="190">
        <f t="shared" si="18"/>
        <v>0</v>
      </c>
      <c r="BJ431" s="81" t="s">
        <v>73</v>
      </c>
      <c r="BK431" s="190">
        <f t="shared" si="19"/>
        <v>0</v>
      </c>
      <c r="BL431" s="81" t="s">
        <v>119</v>
      </c>
      <c r="BM431" s="81" t="s">
        <v>1130</v>
      </c>
    </row>
    <row r="432" spans="2:65" s="92" customFormat="1" ht="16.5" customHeight="1">
      <c r="B432" s="90"/>
      <c r="C432" s="247" t="s">
        <v>581</v>
      </c>
      <c r="D432" s="247" t="s">
        <v>319</v>
      </c>
      <c r="E432" s="248" t="s">
        <v>1131</v>
      </c>
      <c r="F432" s="253" t="s">
        <v>1132</v>
      </c>
      <c r="G432" s="262" t="s">
        <v>358</v>
      </c>
      <c r="H432" s="263">
        <v>1</v>
      </c>
      <c r="I432" s="76"/>
      <c r="J432" s="252">
        <f t="shared" si="10"/>
        <v>0</v>
      </c>
      <c r="K432" s="253" t="s">
        <v>154</v>
      </c>
      <c r="L432" s="254"/>
      <c r="M432" s="255" t="s">
        <v>1</v>
      </c>
      <c r="N432" s="256" t="s">
        <v>41</v>
      </c>
      <c r="O432" s="187"/>
      <c r="P432" s="188">
        <f t="shared" si="11"/>
        <v>0</v>
      </c>
      <c r="Q432" s="188">
        <v>0.0078</v>
      </c>
      <c r="R432" s="188">
        <f t="shared" si="12"/>
        <v>0.0078</v>
      </c>
      <c r="S432" s="188">
        <v>0</v>
      </c>
      <c r="T432" s="189">
        <f t="shared" si="13"/>
        <v>0</v>
      </c>
      <c r="AR432" s="81" t="s">
        <v>183</v>
      </c>
      <c r="AT432" s="81" t="s">
        <v>319</v>
      </c>
      <c r="AU432" s="81" t="s">
        <v>76</v>
      </c>
      <c r="AY432" s="81" t="s">
        <v>114</v>
      </c>
      <c r="BE432" s="190">
        <f t="shared" si="14"/>
        <v>0</v>
      </c>
      <c r="BF432" s="190">
        <f t="shared" si="15"/>
        <v>0</v>
      </c>
      <c r="BG432" s="190">
        <f t="shared" si="16"/>
        <v>0</v>
      </c>
      <c r="BH432" s="190">
        <f t="shared" si="17"/>
        <v>0</v>
      </c>
      <c r="BI432" s="190">
        <f t="shared" si="18"/>
        <v>0</v>
      </c>
      <c r="BJ432" s="81" t="s">
        <v>73</v>
      </c>
      <c r="BK432" s="190">
        <f t="shared" si="19"/>
        <v>0</v>
      </c>
      <c r="BL432" s="81" t="s">
        <v>119</v>
      </c>
      <c r="BM432" s="81" t="s">
        <v>1133</v>
      </c>
    </row>
    <row r="433" spans="2:65" s="92" customFormat="1" ht="16.5" customHeight="1">
      <c r="B433" s="90"/>
      <c r="C433" s="247" t="s">
        <v>585</v>
      </c>
      <c r="D433" s="247" t="s">
        <v>319</v>
      </c>
      <c r="E433" s="248" t="s">
        <v>1134</v>
      </c>
      <c r="F433" s="253" t="s">
        <v>1135</v>
      </c>
      <c r="G433" s="262" t="s">
        <v>358</v>
      </c>
      <c r="H433" s="263">
        <v>4</v>
      </c>
      <c r="I433" s="76"/>
      <c r="J433" s="252">
        <f t="shared" si="10"/>
        <v>0</v>
      </c>
      <c r="K433" s="253" t="s">
        <v>1</v>
      </c>
      <c r="L433" s="254"/>
      <c r="M433" s="255" t="s">
        <v>1</v>
      </c>
      <c r="N433" s="256" t="s">
        <v>41</v>
      </c>
      <c r="O433" s="187"/>
      <c r="P433" s="188">
        <f t="shared" si="11"/>
        <v>0</v>
      </c>
      <c r="Q433" s="188">
        <v>0.0089</v>
      </c>
      <c r="R433" s="188">
        <f t="shared" si="12"/>
        <v>0.0356</v>
      </c>
      <c r="S433" s="188">
        <v>0</v>
      </c>
      <c r="T433" s="189">
        <f t="shared" si="13"/>
        <v>0</v>
      </c>
      <c r="AR433" s="81" t="s">
        <v>183</v>
      </c>
      <c r="AT433" s="81" t="s">
        <v>319</v>
      </c>
      <c r="AU433" s="81" t="s">
        <v>76</v>
      </c>
      <c r="AY433" s="81" t="s">
        <v>114</v>
      </c>
      <c r="BE433" s="190">
        <f t="shared" si="14"/>
        <v>0</v>
      </c>
      <c r="BF433" s="190">
        <f t="shared" si="15"/>
        <v>0</v>
      </c>
      <c r="BG433" s="190">
        <f t="shared" si="16"/>
        <v>0</v>
      </c>
      <c r="BH433" s="190">
        <f t="shared" si="17"/>
        <v>0</v>
      </c>
      <c r="BI433" s="190">
        <f t="shared" si="18"/>
        <v>0</v>
      </c>
      <c r="BJ433" s="81" t="s">
        <v>73</v>
      </c>
      <c r="BK433" s="190">
        <f t="shared" si="19"/>
        <v>0</v>
      </c>
      <c r="BL433" s="81" t="s">
        <v>119</v>
      </c>
      <c r="BM433" s="81" t="s">
        <v>1136</v>
      </c>
    </row>
    <row r="434" spans="2:65" s="92" customFormat="1" ht="16.5" customHeight="1">
      <c r="B434" s="90"/>
      <c r="C434" s="247" t="s">
        <v>590</v>
      </c>
      <c r="D434" s="247" t="s">
        <v>319</v>
      </c>
      <c r="E434" s="248" t="s">
        <v>1137</v>
      </c>
      <c r="F434" s="253" t="s">
        <v>1138</v>
      </c>
      <c r="G434" s="262" t="s">
        <v>358</v>
      </c>
      <c r="H434" s="263">
        <v>2</v>
      </c>
      <c r="I434" s="76"/>
      <c r="J434" s="252">
        <f t="shared" si="10"/>
        <v>0</v>
      </c>
      <c r="K434" s="253" t="s">
        <v>1</v>
      </c>
      <c r="L434" s="254"/>
      <c r="M434" s="255" t="s">
        <v>1</v>
      </c>
      <c r="N434" s="256" t="s">
        <v>41</v>
      </c>
      <c r="O434" s="187"/>
      <c r="P434" s="188">
        <f t="shared" si="11"/>
        <v>0</v>
      </c>
      <c r="Q434" s="188">
        <v>0.0083</v>
      </c>
      <c r="R434" s="188">
        <f t="shared" si="12"/>
        <v>0.0166</v>
      </c>
      <c r="S434" s="188">
        <v>0</v>
      </c>
      <c r="T434" s="189">
        <f t="shared" si="13"/>
        <v>0</v>
      </c>
      <c r="AR434" s="81" t="s">
        <v>183</v>
      </c>
      <c r="AT434" s="81" t="s">
        <v>319</v>
      </c>
      <c r="AU434" s="81" t="s">
        <v>76</v>
      </c>
      <c r="AY434" s="81" t="s">
        <v>114</v>
      </c>
      <c r="BE434" s="190">
        <f t="shared" si="14"/>
        <v>0</v>
      </c>
      <c r="BF434" s="190">
        <f t="shared" si="15"/>
        <v>0</v>
      </c>
      <c r="BG434" s="190">
        <f t="shared" si="16"/>
        <v>0</v>
      </c>
      <c r="BH434" s="190">
        <f t="shared" si="17"/>
        <v>0</v>
      </c>
      <c r="BI434" s="190">
        <f t="shared" si="18"/>
        <v>0</v>
      </c>
      <c r="BJ434" s="81" t="s">
        <v>73</v>
      </c>
      <c r="BK434" s="190">
        <f t="shared" si="19"/>
        <v>0</v>
      </c>
      <c r="BL434" s="81" t="s">
        <v>119</v>
      </c>
      <c r="BM434" s="81" t="s">
        <v>1139</v>
      </c>
    </row>
    <row r="435" spans="2:65" s="92" customFormat="1" ht="16.5" customHeight="1">
      <c r="B435" s="90"/>
      <c r="C435" s="247" t="s">
        <v>599</v>
      </c>
      <c r="D435" s="247" t="s">
        <v>319</v>
      </c>
      <c r="E435" s="248" t="s">
        <v>1140</v>
      </c>
      <c r="F435" s="253" t="s">
        <v>1141</v>
      </c>
      <c r="G435" s="262" t="s">
        <v>358</v>
      </c>
      <c r="H435" s="263">
        <v>3</v>
      </c>
      <c r="I435" s="76"/>
      <c r="J435" s="252">
        <f t="shared" si="10"/>
        <v>0</v>
      </c>
      <c r="K435" s="253" t="s">
        <v>154</v>
      </c>
      <c r="L435" s="254"/>
      <c r="M435" s="255" t="s">
        <v>1</v>
      </c>
      <c r="N435" s="256" t="s">
        <v>41</v>
      </c>
      <c r="O435" s="187"/>
      <c r="P435" s="188">
        <f t="shared" si="11"/>
        <v>0</v>
      </c>
      <c r="Q435" s="188">
        <v>0.0071</v>
      </c>
      <c r="R435" s="188">
        <f t="shared" si="12"/>
        <v>0.0213</v>
      </c>
      <c r="S435" s="188">
        <v>0</v>
      </c>
      <c r="T435" s="189">
        <f t="shared" si="13"/>
        <v>0</v>
      </c>
      <c r="AR435" s="81" t="s">
        <v>183</v>
      </c>
      <c r="AT435" s="81" t="s">
        <v>319</v>
      </c>
      <c r="AU435" s="81" t="s">
        <v>76</v>
      </c>
      <c r="AY435" s="81" t="s">
        <v>114</v>
      </c>
      <c r="BE435" s="190">
        <f t="shared" si="14"/>
        <v>0</v>
      </c>
      <c r="BF435" s="190">
        <f t="shared" si="15"/>
        <v>0</v>
      </c>
      <c r="BG435" s="190">
        <f t="shared" si="16"/>
        <v>0</v>
      </c>
      <c r="BH435" s="190">
        <f t="shared" si="17"/>
        <v>0</v>
      </c>
      <c r="BI435" s="190">
        <f t="shared" si="18"/>
        <v>0</v>
      </c>
      <c r="BJ435" s="81" t="s">
        <v>73</v>
      </c>
      <c r="BK435" s="190">
        <f t="shared" si="19"/>
        <v>0</v>
      </c>
      <c r="BL435" s="81" t="s">
        <v>119</v>
      </c>
      <c r="BM435" s="81" t="s">
        <v>1142</v>
      </c>
    </row>
    <row r="436" spans="2:65" s="92" customFormat="1" ht="16.5" customHeight="1">
      <c r="B436" s="90"/>
      <c r="C436" s="178" t="s">
        <v>603</v>
      </c>
      <c r="D436" s="178" t="s">
        <v>116</v>
      </c>
      <c r="E436" s="179" t="s">
        <v>465</v>
      </c>
      <c r="F436" s="180" t="s">
        <v>466</v>
      </c>
      <c r="G436" s="181" t="s">
        <v>358</v>
      </c>
      <c r="H436" s="182">
        <v>9</v>
      </c>
      <c r="I436" s="69"/>
      <c r="J436" s="184">
        <f t="shared" si="10"/>
        <v>0</v>
      </c>
      <c r="K436" s="180" t="s">
        <v>154</v>
      </c>
      <c r="L436" s="90"/>
      <c r="M436" s="185" t="s">
        <v>1</v>
      </c>
      <c r="N436" s="186" t="s">
        <v>41</v>
      </c>
      <c r="O436" s="187"/>
      <c r="P436" s="188">
        <f t="shared" si="11"/>
        <v>0</v>
      </c>
      <c r="Q436" s="188">
        <v>0.00167</v>
      </c>
      <c r="R436" s="188">
        <f t="shared" si="12"/>
        <v>0.01503</v>
      </c>
      <c r="S436" s="188">
        <v>0</v>
      </c>
      <c r="T436" s="189">
        <f t="shared" si="13"/>
        <v>0</v>
      </c>
      <c r="AR436" s="81" t="s">
        <v>119</v>
      </c>
      <c r="AT436" s="81" t="s">
        <v>116</v>
      </c>
      <c r="AU436" s="81" t="s">
        <v>76</v>
      </c>
      <c r="AY436" s="81" t="s">
        <v>114</v>
      </c>
      <c r="BE436" s="190">
        <f t="shared" si="14"/>
        <v>0</v>
      </c>
      <c r="BF436" s="190">
        <f t="shared" si="15"/>
        <v>0</v>
      </c>
      <c r="BG436" s="190">
        <f t="shared" si="16"/>
        <v>0</v>
      </c>
      <c r="BH436" s="190">
        <f t="shared" si="17"/>
        <v>0</v>
      </c>
      <c r="BI436" s="190">
        <f t="shared" si="18"/>
        <v>0</v>
      </c>
      <c r="BJ436" s="81" t="s">
        <v>73</v>
      </c>
      <c r="BK436" s="190">
        <f t="shared" si="19"/>
        <v>0</v>
      </c>
      <c r="BL436" s="81" t="s">
        <v>119</v>
      </c>
      <c r="BM436" s="81" t="s">
        <v>1143</v>
      </c>
    </row>
    <row r="437" spans="2:51" s="208" customFormat="1" ht="12">
      <c r="B437" s="202"/>
      <c r="D437" s="193" t="s">
        <v>121</v>
      </c>
      <c r="E437" s="204" t="s">
        <v>1</v>
      </c>
      <c r="F437" s="260" t="s">
        <v>1502</v>
      </c>
      <c r="H437" s="261">
        <v>9</v>
      </c>
      <c r="I437" s="70"/>
      <c r="L437" s="202"/>
      <c r="M437" s="209"/>
      <c r="N437" s="210"/>
      <c r="O437" s="210"/>
      <c r="P437" s="210"/>
      <c r="Q437" s="210"/>
      <c r="R437" s="210"/>
      <c r="S437" s="210"/>
      <c r="T437" s="211"/>
      <c r="AT437" s="204" t="s">
        <v>121</v>
      </c>
      <c r="AU437" s="204" t="s">
        <v>76</v>
      </c>
      <c r="AV437" s="208" t="s">
        <v>76</v>
      </c>
      <c r="AW437" s="208" t="s">
        <v>32</v>
      </c>
      <c r="AX437" s="208" t="s">
        <v>68</v>
      </c>
      <c r="AY437" s="204" t="s">
        <v>114</v>
      </c>
    </row>
    <row r="438" spans="2:51" s="228" customFormat="1" ht="12">
      <c r="B438" s="222"/>
      <c r="D438" s="193" t="s">
        <v>121</v>
      </c>
      <c r="E438" s="224" t="s">
        <v>1</v>
      </c>
      <c r="F438" s="266" t="s">
        <v>150</v>
      </c>
      <c r="H438" s="264">
        <v>9</v>
      </c>
      <c r="I438" s="72"/>
      <c r="L438" s="222"/>
      <c r="M438" s="229"/>
      <c r="N438" s="230"/>
      <c r="O438" s="230"/>
      <c r="P438" s="230"/>
      <c r="Q438" s="230"/>
      <c r="R438" s="230"/>
      <c r="S438" s="230"/>
      <c r="T438" s="231"/>
      <c r="AT438" s="224" t="s">
        <v>121</v>
      </c>
      <c r="AU438" s="224" t="s">
        <v>76</v>
      </c>
      <c r="AV438" s="228" t="s">
        <v>119</v>
      </c>
      <c r="AW438" s="228" t="s">
        <v>32</v>
      </c>
      <c r="AX438" s="228" t="s">
        <v>73</v>
      </c>
      <c r="AY438" s="224" t="s">
        <v>114</v>
      </c>
    </row>
    <row r="439" spans="2:65" s="92" customFormat="1" ht="16.5" customHeight="1">
      <c r="B439" s="90"/>
      <c r="C439" s="247" t="s">
        <v>607</v>
      </c>
      <c r="D439" s="247" t="s">
        <v>319</v>
      </c>
      <c r="E439" s="248" t="s">
        <v>477</v>
      </c>
      <c r="F439" s="253" t="s">
        <v>478</v>
      </c>
      <c r="G439" s="262" t="s">
        <v>358</v>
      </c>
      <c r="H439" s="263">
        <v>7</v>
      </c>
      <c r="I439" s="76"/>
      <c r="J439" s="252">
        <f aca="true" t="shared" si="20" ref="J439:J444">ROUND(I439*H439,2)</f>
        <v>0</v>
      </c>
      <c r="K439" s="253" t="s">
        <v>154</v>
      </c>
      <c r="L439" s="254"/>
      <c r="M439" s="255" t="s">
        <v>1</v>
      </c>
      <c r="N439" s="256" t="s">
        <v>41</v>
      </c>
      <c r="O439" s="187"/>
      <c r="P439" s="188">
        <f aca="true" t="shared" si="21" ref="P439:P444">O439*H439</f>
        <v>0</v>
      </c>
      <c r="Q439" s="188">
        <v>0.0088</v>
      </c>
      <c r="R439" s="188">
        <f aca="true" t="shared" si="22" ref="R439:R444">Q439*H439</f>
        <v>0.0616</v>
      </c>
      <c r="S439" s="188">
        <v>0</v>
      </c>
      <c r="T439" s="189">
        <f aca="true" t="shared" si="23" ref="T439:T444">S439*H439</f>
        <v>0</v>
      </c>
      <c r="AR439" s="81" t="s">
        <v>183</v>
      </c>
      <c r="AT439" s="81" t="s">
        <v>319</v>
      </c>
      <c r="AU439" s="81" t="s">
        <v>76</v>
      </c>
      <c r="AY439" s="81" t="s">
        <v>114</v>
      </c>
      <c r="BE439" s="190">
        <f aca="true" t="shared" si="24" ref="BE439:BE444">IF(N439="základní",J439,0)</f>
        <v>0</v>
      </c>
      <c r="BF439" s="190">
        <f aca="true" t="shared" si="25" ref="BF439:BF444">IF(N439="snížená",J439,0)</f>
        <v>0</v>
      </c>
      <c r="BG439" s="190">
        <f aca="true" t="shared" si="26" ref="BG439:BG444">IF(N439="zákl. přenesená",J439,0)</f>
        <v>0</v>
      </c>
      <c r="BH439" s="190">
        <f aca="true" t="shared" si="27" ref="BH439:BH444">IF(N439="sníž. přenesená",J439,0)</f>
        <v>0</v>
      </c>
      <c r="BI439" s="190">
        <f aca="true" t="shared" si="28" ref="BI439:BI444">IF(N439="nulová",J439,0)</f>
        <v>0</v>
      </c>
      <c r="BJ439" s="81" t="s">
        <v>73</v>
      </c>
      <c r="BK439" s="190">
        <f aca="true" t="shared" si="29" ref="BK439:BK444">ROUND(I439*H439,2)</f>
        <v>0</v>
      </c>
      <c r="BL439" s="81" t="s">
        <v>119</v>
      </c>
      <c r="BM439" s="81" t="s">
        <v>1144</v>
      </c>
    </row>
    <row r="440" spans="2:65" s="92" customFormat="1" ht="16.5" customHeight="1">
      <c r="B440" s="90"/>
      <c r="C440" s="247" t="s">
        <v>611</v>
      </c>
      <c r="D440" s="247" t="s">
        <v>319</v>
      </c>
      <c r="E440" s="248" t="s">
        <v>1145</v>
      </c>
      <c r="F440" s="253" t="s">
        <v>1146</v>
      </c>
      <c r="G440" s="262" t="s">
        <v>358</v>
      </c>
      <c r="H440" s="263">
        <v>2</v>
      </c>
      <c r="I440" s="76"/>
      <c r="J440" s="252">
        <f t="shared" si="20"/>
        <v>0</v>
      </c>
      <c r="K440" s="253" t="s">
        <v>154</v>
      </c>
      <c r="L440" s="254"/>
      <c r="M440" s="255" t="s">
        <v>1</v>
      </c>
      <c r="N440" s="256" t="s">
        <v>41</v>
      </c>
      <c r="O440" s="187"/>
      <c r="P440" s="188">
        <f t="shared" si="21"/>
        <v>0</v>
      </c>
      <c r="Q440" s="188">
        <v>0.0097</v>
      </c>
      <c r="R440" s="188">
        <f t="shared" si="22"/>
        <v>0.0194</v>
      </c>
      <c r="S440" s="188">
        <v>0</v>
      </c>
      <c r="T440" s="189">
        <f t="shared" si="23"/>
        <v>0</v>
      </c>
      <c r="AR440" s="81" t="s">
        <v>183</v>
      </c>
      <c r="AT440" s="81" t="s">
        <v>319</v>
      </c>
      <c r="AU440" s="81" t="s">
        <v>76</v>
      </c>
      <c r="AY440" s="81" t="s">
        <v>114</v>
      </c>
      <c r="BE440" s="190">
        <f t="shared" si="24"/>
        <v>0</v>
      </c>
      <c r="BF440" s="190">
        <f t="shared" si="25"/>
        <v>0</v>
      </c>
      <c r="BG440" s="190">
        <f t="shared" si="26"/>
        <v>0</v>
      </c>
      <c r="BH440" s="190">
        <f t="shared" si="27"/>
        <v>0</v>
      </c>
      <c r="BI440" s="190">
        <f t="shared" si="28"/>
        <v>0</v>
      </c>
      <c r="BJ440" s="81" t="s">
        <v>73</v>
      </c>
      <c r="BK440" s="190">
        <f t="shared" si="29"/>
        <v>0</v>
      </c>
      <c r="BL440" s="81" t="s">
        <v>119</v>
      </c>
      <c r="BM440" s="81" t="s">
        <v>1147</v>
      </c>
    </row>
    <row r="441" spans="2:65" s="92" customFormat="1" ht="16.5" customHeight="1">
      <c r="B441" s="90"/>
      <c r="C441" s="178" t="s">
        <v>618</v>
      </c>
      <c r="D441" s="178" t="s">
        <v>116</v>
      </c>
      <c r="E441" s="179" t="s">
        <v>1150</v>
      </c>
      <c r="F441" s="180" t="s">
        <v>1151</v>
      </c>
      <c r="G441" s="181" t="s">
        <v>358</v>
      </c>
      <c r="H441" s="182">
        <v>2</v>
      </c>
      <c r="I441" s="69"/>
      <c r="J441" s="184">
        <f t="shared" si="20"/>
        <v>0</v>
      </c>
      <c r="K441" s="180" t="s">
        <v>154</v>
      </c>
      <c r="L441" s="90"/>
      <c r="M441" s="185" t="s">
        <v>1</v>
      </c>
      <c r="N441" s="186" t="s">
        <v>41</v>
      </c>
      <c r="O441" s="187"/>
      <c r="P441" s="188">
        <f t="shared" si="21"/>
        <v>0</v>
      </c>
      <c r="Q441" s="188">
        <v>0</v>
      </c>
      <c r="R441" s="188">
        <f t="shared" si="22"/>
        <v>0</v>
      </c>
      <c r="S441" s="188">
        <v>0</v>
      </c>
      <c r="T441" s="189">
        <f t="shared" si="23"/>
        <v>0</v>
      </c>
      <c r="AR441" s="81" t="s">
        <v>119</v>
      </c>
      <c r="AT441" s="81" t="s">
        <v>116</v>
      </c>
      <c r="AU441" s="81" t="s">
        <v>76</v>
      </c>
      <c r="AY441" s="81" t="s">
        <v>114</v>
      </c>
      <c r="BE441" s="190">
        <f t="shared" si="24"/>
        <v>0</v>
      </c>
      <c r="BF441" s="190">
        <f t="shared" si="25"/>
        <v>0</v>
      </c>
      <c r="BG441" s="190">
        <f t="shared" si="26"/>
        <v>0</v>
      </c>
      <c r="BH441" s="190">
        <f t="shared" si="27"/>
        <v>0</v>
      </c>
      <c r="BI441" s="190">
        <f t="shared" si="28"/>
        <v>0</v>
      </c>
      <c r="BJ441" s="81" t="s">
        <v>73</v>
      </c>
      <c r="BK441" s="190">
        <f t="shared" si="29"/>
        <v>0</v>
      </c>
      <c r="BL441" s="81" t="s">
        <v>119</v>
      </c>
      <c r="BM441" s="81" t="s">
        <v>1152</v>
      </c>
    </row>
    <row r="442" spans="2:65" s="92" customFormat="1" ht="16.5" customHeight="1">
      <c r="B442" s="90"/>
      <c r="C442" s="247" t="s">
        <v>622</v>
      </c>
      <c r="D442" s="247" t="s">
        <v>319</v>
      </c>
      <c r="E442" s="248" t="s">
        <v>1153</v>
      </c>
      <c r="F442" s="253" t="s">
        <v>1154</v>
      </c>
      <c r="G442" s="262" t="s">
        <v>358</v>
      </c>
      <c r="H442" s="263">
        <v>1</v>
      </c>
      <c r="I442" s="76"/>
      <c r="J442" s="252">
        <f t="shared" si="20"/>
        <v>0</v>
      </c>
      <c r="K442" s="253" t="s">
        <v>154</v>
      </c>
      <c r="L442" s="254"/>
      <c r="M442" s="255" t="s">
        <v>1</v>
      </c>
      <c r="N442" s="256" t="s">
        <v>41</v>
      </c>
      <c r="O442" s="187"/>
      <c r="P442" s="188">
        <f t="shared" si="21"/>
        <v>0</v>
      </c>
      <c r="Q442" s="188">
        <v>0.0132</v>
      </c>
      <c r="R442" s="188">
        <f t="shared" si="22"/>
        <v>0.0132</v>
      </c>
      <c r="S442" s="188">
        <v>0</v>
      </c>
      <c r="T442" s="189">
        <f t="shared" si="23"/>
        <v>0</v>
      </c>
      <c r="AR442" s="81" t="s">
        <v>183</v>
      </c>
      <c r="AT442" s="81" t="s">
        <v>319</v>
      </c>
      <c r="AU442" s="81" t="s">
        <v>76</v>
      </c>
      <c r="AY442" s="81" t="s">
        <v>114</v>
      </c>
      <c r="BE442" s="190">
        <f t="shared" si="24"/>
        <v>0</v>
      </c>
      <c r="BF442" s="190">
        <f t="shared" si="25"/>
        <v>0</v>
      </c>
      <c r="BG442" s="190">
        <f t="shared" si="26"/>
        <v>0</v>
      </c>
      <c r="BH442" s="190">
        <f t="shared" si="27"/>
        <v>0</v>
      </c>
      <c r="BI442" s="190">
        <f t="shared" si="28"/>
        <v>0</v>
      </c>
      <c r="BJ442" s="81" t="s">
        <v>73</v>
      </c>
      <c r="BK442" s="190">
        <f t="shared" si="29"/>
        <v>0</v>
      </c>
      <c r="BL442" s="81" t="s">
        <v>119</v>
      </c>
      <c r="BM442" s="81" t="s">
        <v>1155</v>
      </c>
    </row>
    <row r="443" spans="2:65" s="92" customFormat="1" ht="16.5" customHeight="1">
      <c r="B443" s="90"/>
      <c r="C443" s="247" t="s">
        <v>626</v>
      </c>
      <c r="D443" s="247" t="s">
        <v>319</v>
      </c>
      <c r="E443" s="248" t="s">
        <v>1156</v>
      </c>
      <c r="F443" s="253" t="s">
        <v>1157</v>
      </c>
      <c r="G443" s="262" t="s">
        <v>358</v>
      </c>
      <c r="H443" s="263">
        <v>1</v>
      </c>
      <c r="I443" s="76"/>
      <c r="J443" s="252">
        <f t="shared" si="20"/>
        <v>0</v>
      </c>
      <c r="K443" s="253" t="s">
        <v>154</v>
      </c>
      <c r="L443" s="254"/>
      <c r="M443" s="255" t="s">
        <v>1</v>
      </c>
      <c r="N443" s="256" t="s">
        <v>41</v>
      </c>
      <c r="O443" s="187"/>
      <c r="P443" s="188">
        <f t="shared" si="21"/>
        <v>0</v>
      </c>
      <c r="Q443" s="188">
        <v>0.0132</v>
      </c>
      <c r="R443" s="188">
        <f t="shared" si="22"/>
        <v>0.0132</v>
      </c>
      <c r="S443" s="188">
        <v>0</v>
      </c>
      <c r="T443" s="189">
        <f t="shared" si="23"/>
        <v>0</v>
      </c>
      <c r="AR443" s="81" t="s">
        <v>183</v>
      </c>
      <c r="AT443" s="81" t="s">
        <v>319</v>
      </c>
      <c r="AU443" s="81" t="s">
        <v>76</v>
      </c>
      <c r="AY443" s="81" t="s">
        <v>114</v>
      </c>
      <c r="BE443" s="190">
        <f t="shared" si="24"/>
        <v>0</v>
      </c>
      <c r="BF443" s="190">
        <f t="shared" si="25"/>
        <v>0</v>
      </c>
      <c r="BG443" s="190">
        <f t="shared" si="26"/>
        <v>0</v>
      </c>
      <c r="BH443" s="190">
        <f t="shared" si="27"/>
        <v>0</v>
      </c>
      <c r="BI443" s="190">
        <f t="shared" si="28"/>
        <v>0</v>
      </c>
      <c r="BJ443" s="81" t="s">
        <v>73</v>
      </c>
      <c r="BK443" s="190">
        <f t="shared" si="29"/>
        <v>0</v>
      </c>
      <c r="BL443" s="81" t="s">
        <v>119</v>
      </c>
      <c r="BM443" s="81" t="s">
        <v>1158</v>
      </c>
    </row>
    <row r="444" spans="2:65" s="92" customFormat="1" ht="16.5" customHeight="1">
      <c r="B444" s="90"/>
      <c r="C444" s="178" t="s">
        <v>630</v>
      </c>
      <c r="D444" s="178" t="s">
        <v>116</v>
      </c>
      <c r="E444" s="179" t="s">
        <v>1159</v>
      </c>
      <c r="F444" s="180" t="s">
        <v>1160</v>
      </c>
      <c r="G444" s="181" t="s">
        <v>358</v>
      </c>
      <c r="H444" s="182">
        <v>2</v>
      </c>
      <c r="I444" s="69"/>
      <c r="J444" s="184">
        <f t="shared" si="20"/>
        <v>0</v>
      </c>
      <c r="K444" s="180" t="s">
        <v>154</v>
      </c>
      <c r="L444" s="90"/>
      <c r="M444" s="185" t="s">
        <v>1</v>
      </c>
      <c r="N444" s="186" t="s">
        <v>41</v>
      </c>
      <c r="O444" s="187"/>
      <c r="P444" s="188">
        <f t="shared" si="21"/>
        <v>0</v>
      </c>
      <c r="Q444" s="188">
        <v>0.00171</v>
      </c>
      <c r="R444" s="188">
        <f t="shared" si="22"/>
        <v>0.00342</v>
      </c>
      <c r="S444" s="188">
        <v>0</v>
      </c>
      <c r="T444" s="189">
        <f t="shared" si="23"/>
        <v>0</v>
      </c>
      <c r="AR444" s="81" t="s">
        <v>119</v>
      </c>
      <c r="AT444" s="81" t="s">
        <v>116</v>
      </c>
      <c r="AU444" s="81" t="s">
        <v>76</v>
      </c>
      <c r="AY444" s="81" t="s">
        <v>114</v>
      </c>
      <c r="BE444" s="190">
        <f t="shared" si="24"/>
        <v>0</v>
      </c>
      <c r="BF444" s="190">
        <f t="shared" si="25"/>
        <v>0</v>
      </c>
      <c r="BG444" s="190">
        <f t="shared" si="26"/>
        <v>0</v>
      </c>
      <c r="BH444" s="190">
        <f t="shared" si="27"/>
        <v>0</v>
      </c>
      <c r="BI444" s="190">
        <f t="shared" si="28"/>
        <v>0</v>
      </c>
      <c r="BJ444" s="81" t="s">
        <v>73</v>
      </c>
      <c r="BK444" s="190">
        <f t="shared" si="29"/>
        <v>0</v>
      </c>
      <c r="BL444" s="81" t="s">
        <v>119</v>
      </c>
      <c r="BM444" s="81" t="s">
        <v>1161</v>
      </c>
    </row>
    <row r="445" spans="2:51" s="208" customFormat="1" ht="12">
      <c r="B445" s="202"/>
      <c r="D445" s="193" t="s">
        <v>121</v>
      </c>
      <c r="E445" s="204" t="s">
        <v>1</v>
      </c>
      <c r="F445" s="260">
        <v>2</v>
      </c>
      <c r="H445" s="261">
        <v>2</v>
      </c>
      <c r="I445" s="70"/>
      <c r="L445" s="202"/>
      <c r="M445" s="209"/>
      <c r="N445" s="210"/>
      <c r="O445" s="210"/>
      <c r="P445" s="210"/>
      <c r="Q445" s="210"/>
      <c r="R445" s="210"/>
      <c r="S445" s="210"/>
      <c r="T445" s="211"/>
      <c r="AT445" s="204" t="s">
        <v>121</v>
      </c>
      <c r="AU445" s="204" t="s">
        <v>76</v>
      </c>
      <c r="AV445" s="208" t="s">
        <v>76</v>
      </c>
      <c r="AW445" s="208" t="s">
        <v>32</v>
      </c>
      <c r="AX445" s="208" t="s">
        <v>68</v>
      </c>
      <c r="AY445" s="204" t="s">
        <v>114</v>
      </c>
    </row>
    <row r="446" spans="2:51" s="228" customFormat="1" ht="12">
      <c r="B446" s="222"/>
      <c r="D446" s="193" t="s">
        <v>121</v>
      </c>
      <c r="E446" s="224" t="s">
        <v>1</v>
      </c>
      <c r="F446" s="266" t="s">
        <v>150</v>
      </c>
      <c r="H446" s="264">
        <v>2</v>
      </c>
      <c r="I446" s="72"/>
      <c r="L446" s="222"/>
      <c r="M446" s="229"/>
      <c r="N446" s="230"/>
      <c r="O446" s="230"/>
      <c r="P446" s="230"/>
      <c r="Q446" s="230"/>
      <c r="R446" s="230"/>
      <c r="S446" s="230"/>
      <c r="T446" s="231"/>
      <c r="AT446" s="224" t="s">
        <v>121</v>
      </c>
      <c r="AU446" s="224" t="s">
        <v>76</v>
      </c>
      <c r="AV446" s="228" t="s">
        <v>119</v>
      </c>
      <c r="AW446" s="228" t="s">
        <v>32</v>
      </c>
      <c r="AX446" s="228" t="s">
        <v>73</v>
      </c>
      <c r="AY446" s="224" t="s">
        <v>114</v>
      </c>
    </row>
    <row r="447" spans="2:65" s="92" customFormat="1" ht="16.5" customHeight="1">
      <c r="B447" s="90"/>
      <c r="C447" s="247" t="s">
        <v>639</v>
      </c>
      <c r="D447" s="247" t="s">
        <v>319</v>
      </c>
      <c r="E447" s="248" t="s">
        <v>450</v>
      </c>
      <c r="F447" s="253" t="s">
        <v>451</v>
      </c>
      <c r="G447" s="262" t="s">
        <v>358</v>
      </c>
      <c r="H447" s="263">
        <v>2</v>
      </c>
      <c r="I447" s="76"/>
      <c r="J447" s="252">
        <f>ROUND(I447*H447,2)</f>
        <v>0</v>
      </c>
      <c r="K447" s="253" t="s">
        <v>154</v>
      </c>
      <c r="L447" s="254"/>
      <c r="M447" s="255" t="s">
        <v>1</v>
      </c>
      <c r="N447" s="256" t="s">
        <v>41</v>
      </c>
      <c r="O447" s="187"/>
      <c r="P447" s="188">
        <f>O447*H447</f>
        <v>0</v>
      </c>
      <c r="Q447" s="188">
        <v>0.0178</v>
      </c>
      <c r="R447" s="188">
        <f>Q447*H447</f>
        <v>0.0356</v>
      </c>
      <c r="S447" s="188">
        <v>0</v>
      </c>
      <c r="T447" s="189">
        <f>S447*H447</f>
        <v>0</v>
      </c>
      <c r="AR447" s="81" t="s">
        <v>183</v>
      </c>
      <c r="AT447" s="81" t="s">
        <v>319</v>
      </c>
      <c r="AU447" s="81" t="s">
        <v>76</v>
      </c>
      <c r="AY447" s="81" t="s">
        <v>114</v>
      </c>
      <c r="BE447" s="190">
        <f>IF(N447="základní",J447,0)</f>
        <v>0</v>
      </c>
      <c r="BF447" s="190">
        <f>IF(N447="snížená",J447,0)</f>
        <v>0</v>
      </c>
      <c r="BG447" s="190">
        <f>IF(N447="zákl. přenesená",J447,0)</f>
        <v>0</v>
      </c>
      <c r="BH447" s="190">
        <f>IF(N447="sníž. přenesená",J447,0)</f>
        <v>0</v>
      </c>
      <c r="BI447" s="190">
        <f>IF(N447="nulová",J447,0)</f>
        <v>0</v>
      </c>
      <c r="BJ447" s="81" t="s">
        <v>73</v>
      </c>
      <c r="BK447" s="190">
        <f>ROUND(I447*H447,2)</f>
        <v>0</v>
      </c>
      <c r="BL447" s="81" t="s">
        <v>119</v>
      </c>
      <c r="BM447" s="81" t="s">
        <v>1165</v>
      </c>
    </row>
    <row r="448" spans="2:65" s="92" customFormat="1" ht="16.5" customHeight="1">
      <c r="B448" s="90"/>
      <c r="C448" s="178" t="s">
        <v>737</v>
      </c>
      <c r="D448" s="178" t="s">
        <v>116</v>
      </c>
      <c r="E448" s="179" t="s">
        <v>481</v>
      </c>
      <c r="F448" s="180" t="s">
        <v>482</v>
      </c>
      <c r="G448" s="181" t="s">
        <v>176</v>
      </c>
      <c r="H448" s="182">
        <v>72.5</v>
      </c>
      <c r="I448" s="69"/>
      <c r="J448" s="184">
        <f>ROUND(I448*H448,2)</f>
        <v>0</v>
      </c>
      <c r="K448" s="180" t="s">
        <v>154</v>
      </c>
      <c r="L448" s="90"/>
      <c r="M448" s="185" t="s">
        <v>1</v>
      </c>
      <c r="N448" s="186" t="s">
        <v>41</v>
      </c>
      <c r="O448" s="187"/>
      <c r="P448" s="188">
        <f>O448*H448</f>
        <v>0</v>
      </c>
      <c r="Q448" s="188">
        <v>0</v>
      </c>
      <c r="R448" s="188">
        <f>Q448*H448</f>
        <v>0</v>
      </c>
      <c r="S448" s="188">
        <v>0</v>
      </c>
      <c r="T448" s="189">
        <f>S448*H448</f>
        <v>0</v>
      </c>
      <c r="AR448" s="81" t="s">
        <v>119</v>
      </c>
      <c r="AT448" s="81" t="s">
        <v>116</v>
      </c>
      <c r="AU448" s="81" t="s">
        <v>76</v>
      </c>
      <c r="AY448" s="81" t="s">
        <v>114</v>
      </c>
      <c r="BE448" s="190">
        <f>IF(N448="základní",J448,0)</f>
        <v>0</v>
      </c>
      <c r="BF448" s="190">
        <f>IF(N448="snížená",J448,0)</f>
        <v>0</v>
      </c>
      <c r="BG448" s="190">
        <f>IF(N448="zákl. přenesená",J448,0)</f>
        <v>0</v>
      </c>
      <c r="BH448" s="190">
        <f>IF(N448="sníž. přenesená",J448,0)</f>
        <v>0</v>
      </c>
      <c r="BI448" s="190">
        <f>IF(N448="nulová",J448,0)</f>
        <v>0</v>
      </c>
      <c r="BJ448" s="81" t="s">
        <v>73</v>
      </c>
      <c r="BK448" s="190">
        <f>ROUND(I448*H448,2)</f>
        <v>0</v>
      </c>
      <c r="BL448" s="81" t="s">
        <v>119</v>
      </c>
      <c r="BM448" s="81" t="s">
        <v>1217</v>
      </c>
    </row>
    <row r="449" spans="2:65" s="92" customFormat="1" ht="16.5" customHeight="1">
      <c r="B449" s="90"/>
      <c r="C449" s="247" t="s">
        <v>741</v>
      </c>
      <c r="D449" s="247" t="s">
        <v>319</v>
      </c>
      <c r="E449" s="248" t="s">
        <v>485</v>
      </c>
      <c r="F449" s="253" t="s">
        <v>486</v>
      </c>
      <c r="G449" s="262" t="s">
        <v>176</v>
      </c>
      <c r="H449" s="263">
        <v>73.588</v>
      </c>
      <c r="I449" s="76"/>
      <c r="J449" s="252">
        <f>ROUND(I449*H449,2)</f>
        <v>0</v>
      </c>
      <c r="K449" s="253" t="s">
        <v>154</v>
      </c>
      <c r="L449" s="254"/>
      <c r="M449" s="255" t="s">
        <v>1</v>
      </c>
      <c r="N449" s="256" t="s">
        <v>41</v>
      </c>
      <c r="O449" s="187"/>
      <c r="P449" s="188">
        <f>O449*H449</f>
        <v>0</v>
      </c>
      <c r="Q449" s="188">
        <v>0.00067</v>
      </c>
      <c r="R449" s="188">
        <f>Q449*H449</f>
        <v>0.04930396</v>
      </c>
      <c r="S449" s="188">
        <v>0</v>
      </c>
      <c r="T449" s="189">
        <f>S449*H449</f>
        <v>0</v>
      </c>
      <c r="AR449" s="81" t="s">
        <v>183</v>
      </c>
      <c r="AT449" s="81" t="s">
        <v>319</v>
      </c>
      <c r="AU449" s="81" t="s">
        <v>76</v>
      </c>
      <c r="AY449" s="81" t="s">
        <v>114</v>
      </c>
      <c r="BE449" s="190">
        <f>IF(N449="základní",J449,0)</f>
        <v>0</v>
      </c>
      <c r="BF449" s="190">
        <f>IF(N449="snížená",J449,0)</f>
        <v>0</v>
      </c>
      <c r="BG449" s="190">
        <f>IF(N449="zákl. přenesená",J449,0)</f>
        <v>0</v>
      </c>
      <c r="BH449" s="190">
        <f>IF(N449="sníž. přenesená",J449,0)</f>
        <v>0</v>
      </c>
      <c r="BI449" s="190">
        <f>IF(N449="nulová",J449,0)</f>
        <v>0</v>
      </c>
      <c r="BJ449" s="81" t="s">
        <v>73</v>
      </c>
      <c r="BK449" s="190">
        <f>ROUND(I449*H449,2)</f>
        <v>0</v>
      </c>
      <c r="BL449" s="81" t="s">
        <v>119</v>
      </c>
      <c r="BM449" s="81" t="s">
        <v>1218</v>
      </c>
    </row>
    <row r="450" spans="2:51" s="208" customFormat="1" ht="12">
      <c r="B450" s="202"/>
      <c r="D450" s="193" t="s">
        <v>121</v>
      </c>
      <c r="F450" s="260" t="s">
        <v>1219</v>
      </c>
      <c r="H450" s="261">
        <v>73.588</v>
      </c>
      <c r="I450" s="70"/>
      <c r="L450" s="202"/>
      <c r="M450" s="209"/>
      <c r="N450" s="210"/>
      <c r="O450" s="210"/>
      <c r="P450" s="210"/>
      <c r="Q450" s="210"/>
      <c r="R450" s="210"/>
      <c r="S450" s="210"/>
      <c r="T450" s="211"/>
      <c r="AT450" s="204" t="s">
        <v>121</v>
      </c>
      <c r="AU450" s="204" t="s">
        <v>76</v>
      </c>
      <c r="AV450" s="208" t="s">
        <v>76</v>
      </c>
      <c r="AW450" s="208" t="s">
        <v>3</v>
      </c>
      <c r="AX450" s="208" t="s">
        <v>73</v>
      </c>
      <c r="AY450" s="204" t="s">
        <v>114</v>
      </c>
    </row>
    <row r="451" spans="2:65" s="92" customFormat="1" ht="16.5" customHeight="1">
      <c r="B451" s="90"/>
      <c r="C451" s="178" t="s">
        <v>756</v>
      </c>
      <c r="D451" s="178" t="s">
        <v>116</v>
      </c>
      <c r="E451" s="179" t="s">
        <v>494</v>
      </c>
      <c r="F451" s="180" t="s">
        <v>495</v>
      </c>
      <c r="G451" s="181" t="s">
        <v>358</v>
      </c>
      <c r="H451" s="182">
        <v>27</v>
      </c>
      <c r="I451" s="69"/>
      <c r="J451" s="184">
        <f aca="true" t="shared" si="30" ref="J451:J472">ROUND(I451*H451,2)</f>
        <v>0</v>
      </c>
      <c r="K451" s="180" t="s">
        <v>154</v>
      </c>
      <c r="L451" s="90"/>
      <c r="M451" s="185" t="s">
        <v>1</v>
      </c>
      <c r="N451" s="186" t="s">
        <v>41</v>
      </c>
      <c r="O451" s="187"/>
      <c r="P451" s="188">
        <f aca="true" t="shared" si="31" ref="P451:P472">O451*H451</f>
        <v>0</v>
      </c>
      <c r="Q451" s="188">
        <v>0.00072</v>
      </c>
      <c r="R451" s="188">
        <f aca="true" t="shared" si="32" ref="R451:R472">Q451*H451</f>
        <v>0.019440000000000002</v>
      </c>
      <c r="S451" s="188">
        <v>0</v>
      </c>
      <c r="T451" s="189">
        <f aca="true" t="shared" si="33" ref="T451:T472">S451*H451</f>
        <v>0</v>
      </c>
      <c r="AR451" s="81" t="s">
        <v>119</v>
      </c>
      <c r="AT451" s="81" t="s">
        <v>116</v>
      </c>
      <c r="AU451" s="81" t="s">
        <v>76</v>
      </c>
      <c r="AY451" s="81" t="s">
        <v>114</v>
      </c>
      <c r="BE451" s="190">
        <f aca="true" t="shared" si="34" ref="BE451:BE472">IF(N451="základní",J451,0)</f>
        <v>0</v>
      </c>
      <c r="BF451" s="190">
        <f aca="true" t="shared" si="35" ref="BF451:BF472">IF(N451="snížená",J451,0)</f>
        <v>0</v>
      </c>
      <c r="BG451" s="190">
        <f aca="true" t="shared" si="36" ref="BG451:BG472">IF(N451="zákl. přenesená",J451,0)</f>
        <v>0</v>
      </c>
      <c r="BH451" s="190">
        <f aca="true" t="shared" si="37" ref="BH451:BH472">IF(N451="sníž. přenesená",J451,0)</f>
        <v>0</v>
      </c>
      <c r="BI451" s="190">
        <f aca="true" t="shared" si="38" ref="BI451:BI472">IF(N451="nulová",J451,0)</f>
        <v>0</v>
      </c>
      <c r="BJ451" s="81" t="s">
        <v>73</v>
      </c>
      <c r="BK451" s="190">
        <f aca="true" t="shared" si="39" ref="BK451:BK472">ROUND(I451*H451,2)</f>
        <v>0</v>
      </c>
      <c r="BL451" s="81" t="s">
        <v>119</v>
      </c>
      <c r="BM451" s="81" t="s">
        <v>1228</v>
      </c>
    </row>
    <row r="452" spans="2:65" s="92" customFormat="1" ht="16.5" customHeight="1">
      <c r="B452" s="90"/>
      <c r="C452" s="247" t="s">
        <v>760</v>
      </c>
      <c r="D452" s="247" t="s">
        <v>319</v>
      </c>
      <c r="E452" s="248" t="s">
        <v>498</v>
      </c>
      <c r="F452" s="267" t="s">
        <v>499</v>
      </c>
      <c r="G452" s="262" t="s">
        <v>358</v>
      </c>
      <c r="H452" s="263">
        <v>27</v>
      </c>
      <c r="I452" s="76"/>
      <c r="J452" s="252">
        <f t="shared" si="30"/>
        <v>0</v>
      </c>
      <c r="K452" s="253" t="s">
        <v>1</v>
      </c>
      <c r="L452" s="254"/>
      <c r="M452" s="255" t="s">
        <v>1</v>
      </c>
      <c r="N452" s="256" t="s">
        <v>41</v>
      </c>
      <c r="O452" s="187"/>
      <c r="P452" s="188">
        <f t="shared" si="31"/>
        <v>0</v>
      </c>
      <c r="Q452" s="188">
        <v>0.011</v>
      </c>
      <c r="R452" s="188">
        <f t="shared" si="32"/>
        <v>0.297</v>
      </c>
      <c r="S452" s="188">
        <v>0</v>
      </c>
      <c r="T452" s="189">
        <f t="shared" si="33"/>
        <v>0</v>
      </c>
      <c r="AR452" s="81" t="s">
        <v>183</v>
      </c>
      <c r="AT452" s="81" t="s">
        <v>319</v>
      </c>
      <c r="AU452" s="81" t="s">
        <v>76</v>
      </c>
      <c r="AY452" s="81" t="s">
        <v>114</v>
      </c>
      <c r="BE452" s="190">
        <f t="shared" si="34"/>
        <v>0</v>
      </c>
      <c r="BF452" s="190">
        <f t="shared" si="35"/>
        <v>0</v>
      </c>
      <c r="BG452" s="190">
        <f t="shared" si="36"/>
        <v>0</v>
      </c>
      <c r="BH452" s="190">
        <f t="shared" si="37"/>
        <v>0</v>
      </c>
      <c r="BI452" s="190">
        <f t="shared" si="38"/>
        <v>0</v>
      </c>
      <c r="BJ452" s="81" t="s">
        <v>73</v>
      </c>
      <c r="BK452" s="190">
        <f t="shared" si="39"/>
        <v>0</v>
      </c>
      <c r="BL452" s="81" t="s">
        <v>119</v>
      </c>
      <c r="BM452" s="81" t="s">
        <v>1229</v>
      </c>
    </row>
    <row r="453" spans="2:65" s="92" customFormat="1" ht="16.5" customHeight="1">
      <c r="B453" s="90"/>
      <c r="C453" s="247" t="s">
        <v>766</v>
      </c>
      <c r="D453" s="247" t="s">
        <v>319</v>
      </c>
      <c r="E453" s="248" t="s">
        <v>502</v>
      </c>
      <c r="F453" s="267" t="s">
        <v>503</v>
      </c>
      <c r="G453" s="262" t="s">
        <v>358</v>
      </c>
      <c r="H453" s="263">
        <v>27</v>
      </c>
      <c r="I453" s="76"/>
      <c r="J453" s="252">
        <f t="shared" si="30"/>
        <v>0</v>
      </c>
      <c r="K453" s="253" t="s">
        <v>1</v>
      </c>
      <c r="L453" s="254"/>
      <c r="M453" s="255" t="s">
        <v>1</v>
      </c>
      <c r="N453" s="256" t="s">
        <v>41</v>
      </c>
      <c r="O453" s="187"/>
      <c r="P453" s="188">
        <f t="shared" si="31"/>
        <v>0</v>
      </c>
      <c r="Q453" s="188">
        <v>0.005</v>
      </c>
      <c r="R453" s="188">
        <f t="shared" si="32"/>
        <v>0.135</v>
      </c>
      <c r="S453" s="188">
        <v>0</v>
      </c>
      <c r="T453" s="189">
        <f t="shared" si="33"/>
        <v>0</v>
      </c>
      <c r="AR453" s="81" t="s">
        <v>183</v>
      </c>
      <c r="AT453" s="81" t="s">
        <v>319</v>
      </c>
      <c r="AU453" s="81" t="s">
        <v>76</v>
      </c>
      <c r="AY453" s="81" t="s">
        <v>114</v>
      </c>
      <c r="BE453" s="190">
        <f t="shared" si="34"/>
        <v>0</v>
      </c>
      <c r="BF453" s="190">
        <f t="shared" si="35"/>
        <v>0</v>
      </c>
      <c r="BG453" s="190">
        <f t="shared" si="36"/>
        <v>0</v>
      </c>
      <c r="BH453" s="190">
        <f t="shared" si="37"/>
        <v>0</v>
      </c>
      <c r="BI453" s="190">
        <f t="shared" si="38"/>
        <v>0</v>
      </c>
      <c r="BJ453" s="81" t="s">
        <v>73</v>
      </c>
      <c r="BK453" s="190">
        <f t="shared" si="39"/>
        <v>0</v>
      </c>
      <c r="BL453" s="81" t="s">
        <v>119</v>
      </c>
      <c r="BM453" s="81" t="s">
        <v>1230</v>
      </c>
    </row>
    <row r="454" spans="2:65" s="92" customFormat="1" ht="16.5" customHeight="1">
      <c r="B454" s="90"/>
      <c r="C454" s="178" t="s">
        <v>770</v>
      </c>
      <c r="D454" s="178" t="s">
        <v>116</v>
      </c>
      <c r="E454" s="179" t="s">
        <v>505</v>
      </c>
      <c r="F454" s="180" t="s">
        <v>506</v>
      </c>
      <c r="G454" s="181" t="s">
        <v>358</v>
      </c>
      <c r="H454" s="182">
        <v>5</v>
      </c>
      <c r="I454" s="69"/>
      <c r="J454" s="184">
        <f t="shared" si="30"/>
        <v>0</v>
      </c>
      <c r="K454" s="180" t="s">
        <v>154</v>
      </c>
      <c r="L454" s="90"/>
      <c r="M454" s="185" t="s">
        <v>1</v>
      </c>
      <c r="N454" s="186" t="s">
        <v>41</v>
      </c>
      <c r="O454" s="187"/>
      <c r="P454" s="188">
        <f t="shared" si="31"/>
        <v>0</v>
      </c>
      <c r="Q454" s="188">
        <v>0.00162</v>
      </c>
      <c r="R454" s="188">
        <f t="shared" si="32"/>
        <v>0.0081</v>
      </c>
      <c r="S454" s="188">
        <v>0</v>
      </c>
      <c r="T454" s="189">
        <f t="shared" si="33"/>
        <v>0</v>
      </c>
      <c r="AR454" s="81" t="s">
        <v>119</v>
      </c>
      <c r="AT454" s="81" t="s">
        <v>116</v>
      </c>
      <c r="AU454" s="81" t="s">
        <v>76</v>
      </c>
      <c r="AY454" s="81" t="s">
        <v>114</v>
      </c>
      <c r="BE454" s="190">
        <f t="shared" si="34"/>
        <v>0</v>
      </c>
      <c r="BF454" s="190">
        <f t="shared" si="35"/>
        <v>0</v>
      </c>
      <c r="BG454" s="190">
        <f t="shared" si="36"/>
        <v>0</v>
      </c>
      <c r="BH454" s="190">
        <f t="shared" si="37"/>
        <v>0</v>
      </c>
      <c r="BI454" s="190">
        <f t="shared" si="38"/>
        <v>0</v>
      </c>
      <c r="BJ454" s="81" t="s">
        <v>73</v>
      </c>
      <c r="BK454" s="190">
        <f t="shared" si="39"/>
        <v>0</v>
      </c>
      <c r="BL454" s="81" t="s">
        <v>119</v>
      </c>
      <c r="BM454" s="81" t="s">
        <v>1231</v>
      </c>
    </row>
    <row r="455" spans="2:65" s="92" customFormat="1" ht="16.5" customHeight="1">
      <c r="B455" s="90"/>
      <c r="C455" s="247" t="s">
        <v>776</v>
      </c>
      <c r="D455" s="247" t="s">
        <v>319</v>
      </c>
      <c r="E455" s="248" t="s">
        <v>509</v>
      </c>
      <c r="F455" s="267" t="s">
        <v>510</v>
      </c>
      <c r="G455" s="262" t="s">
        <v>358</v>
      </c>
      <c r="H455" s="263">
        <v>5</v>
      </c>
      <c r="I455" s="76"/>
      <c r="J455" s="252">
        <f t="shared" si="30"/>
        <v>0</v>
      </c>
      <c r="K455" s="253" t="s">
        <v>154</v>
      </c>
      <c r="L455" s="254"/>
      <c r="M455" s="255" t="s">
        <v>1</v>
      </c>
      <c r="N455" s="256" t="s">
        <v>41</v>
      </c>
      <c r="O455" s="187"/>
      <c r="P455" s="188">
        <f t="shared" si="31"/>
        <v>0</v>
      </c>
      <c r="Q455" s="188">
        <v>0.018</v>
      </c>
      <c r="R455" s="188">
        <f t="shared" si="32"/>
        <v>0.09</v>
      </c>
      <c r="S455" s="188">
        <v>0</v>
      </c>
      <c r="T455" s="189">
        <f t="shared" si="33"/>
        <v>0</v>
      </c>
      <c r="AR455" s="81" t="s">
        <v>183</v>
      </c>
      <c r="AT455" s="81" t="s">
        <v>319</v>
      </c>
      <c r="AU455" s="81" t="s">
        <v>76</v>
      </c>
      <c r="AY455" s="81" t="s">
        <v>114</v>
      </c>
      <c r="BE455" s="190">
        <f t="shared" si="34"/>
        <v>0</v>
      </c>
      <c r="BF455" s="190">
        <f t="shared" si="35"/>
        <v>0</v>
      </c>
      <c r="BG455" s="190">
        <f t="shared" si="36"/>
        <v>0</v>
      </c>
      <c r="BH455" s="190">
        <f t="shared" si="37"/>
        <v>0</v>
      </c>
      <c r="BI455" s="190">
        <f t="shared" si="38"/>
        <v>0</v>
      </c>
      <c r="BJ455" s="81" t="s">
        <v>73</v>
      </c>
      <c r="BK455" s="190">
        <f t="shared" si="39"/>
        <v>0</v>
      </c>
      <c r="BL455" s="81" t="s">
        <v>119</v>
      </c>
      <c r="BM455" s="81" t="s">
        <v>1232</v>
      </c>
    </row>
    <row r="456" spans="2:65" s="92" customFormat="1" ht="16.5" customHeight="1">
      <c r="B456" s="90"/>
      <c r="C456" s="247" t="s">
        <v>780</v>
      </c>
      <c r="D456" s="247" t="s">
        <v>319</v>
      </c>
      <c r="E456" s="248" t="s">
        <v>513</v>
      </c>
      <c r="F456" s="267" t="s">
        <v>514</v>
      </c>
      <c r="G456" s="262" t="s">
        <v>358</v>
      </c>
      <c r="H456" s="263">
        <v>5</v>
      </c>
      <c r="I456" s="76"/>
      <c r="J456" s="252">
        <f t="shared" si="30"/>
        <v>0</v>
      </c>
      <c r="K456" s="253" t="s">
        <v>1</v>
      </c>
      <c r="L456" s="254"/>
      <c r="M456" s="255" t="s">
        <v>1</v>
      </c>
      <c r="N456" s="256" t="s">
        <v>41</v>
      </c>
      <c r="O456" s="187"/>
      <c r="P456" s="188">
        <f t="shared" si="31"/>
        <v>0</v>
      </c>
      <c r="Q456" s="188">
        <v>0.0035</v>
      </c>
      <c r="R456" s="188">
        <f t="shared" si="32"/>
        <v>0.0175</v>
      </c>
      <c r="S456" s="188">
        <v>0</v>
      </c>
      <c r="T456" s="189">
        <f t="shared" si="33"/>
        <v>0</v>
      </c>
      <c r="AR456" s="81" t="s">
        <v>183</v>
      </c>
      <c r="AT456" s="81" t="s">
        <v>319</v>
      </c>
      <c r="AU456" s="81" t="s">
        <v>76</v>
      </c>
      <c r="AY456" s="81" t="s">
        <v>114</v>
      </c>
      <c r="BE456" s="190">
        <f t="shared" si="34"/>
        <v>0</v>
      </c>
      <c r="BF456" s="190">
        <f t="shared" si="35"/>
        <v>0</v>
      </c>
      <c r="BG456" s="190">
        <f t="shared" si="36"/>
        <v>0</v>
      </c>
      <c r="BH456" s="190">
        <f t="shared" si="37"/>
        <v>0</v>
      </c>
      <c r="BI456" s="190">
        <f t="shared" si="38"/>
        <v>0</v>
      </c>
      <c r="BJ456" s="81" t="s">
        <v>73</v>
      </c>
      <c r="BK456" s="190">
        <f t="shared" si="39"/>
        <v>0</v>
      </c>
      <c r="BL456" s="81" t="s">
        <v>119</v>
      </c>
      <c r="BM456" s="81" t="s">
        <v>1233</v>
      </c>
    </row>
    <row r="457" spans="2:65" s="92" customFormat="1" ht="16.5" customHeight="1">
      <c r="B457" s="90"/>
      <c r="C457" s="178" t="s">
        <v>785</v>
      </c>
      <c r="D457" s="178" t="s">
        <v>116</v>
      </c>
      <c r="E457" s="179" t="s">
        <v>525</v>
      </c>
      <c r="F457" s="180" t="s">
        <v>526</v>
      </c>
      <c r="G457" s="181" t="s">
        <v>358</v>
      </c>
      <c r="H457" s="182">
        <v>1</v>
      </c>
      <c r="I457" s="69"/>
      <c r="J457" s="184">
        <f t="shared" si="30"/>
        <v>0</v>
      </c>
      <c r="K457" s="180" t="s">
        <v>154</v>
      </c>
      <c r="L457" s="90"/>
      <c r="M457" s="185" t="s">
        <v>1</v>
      </c>
      <c r="N457" s="186" t="s">
        <v>41</v>
      </c>
      <c r="O457" s="187"/>
      <c r="P457" s="188">
        <f t="shared" si="31"/>
        <v>0</v>
      </c>
      <c r="Q457" s="188">
        <v>0.00034</v>
      </c>
      <c r="R457" s="188">
        <f t="shared" si="32"/>
        <v>0.00034</v>
      </c>
      <c r="S457" s="188">
        <v>0</v>
      </c>
      <c r="T457" s="189">
        <f t="shared" si="33"/>
        <v>0</v>
      </c>
      <c r="AR457" s="81" t="s">
        <v>119</v>
      </c>
      <c r="AT457" s="81" t="s">
        <v>116</v>
      </c>
      <c r="AU457" s="81" t="s">
        <v>76</v>
      </c>
      <c r="AY457" s="81" t="s">
        <v>114</v>
      </c>
      <c r="BE457" s="190">
        <f t="shared" si="34"/>
        <v>0</v>
      </c>
      <c r="BF457" s="190">
        <f t="shared" si="35"/>
        <v>0</v>
      </c>
      <c r="BG457" s="190">
        <f t="shared" si="36"/>
        <v>0</v>
      </c>
      <c r="BH457" s="190">
        <f t="shared" si="37"/>
        <v>0</v>
      </c>
      <c r="BI457" s="190">
        <f t="shared" si="38"/>
        <v>0</v>
      </c>
      <c r="BJ457" s="81" t="s">
        <v>73</v>
      </c>
      <c r="BK457" s="190">
        <f t="shared" si="39"/>
        <v>0</v>
      </c>
      <c r="BL457" s="81" t="s">
        <v>119</v>
      </c>
      <c r="BM457" s="81" t="s">
        <v>1234</v>
      </c>
    </row>
    <row r="458" spans="2:65" s="92" customFormat="1" ht="16.5" customHeight="1">
      <c r="B458" s="90"/>
      <c r="C458" s="247" t="s">
        <v>790</v>
      </c>
      <c r="D458" s="247" t="s">
        <v>319</v>
      </c>
      <c r="E458" s="248" t="s">
        <v>529</v>
      </c>
      <c r="F458" s="267" t="s">
        <v>530</v>
      </c>
      <c r="G458" s="262" t="s">
        <v>358</v>
      </c>
      <c r="H458" s="263">
        <v>1</v>
      </c>
      <c r="I458" s="76"/>
      <c r="J458" s="252">
        <f t="shared" si="30"/>
        <v>0</v>
      </c>
      <c r="K458" s="253" t="s">
        <v>154</v>
      </c>
      <c r="L458" s="254"/>
      <c r="M458" s="255" t="s">
        <v>1</v>
      </c>
      <c r="N458" s="256" t="s">
        <v>41</v>
      </c>
      <c r="O458" s="187"/>
      <c r="P458" s="188">
        <f t="shared" si="31"/>
        <v>0</v>
      </c>
      <c r="Q458" s="188">
        <v>0.0375</v>
      </c>
      <c r="R458" s="188">
        <f t="shared" si="32"/>
        <v>0.0375</v>
      </c>
      <c r="S458" s="188">
        <v>0</v>
      </c>
      <c r="T458" s="189">
        <f t="shared" si="33"/>
        <v>0</v>
      </c>
      <c r="AR458" s="81" t="s">
        <v>183</v>
      </c>
      <c r="AT458" s="81" t="s">
        <v>319</v>
      </c>
      <c r="AU458" s="81" t="s">
        <v>76</v>
      </c>
      <c r="AY458" s="81" t="s">
        <v>114</v>
      </c>
      <c r="BE458" s="190">
        <f t="shared" si="34"/>
        <v>0</v>
      </c>
      <c r="BF458" s="190">
        <f t="shared" si="35"/>
        <v>0</v>
      </c>
      <c r="BG458" s="190">
        <f t="shared" si="36"/>
        <v>0</v>
      </c>
      <c r="BH458" s="190">
        <f t="shared" si="37"/>
        <v>0</v>
      </c>
      <c r="BI458" s="190">
        <f t="shared" si="38"/>
        <v>0</v>
      </c>
      <c r="BJ458" s="81" t="s">
        <v>73</v>
      </c>
      <c r="BK458" s="190">
        <f t="shared" si="39"/>
        <v>0</v>
      </c>
      <c r="BL458" s="81" t="s">
        <v>119</v>
      </c>
      <c r="BM458" s="81" t="s">
        <v>1235</v>
      </c>
    </row>
    <row r="459" spans="2:65" s="92" customFormat="1" ht="16.5" customHeight="1">
      <c r="B459" s="90"/>
      <c r="C459" s="178" t="s">
        <v>794</v>
      </c>
      <c r="D459" s="178" t="s">
        <v>116</v>
      </c>
      <c r="E459" s="179" t="s">
        <v>1236</v>
      </c>
      <c r="F459" s="180" t="s">
        <v>1237</v>
      </c>
      <c r="G459" s="181" t="s">
        <v>358</v>
      </c>
      <c r="H459" s="182">
        <v>4</v>
      </c>
      <c r="I459" s="69"/>
      <c r="J459" s="184">
        <f t="shared" si="30"/>
        <v>0</v>
      </c>
      <c r="K459" s="180" t="s">
        <v>154</v>
      </c>
      <c r="L459" s="90"/>
      <c r="M459" s="185" t="s">
        <v>1</v>
      </c>
      <c r="N459" s="186" t="s">
        <v>41</v>
      </c>
      <c r="O459" s="187"/>
      <c r="P459" s="188">
        <f t="shared" si="31"/>
        <v>0</v>
      </c>
      <c r="Q459" s="188">
        <v>0</v>
      </c>
      <c r="R459" s="188">
        <f t="shared" si="32"/>
        <v>0</v>
      </c>
      <c r="S459" s="188">
        <v>0</v>
      </c>
      <c r="T459" s="189">
        <f t="shared" si="33"/>
        <v>0</v>
      </c>
      <c r="AR459" s="81" t="s">
        <v>119</v>
      </c>
      <c r="AT459" s="81" t="s">
        <v>116</v>
      </c>
      <c r="AU459" s="81" t="s">
        <v>76</v>
      </c>
      <c r="AY459" s="81" t="s">
        <v>114</v>
      </c>
      <c r="BE459" s="190">
        <f t="shared" si="34"/>
        <v>0</v>
      </c>
      <c r="BF459" s="190">
        <f t="shared" si="35"/>
        <v>0</v>
      </c>
      <c r="BG459" s="190">
        <f t="shared" si="36"/>
        <v>0</v>
      </c>
      <c r="BH459" s="190">
        <f t="shared" si="37"/>
        <v>0</v>
      </c>
      <c r="BI459" s="190">
        <f t="shared" si="38"/>
        <v>0</v>
      </c>
      <c r="BJ459" s="81" t="s">
        <v>73</v>
      </c>
      <c r="BK459" s="190">
        <f t="shared" si="39"/>
        <v>0</v>
      </c>
      <c r="BL459" s="81" t="s">
        <v>119</v>
      </c>
      <c r="BM459" s="81" t="s">
        <v>1238</v>
      </c>
    </row>
    <row r="460" spans="2:65" s="92" customFormat="1" ht="16.5" customHeight="1">
      <c r="B460" s="90"/>
      <c r="C460" s="247" t="s">
        <v>1239</v>
      </c>
      <c r="D460" s="247" t="s">
        <v>319</v>
      </c>
      <c r="E460" s="248" t="s">
        <v>1240</v>
      </c>
      <c r="F460" s="267" t="s">
        <v>1241</v>
      </c>
      <c r="G460" s="262" t="s">
        <v>358</v>
      </c>
      <c r="H460" s="263">
        <v>4</v>
      </c>
      <c r="I460" s="76"/>
      <c r="J460" s="252">
        <f t="shared" si="30"/>
        <v>0</v>
      </c>
      <c r="K460" s="253" t="s">
        <v>154</v>
      </c>
      <c r="L460" s="254"/>
      <c r="M460" s="255" t="s">
        <v>1</v>
      </c>
      <c r="N460" s="256" t="s">
        <v>41</v>
      </c>
      <c r="O460" s="187"/>
      <c r="P460" s="188">
        <f t="shared" si="31"/>
        <v>0</v>
      </c>
      <c r="Q460" s="188">
        <v>0.0019</v>
      </c>
      <c r="R460" s="188">
        <f t="shared" si="32"/>
        <v>0.0076</v>
      </c>
      <c r="S460" s="188">
        <v>0</v>
      </c>
      <c r="T460" s="189">
        <f t="shared" si="33"/>
        <v>0</v>
      </c>
      <c r="AR460" s="81" t="s">
        <v>183</v>
      </c>
      <c r="AT460" s="81" t="s">
        <v>319</v>
      </c>
      <c r="AU460" s="81" t="s">
        <v>76</v>
      </c>
      <c r="AY460" s="81" t="s">
        <v>114</v>
      </c>
      <c r="BE460" s="190">
        <f t="shared" si="34"/>
        <v>0</v>
      </c>
      <c r="BF460" s="190">
        <f t="shared" si="35"/>
        <v>0</v>
      </c>
      <c r="BG460" s="190">
        <f t="shared" si="36"/>
        <v>0</v>
      </c>
      <c r="BH460" s="190">
        <f t="shared" si="37"/>
        <v>0</v>
      </c>
      <c r="BI460" s="190">
        <f t="shared" si="38"/>
        <v>0</v>
      </c>
      <c r="BJ460" s="81" t="s">
        <v>73</v>
      </c>
      <c r="BK460" s="190">
        <f t="shared" si="39"/>
        <v>0</v>
      </c>
      <c r="BL460" s="81" t="s">
        <v>119</v>
      </c>
      <c r="BM460" s="81" t="s">
        <v>1242</v>
      </c>
    </row>
    <row r="461" spans="2:65" s="92" customFormat="1" ht="16.5" customHeight="1">
      <c r="B461" s="90"/>
      <c r="C461" s="178" t="s">
        <v>1243</v>
      </c>
      <c r="D461" s="178" t="s">
        <v>116</v>
      </c>
      <c r="E461" s="179" t="s">
        <v>533</v>
      </c>
      <c r="F461" s="180" t="s">
        <v>534</v>
      </c>
      <c r="G461" s="181" t="s">
        <v>358</v>
      </c>
      <c r="H461" s="182">
        <v>7</v>
      </c>
      <c r="I461" s="69"/>
      <c r="J461" s="184">
        <f t="shared" si="30"/>
        <v>0</v>
      </c>
      <c r="K461" s="180" t="s">
        <v>154</v>
      </c>
      <c r="L461" s="90"/>
      <c r="M461" s="185" t="s">
        <v>1</v>
      </c>
      <c r="N461" s="186" t="s">
        <v>41</v>
      </c>
      <c r="O461" s="187"/>
      <c r="P461" s="188">
        <f t="shared" si="31"/>
        <v>0</v>
      </c>
      <c r="Q461" s="188">
        <v>0.00165</v>
      </c>
      <c r="R461" s="188">
        <f t="shared" si="32"/>
        <v>0.01155</v>
      </c>
      <c r="S461" s="188">
        <v>0</v>
      </c>
      <c r="T461" s="189">
        <f t="shared" si="33"/>
        <v>0</v>
      </c>
      <c r="AR461" s="81" t="s">
        <v>119</v>
      </c>
      <c r="AT461" s="81" t="s">
        <v>116</v>
      </c>
      <c r="AU461" s="81" t="s">
        <v>76</v>
      </c>
      <c r="AY461" s="81" t="s">
        <v>114</v>
      </c>
      <c r="BE461" s="190">
        <f t="shared" si="34"/>
        <v>0</v>
      </c>
      <c r="BF461" s="190">
        <f t="shared" si="35"/>
        <v>0</v>
      </c>
      <c r="BG461" s="190">
        <f t="shared" si="36"/>
        <v>0</v>
      </c>
      <c r="BH461" s="190">
        <f t="shared" si="37"/>
        <v>0</v>
      </c>
      <c r="BI461" s="190">
        <f t="shared" si="38"/>
        <v>0</v>
      </c>
      <c r="BJ461" s="81" t="s">
        <v>73</v>
      </c>
      <c r="BK461" s="190">
        <f t="shared" si="39"/>
        <v>0</v>
      </c>
      <c r="BL461" s="81" t="s">
        <v>119</v>
      </c>
      <c r="BM461" s="81" t="s">
        <v>1244</v>
      </c>
    </row>
    <row r="462" spans="2:65" s="92" customFormat="1" ht="16.5" customHeight="1">
      <c r="B462" s="90"/>
      <c r="C462" s="247" t="s">
        <v>1245</v>
      </c>
      <c r="D462" s="247" t="s">
        <v>319</v>
      </c>
      <c r="E462" s="248" t="s">
        <v>537</v>
      </c>
      <c r="F462" s="267" t="s">
        <v>538</v>
      </c>
      <c r="G462" s="262" t="s">
        <v>358</v>
      </c>
      <c r="H462" s="263">
        <v>7</v>
      </c>
      <c r="I462" s="76"/>
      <c r="J462" s="252">
        <f t="shared" si="30"/>
        <v>0</v>
      </c>
      <c r="K462" s="253" t="s">
        <v>1</v>
      </c>
      <c r="L462" s="254"/>
      <c r="M462" s="255" t="s">
        <v>1</v>
      </c>
      <c r="N462" s="256" t="s">
        <v>41</v>
      </c>
      <c r="O462" s="187"/>
      <c r="P462" s="188">
        <f t="shared" si="31"/>
        <v>0</v>
      </c>
      <c r="Q462" s="188">
        <v>0.023</v>
      </c>
      <c r="R462" s="188">
        <f t="shared" si="32"/>
        <v>0.161</v>
      </c>
      <c r="S462" s="188">
        <v>0</v>
      </c>
      <c r="T462" s="189">
        <f t="shared" si="33"/>
        <v>0</v>
      </c>
      <c r="AR462" s="81" t="s">
        <v>183</v>
      </c>
      <c r="AT462" s="81" t="s">
        <v>319</v>
      </c>
      <c r="AU462" s="81" t="s">
        <v>76</v>
      </c>
      <c r="AY462" s="81" t="s">
        <v>114</v>
      </c>
      <c r="BE462" s="190">
        <f t="shared" si="34"/>
        <v>0</v>
      </c>
      <c r="BF462" s="190">
        <f t="shared" si="35"/>
        <v>0</v>
      </c>
      <c r="BG462" s="190">
        <f t="shared" si="36"/>
        <v>0</v>
      </c>
      <c r="BH462" s="190">
        <f t="shared" si="37"/>
        <v>0</v>
      </c>
      <c r="BI462" s="190">
        <f t="shared" si="38"/>
        <v>0</v>
      </c>
      <c r="BJ462" s="81" t="s">
        <v>73</v>
      </c>
      <c r="BK462" s="190">
        <f t="shared" si="39"/>
        <v>0</v>
      </c>
      <c r="BL462" s="81" t="s">
        <v>119</v>
      </c>
      <c r="BM462" s="81" t="s">
        <v>1246</v>
      </c>
    </row>
    <row r="463" spans="2:65" s="92" customFormat="1" ht="16.5" customHeight="1">
      <c r="B463" s="90"/>
      <c r="C463" s="247" t="s">
        <v>1247</v>
      </c>
      <c r="D463" s="247" t="s">
        <v>319</v>
      </c>
      <c r="E463" s="248" t="s">
        <v>540</v>
      </c>
      <c r="F463" s="267" t="s">
        <v>541</v>
      </c>
      <c r="G463" s="262" t="s">
        <v>358</v>
      </c>
      <c r="H463" s="263">
        <v>7</v>
      </c>
      <c r="I463" s="76"/>
      <c r="J463" s="252">
        <f t="shared" si="30"/>
        <v>0</v>
      </c>
      <c r="K463" s="253" t="s">
        <v>1</v>
      </c>
      <c r="L463" s="254"/>
      <c r="M463" s="255" t="s">
        <v>1</v>
      </c>
      <c r="N463" s="256" t="s">
        <v>41</v>
      </c>
      <c r="O463" s="187"/>
      <c r="P463" s="188">
        <f t="shared" si="31"/>
        <v>0</v>
      </c>
      <c r="Q463" s="188">
        <v>0.004</v>
      </c>
      <c r="R463" s="188">
        <f t="shared" si="32"/>
        <v>0.028</v>
      </c>
      <c r="S463" s="188">
        <v>0</v>
      </c>
      <c r="T463" s="189">
        <f t="shared" si="33"/>
        <v>0</v>
      </c>
      <c r="AR463" s="81" t="s">
        <v>183</v>
      </c>
      <c r="AT463" s="81" t="s">
        <v>319</v>
      </c>
      <c r="AU463" s="81" t="s">
        <v>76</v>
      </c>
      <c r="AY463" s="81" t="s">
        <v>114</v>
      </c>
      <c r="BE463" s="190">
        <f t="shared" si="34"/>
        <v>0</v>
      </c>
      <c r="BF463" s="190">
        <f t="shared" si="35"/>
        <v>0</v>
      </c>
      <c r="BG463" s="190">
        <f t="shared" si="36"/>
        <v>0</v>
      </c>
      <c r="BH463" s="190">
        <f t="shared" si="37"/>
        <v>0</v>
      </c>
      <c r="BI463" s="190">
        <f t="shared" si="38"/>
        <v>0</v>
      </c>
      <c r="BJ463" s="81" t="s">
        <v>73</v>
      </c>
      <c r="BK463" s="190">
        <f t="shared" si="39"/>
        <v>0</v>
      </c>
      <c r="BL463" s="81" t="s">
        <v>119</v>
      </c>
      <c r="BM463" s="81" t="s">
        <v>1248</v>
      </c>
    </row>
    <row r="464" spans="2:65" s="92" customFormat="1" ht="16.5" customHeight="1">
      <c r="B464" s="90"/>
      <c r="C464" s="178" t="s">
        <v>1249</v>
      </c>
      <c r="D464" s="178" t="s">
        <v>116</v>
      </c>
      <c r="E464" s="179" t="s">
        <v>564</v>
      </c>
      <c r="F464" s="180" t="s">
        <v>565</v>
      </c>
      <c r="G464" s="181" t="s">
        <v>358</v>
      </c>
      <c r="H464" s="182">
        <v>22</v>
      </c>
      <c r="I464" s="69"/>
      <c r="J464" s="184">
        <f t="shared" si="30"/>
        <v>0</v>
      </c>
      <c r="K464" s="180" t="s">
        <v>154</v>
      </c>
      <c r="L464" s="90"/>
      <c r="M464" s="185" t="s">
        <v>1</v>
      </c>
      <c r="N464" s="186" t="s">
        <v>41</v>
      </c>
      <c r="O464" s="187"/>
      <c r="P464" s="188">
        <f t="shared" si="31"/>
        <v>0</v>
      </c>
      <c r="Q464" s="188">
        <v>0</v>
      </c>
      <c r="R464" s="188">
        <f t="shared" si="32"/>
        <v>0</v>
      </c>
      <c r="S464" s="188">
        <v>0</v>
      </c>
      <c r="T464" s="189">
        <f t="shared" si="33"/>
        <v>0</v>
      </c>
      <c r="AR464" s="81" t="s">
        <v>119</v>
      </c>
      <c r="AT464" s="81" t="s">
        <v>116</v>
      </c>
      <c r="AU464" s="81" t="s">
        <v>76</v>
      </c>
      <c r="AY464" s="81" t="s">
        <v>114</v>
      </c>
      <c r="BE464" s="190">
        <f t="shared" si="34"/>
        <v>0</v>
      </c>
      <c r="BF464" s="190">
        <f t="shared" si="35"/>
        <v>0</v>
      </c>
      <c r="BG464" s="190">
        <f t="shared" si="36"/>
        <v>0</v>
      </c>
      <c r="BH464" s="190">
        <f t="shared" si="37"/>
        <v>0</v>
      </c>
      <c r="BI464" s="190">
        <f t="shared" si="38"/>
        <v>0</v>
      </c>
      <c r="BJ464" s="81" t="s">
        <v>73</v>
      </c>
      <c r="BK464" s="190">
        <f t="shared" si="39"/>
        <v>0</v>
      </c>
      <c r="BL464" s="81" t="s">
        <v>119</v>
      </c>
      <c r="BM464" s="81" t="s">
        <v>1250</v>
      </c>
    </row>
    <row r="465" spans="2:65" s="92" customFormat="1" ht="16.5" customHeight="1">
      <c r="B465" s="90"/>
      <c r="C465" s="247" t="s">
        <v>1251</v>
      </c>
      <c r="D465" s="247" t="s">
        <v>319</v>
      </c>
      <c r="E465" s="248" t="s">
        <v>568</v>
      </c>
      <c r="F465" s="267" t="s">
        <v>569</v>
      </c>
      <c r="G465" s="262" t="s">
        <v>358</v>
      </c>
      <c r="H465" s="263">
        <v>22</v>
      </c>
      <c r="I465" s="76"/>
      <c r="J465" s="252">
        <f t="shared" si="30"/>
        <v>0</v>
      </c>
      <c r="K465" s="253" t="s">
        <v>154</v>
      </c>
      <c r="L465" s="254"/>
      <c r="M465" s="255" t="s">
        <v>1</v>
      </c>
      <c r="N465" s="256" t="s">
        <v>41</v>
      </c>
      <c r="O465" s="187"/>
      <c r="P465" s="188">
        <f t="shared" si="31"/>
        <v>0</v>
      </c>
      <c r="Q465" s="188">
        <v>0.0019</v>
      </c>
      <c r="R465" s="188">
        <f t="shared" si="32"/>
        <v>0.0418</v>
      </c>
      <c r="S465" s="188">
        <v>0</v>
      </c>
      <c r="T465" s="189">
        <f t="shared" si="33"/>
        <v>0</v>
      </c>
      <c r="AR465" s="81" t="s">
        <v>183</v>
      </c>
      <c r="AT465" s="81" t="s">
        <v>319</v>
      </c>
      <c r="AU465" s="81" t="s">
        <v>76</v>
      </c>
      <c r="AY465" s="81" t="s">
        <v>114</v>
      </c>
      <c r="BE465" s="190">
        <f t="shared" si="34"/>
        <v>0</v>
      </c>
      <c r="BF465" s="190">
        <f t="shared" si="35"/>
        <v>0</v>
      </c>
      <c r="BG465" s="190">
        <f t="shared" si="36"/>
        <v>0</v>
      </c>
      <c r="BH465" s="190">
        <f t="shared" si="37"/>
        <v>0</v>
      </c>
      <c r="BI465" s="190">
        <f t="shared" si="38"/>
        <v>0</v>
      </c>
      <c r="BJ465" s="81" t="s">
        <v>73</v>
      </c>
      <c r="BK465" s="190">
        <f t="shared" si="39"/>
        <v>0</v>
      </c>
      <c r="BL465" s="81" t="s">
        <v>119</v>
      </c>
      <c r="BM465" s="81" t="s">
        <v>1252</v>
      </c>
    </row>
    <row r="466" spans="2:65" s="92" customFormat="1" ht="16.5" customHeight="1">
      <c r="B466" s="90"/>
      <c r="C466" s="178" t="s">
        <v>1284</v>
      </c>
      <c r="D466" s="178" t="s">
        <v>116</v>
      </c>
      <c r="E466" s="179" t="s">
        <v>552</v>
      </c>
      <c r="F466" s="180" t="s">
        <v>553</v>
      </c>
      <c r="G466" s="181" t="s">
        <v>358</v>
      </c>
      <c r="H466" s="182">
        <v>27</v>
      </c>
      <c r="I466" s="69"/>
      <c r="J466" s="184">
        <f t="shared" si="30"/>
        <v>0</v>
      </c>
      <c r="K466" s="180" t="s">
        <v>1</v>
      </c>
      <c r="L466" s="90"/>
      <c r="M466" s="185" t="s">
        <v>1</v>
      </c>
      <c r="N466" s="186" t="s">
        <v>41</v>
      </c>
      <c r="O466" s="187"/>
      <c r="P466" s="188">
        <f t="shared" si="31"/>
        <v>0</v>
      </c>
      <c r="Q466" s="188">
        <v>0.02769</v>
      </c>
      <c r="R466" s="188">
        <f t="shared" si="32"/>
        <v>0.74763</v>
      </c>
      <c r="S466" s="188">
        <v>0</v>
      </c>
      <c r="T466" s="189">
        <f t="shared" si="33"/>
        <v>0</v>
      </c>
      <c r="AR466" s="81" t="s">
        <v>245</v>
      </c>
      <c r="AT466" s="81" t="s">
        <v>116</v>
      </c>
      <c r="AU466" s="81" t="s">
        <v>76</v>
      </c>
      <c r="AY466" s="81" t="s">
        <v>114</v>
      </c>
      <c r="BE466" s="190">
        <f t="shared" si="34"/>
        <v>0</v>
      </c>
      <c r="BF466" s="190">
        <f t="shared" si="35"/>
        <v>0</v>
      </c>
      <c r="BG466" s="190">
        <f t="shared" si="36"/>
        <v>0</v>
      </c>
      <c r="BH466" s="190">
        <f t="shared" si="37"/>
        <v>0</v>
      </c>
      <c r="BI466" s="190">
        <f t="shared" si="38"/>
        <v>0</v>
      </c>
      <c r="BJ466" s="81" t="s">
        <v>73</v>
      </c>
      <c r="BK466" s="190">
        <f t="shared" si="39"/>
        <v>0</v>
      </c>
      <c r="BL466" s="81" t="s">
        <v>245</v>
      </c>
      <c r="BM466" s="81" t="s">
        <v>1285</v>
      </c>
    </row>
    <row r="467" spans="2:65" s="92" customFormat="1" ht="16.5" customHeight="1">
      <c r="B467" s="90"/>
      <c r="C467" s="178" t="s">
        <v>1286</v>
      </c>
      <c r="D467" s="178" t="s">
        <v>116</v>
      </c>
      <c r="E467" s="179" t="s">
        <v>1287</v>
      </c>
      <c r="F467" s="180" t="s">
        <v>1288</v>
      </c>
      <c r="G467" s="181" t="s">
        <v>358</v>
      </c>
      <c r="H467" s="182">
        <v>58</v>
      </c>
      <c r="I467" s="69"/>
      <c r="J467" s="184">
        <f t="shared" si="30"/>
        <v>0</v>
      </c>
      <c r="K467" s="180" t="s">
        <v>1</v>
      </c>
      <c r="L467" s="90"/>
      <c r="M467" s="185" t="s">
        <v>1</v>
      </c>
      <c r="N467" s="186" t="s">
        <v>41</v>
      </c>
      <c r="O467" s="187"/>
      <c r="P467" s="188">
        <f t="shared" si="31"/>
        <v>0</v>
      </c>
      <c r="Q467" s="188">
        <v>0.02769</v>
      </c>
      <c r="R467" s="188">
        <f t="shared" si="32"/>
        <v>1.60602</v>
      </c>
      <c r="S467" s="188">
        <v>0</v>
      </c>
      <c r="T467" s="189">
        <f t="shared" si="33"/>
        <v>0</v>
      </c>
      <c r="AR467" s="81" t="s">
        <v>245</v>
      </c>
      <c r="AT467" s="81" t="s">
        <v>116</v>
      </c>
      <c r="AU467" s="81" t="s">
        <v>76</v>
      </c>
      <c r="AY467" s="81" t="s">
        <v>114</v>
      </c>
      <c r="BE467" s="190">
        <f t="shared" si="34"/>
        <v>0</v>
      </c>
      <c r="BF467" s="190">
        <f t="shared" si="35"/>
        <v>0</v>
      </c>
      <c r="BG467" s="190">
        <f t="shared" si="36"/>
        <v>0</v>
      </c>
      <c r="BH467" s="190">
        <f t="shared" si="37"/>
        <v>0</v>
      </c>
      <c r="BI467" s="190">
        <f t="shared" si="38"/>
        <v>0</v>
      </c>
      <c r="BJ467" s="81" t="s">
        <v>73</v>
      </c>
      <c r="BK467" s="190">
        <f t="shared" si="39"/>
        <v>0</v>
      </c>
      <c r="BL467" s="81" t="s">
        <v>245</v>
      </c>
      <c r="BM467" s="81" t="s">
        <v>1289</v>
      </c>
    </row>
    <row r="468" spans="2:65" s="92" customFormat="1" ht="16.5" customHeight="1">
      <c r="B468" s="90"/>
      <c r="C468" s="178" t="s">
        <v>1294</v>
      </c>
      <c r="D468" s="178" t="s">
        <v>116</v>
      </c>
      <c r="E468" s="179" t="s">
        <v>1295</v>
      </c>
      <c r="F468" s="180" t="s">
        <v>1549</v>
      </c>
      <c r="G468" s="181" t="s">
        <v>358</v>
      </c>
      <c r="H468" s="182">
        <v>4</v>
      </c>
      <c r="I468" s="69"/>
      <c r="J468" s="184">
        <f t="shared" si="30"/>
        <v>0</v>
      </c>
      <c r="K468" s="180" t="s">
        <v>1</v>
      </c>
      <c r="L468" s="90"/>
      <c r="M468" s="185" t="s">
        <v>1</v>
      </c>
      <c r="N468" s="186" t="s">
        <v>41</v>
      </c>
      <c r="O468" s="187"/>
      <c r="P468" s="188">
        <f t="shared" si="31"/>
        <v>0</v>
      </c>
      <c r="Q468" s="188">
        <v>0</v>
      </c>
      <c r="R468" s="188">
        <f t="shared" si="32"/>
        <v>0</v>
      </c>
      <c r="S468" s="188">
        <v>0</v>
      </c>
      <c r="T468" s="189">
        <f t="shared" si="33"/>
        <v>0</v>
      </c>
      <c r="AR468" s="81" t="s">
        <v>245</v>
      </c>
      <c r="AT468" s="81" t="s">
        <v>116</v>
      </c>
      <c r="AU468" s="81" t="s">
        <v>76</v>
      </c>
      <c r="AY468" s="81" t="s">
        <v>114</v>
      </c>
      <c r="BE468" s="190">
        <f t="shared" si="34"/>
        <v>0</v>
      </c>
      <c r="BF468" s="190">
        <f t="shared" si="35"/>
        <v>0</v>
      </c>
      <c r="BG468" s="190">
        <f t="shared" si="36"/>
        <v>0</v>
      </c>
      <c r="BH468" s="190">
        <f t="shared" si="37"/>
        <v>0</v>
      </c>
      <c r="BI468" s="190">
        <f t="shared" si="38"/>
        <v>0</v>
      </c>
      <c r="BJ468" s="81" t="s">
        <v>73</v>
      </c>
      <c r="BK468" s="190">
        <f t="shared" si="39"/>
        <v>0</v>
      </c>
      <c r="BL468" s="81" t="s">
        <v>245</v>
      </c>
      <c r="BM468" s="81" t="s">
        <v>1296</v>
      </c>
    </row>
    <row r="469" spans="2:65" s="92" customFormat="1" ht="16.5" customHeight="1">
      <c r="B469" s="90"/>
      <c r="C469" s="178" t="s">
        <v>1306</v>
      </c>
      <c r="D469" s="178" t="s">
        <v>116</v>
      </c>
      <c r="E469" s="179" t="s">
        <v>572</v>
      </c>
      <c r="F469" s="180" t="s">
        <v>573</v>
      </c>
      <c r="G469" s="181" t="s">
        <v>176</v>
      </c>
      <c r="H469" s="182">
        <v>72.5</v>
      </c>
      <c r="I469" s="69"/>
      <c r="J469" s="184">
        <f t="shared" si="30"/>
        <v>0</v>
      </c>
      <c r="K469" s="180" t="s">
        <v>154</v>
      </c>
      <c r="L469" s="90"/>
      <c r="M469" s="185" t="s">
        <v>1</v>
      </c>
      <c r="N469" s="186" t="s">
        <v>41</v>
      </c>
      <c r="O469" s="187"/>
      <c r="P469" s="188">
        <f t="shared" si="31"/>
        <v>0</v>
      </c>
      <c r="Q469" s="188">
        <v>0</v>
      </c>
      <c r="R469" s="188">
        <f t="shared" si="32"/>
        <v>0</v>
      </c>
      <c r="S469" s="188">
        <v>0</v>
      </c>
      <c r="T469" s="189">
        <f t="shared" si="33"/>
        <v>0</v>
      </c>
      <c r="AR469" s="81" t="s">
        <v>119</v>
      </c>
      <c r="AT469" s="81" t="s">
        <v>116</v>
      </c>
      <c r="AU469" s="81" t="s">
        <v>76</v>
      </c>
      <c r="AY469" s="81" t="s">
        <v>114</v>
      </c>
      <c r="BE469" s="190">
        <f t="shared" si="34"/>
        <v>0</v>
      </c>
      <c r="BF469" s="190">
        <f t="shared" si="35"/>
        <v>0</v>
      </c>
      <c r="BG469" s="190">
        <f t="shared" si="36"/>
        <v>0</v>
      </c>
      <c r="BH469" s="190">
        <f t="shared" si="37"/>
        <v>0</v>
      </c>
      <c r="BI469" s="190">
        <f t="shared" si="38"/>
        <v>0</v>
      </c>
      <c r="BJ469" s="81" t="s">
        <v>73</v>
      </c>
      <c r="BK469" s="190">
        <f t="shared" si="39"/>
        <v>0</v>
      </c>
      <c r="BL469" s="81" t="s">
        <v>119</v>
      </c>
      <c r="BM469" s="81" t="s">
        <v>1307</v>
      </c>
    </row>
    <row r="470" spans="2:65" s="92" customFormat="1" ht="16.5" customHeight="1">
      <c r="B470" s="90"/>
      <c r="C470" s="178" t="s">
        <v>1308</v>
      </c>
      <c r="D470" s="178" t="s">
        <v>116</v>
      </c>
      <c r="E470" s="179" t="s">
        <v>575</v>
      </c>
      <c r="F470" s="180" t="s">
        <v>576</v>
      </c>
      <c r="G470" s="181" t="s">
        <v>176</v>
      </c>
      <c r="H470" s="182">
        <v>66.5</v>
      </c>
      <c r="I470" s="69"/>
      <c r="J470" s="184">
        <f t="shared" si="30"/>
        <v>0</v>
      </c>
      <c r="K470" s="180" t="s">
        <v>154</v>
      </c>
      <c r="L470" s="90"/>
      <c r="M470" s="185" t="s">
        <v>1</v>
      </c>
      <c r="N470" s="186" t="s">
        <v>41</v>
      </c>
      <c r="O470" s="187"/>
      <c r="P470" s="188">
        <f t="shared" si="31"/>
        <v>0</v>
      </c>
      <c r="Q470" s="188">
        <v>0</v>
      </c>
      <c r="R470" s="188">
        <f t="shared" si="32"/>
        <v>0</v>
      </c>
      <c r="S470" s="188">
        <v>0</v>
      </c>
      <c r="T470" s="189">
        <f t="shared" si="33"/>
        <v>0</v>
      </c>
      <c r="AR470" s="81" t="s">
        <v>119</v>
      </c>
      <c r="AT470" s="81" t="s">
        <v>116</v>
      </c>
      <c r="AU470" s="81" t="s">
        <v>76</v>
      </c>
      <c r="AY470" s="81" t="s">
        <v>114</v>
      </c>
      <c r="BE470" s="190">
        <f t="shared" si="34"/>
        <v>0</v>
      </c>
      <c r="BF470" s="190">
        <f t="shared" si="35"/>
        <v>0</v>
      </c>
      <c r="BG470" s="190">
        <f t="shared" si="36"/>
        <v>0</v>
      </c>
      <c r="BH470" s="190">
        <f t="shared" si="37"/>
        <v>0</v>
      </c>
      <c r="BI470" s="190">
        <f t="shared" si="38"/>
        <v>0</v>
      </c>
      <c r="BJ470" s="81" t="s">
        <v>73</v>
      </c>
      <c r="BK470" s="190">
        <f t="shared" si="39"/>
        <v>0</v>
      </c>
      <c r="BL470" s="81" t="s">
        <v>119</v>
      </c>
      <c r="BM470" s="81" t="s">
        <v>1309</v>
      </c>
    </row>
    <row r="471" spans="2:65" s="92" customFormat="1" ht="16.5" customHeight="1">
      <c r="B471" s="90"/>
      <c r="C471" s="178" t="s">
        <v>1310</v>
      </c>
      <c r="D471" s="178" t="s">
        <v>116</v>
      </c>
      <c r="E471" s="179" t="s">
        <v>578</v>
      </c>
      <c r="F471" s="180" t="s">
        <v>579</v>
      </c>
      <c r="G471" s="181" t="s">
        <v>176</v>
      </c>
      <c r="H471" s="182">
        <v>441</v>
      </c>
      <c r="I471" s="69"/>
      <c r="J471" s="184">
        <f t="shared" si="30"/>
        <v>0</v>
      </c>
      <c r="K471" s="180" t="s">
        <v>154</v>
      </c>
      <c r="L471" s="90"/>
      <c r="M471" s="185" t="s">
        <v>1</v>
      </c>
      <c r="N471" s="186" t="s">
        <v>41</v>
      </c>
      <c r="O471" s="187"/>
      <c r="P471" s="188">
        <f t="shared" si="31"/>
        <v>0</v>
      </c>
      <c r="Q471" s="188">
        <v>0</v>
      </c>
      <c r="R471" s="188">
        <f t="shared" si="32"/>
        <v>0</v>
      </c>
      <c r="S471" s="188">
        <v>0</v>
      </c>
      <c r="T471" s="189">
        <f t="shared" si="33"/>
        <v>0</v>
      </c>
      <c r="AR471" s="81" t="s">
        <v>119</v>
      </c>
      <c r="AT471" s="81" t="s">
        <v>116</v>
      </c>
      <c r="AU471" s="81" t="s">
        <v>76</v>
      </c>
      <c r="AY471" s="81" t="s">
        <v>114</v>
      </c>
      <c r="BE471" s="190">
        <f t="shared" si="34"/>
        <v>0</v>
      </c>
      <c r="BF471" s="190">
        <f t="shared" si="35"/>
        <v>0</v>
      </c>
      <c r="BG471" s="190">
        <f t="shared" si="36"/>
        <v>0</v>
      </c>
      <c r="BH471" s="190">
        <f t="shared" si="37"/>
        <v>0</v>
      </c>
      <c r="BI471" s="190">
        <f t="shared" si="38"/>
        <v>0</v>
      </c>
      <c r="BJ471" s="81" t="s">
        <v>73</v>
      </c>
      <c r="BK471" s="190">
        <f t="shared" si="39"/>
        <v>0</v>
      </c>
      <c r="BL471" s="81" t="s">
        <v>119</v>
      </c>
      <c r="BM471" s="81" t="s">
        <v>1311</v>
      </c>
    </row>
    <row r="472" spans="2:65" s="92" customFormat="1" ht="16.5" customHeight="1">
      <c r="B472" s="90"/>
      <c r="C472" s="178" t="s">
        <v>1312</v>
      </c>
      <c r="D472" s="178" t="s">
        <v>116</v>
      </c>
      <c r="E472" s="179" t="s">
        <v>582</v>
      </c>
      <c r="F472" s="180" t="s">
        <v>583</v>
      </c>
      <c r="G472" s="181" t="s">
        <v>176</v>
      </c>
      <c r="H472" s="182">
        <f>H474</f>
        <v>507.5</v>
      </c>
      <c r="I472" s="69"/>
      <c r="J472" s="184">
        <f t="shared" si="30"/>
        <v>0</v>
      </c>
      <c r="K472" s="180" t="s">
        <v>154</v>
      </c>
      <c r="L472" s="90"/>
      <c r="M472" s="185" t="s">
        <v>1</v>
      </c>
      <c r="N472" s="186" t="s">
        <v>41</v>
      </c>
      <c r="O472" s="187"/>
      <c r="P472" s="188">
        <f t="shared" si="31"/>
        <v>0</v>
      </c>
      <c r="Q472" s="188">
        <v>0</v>
      </c>
      <c r="R472" s="188">
        <f t="shared" si="32"/>
        <v>0</v>
      </c>
      <c r="S472" s="188">
        <v>0</v>
      </c>
      <c r="T472" s="189">
        <f t="shared" si="33"/>
        <v>0</v>
      </c>
      <c r="AR472" s="81" t="s">
        <v>119</v>
      </c>
      <c r="AT472" s="81" t="s">
        <v>116</v>
      </c>
      <c r="AU472" s="81" t="s">
        <v>76</v>
      </c>
      <c r="AY472" s="81" t="s">
        <v>114</v>
      </c>
      <c r="BE472" s="190">
        <f t="shared" si="34"/>
        <v>0</v>
      </c>
      <c r="BF472" s="190">
        <f t="shared" si="35"/>
        <v>0</v>
      </c>
      <c r="BG472" s="190">
        <f t="shared" si="36"/>
        <v>0</v>
      </c>
      <c r="BH472" s="190">
        <f t="shared" si="37"/>
        <v>0</v>
      </c>
      <c r="BI472" s="190">
        <f t="shared" si="38"/>
        <v>0</v>
      </c>
      <c r="BJ472" s="81" t="s">
        <v>73</v>
      </c>
      <c r="BK472" s="190">
        <f t="shared" si="39"/>
        <v>0</v>
      </c>
      <c r="BL472" s="81" t="s">
        <v>119</v>
      </c>
      <c r="BM472" s="81" t="s">
        <v>1313</v>
      </c>
    </row>
    <row r="473" spans="2:51" s="208" customFormat="1" ht="12">
      <c r="B473" s="202"/>
      <c r="D473" s="193" t="s">
        <v>121</v>
      </c>
      <c r="E473" s="204" t="s">
        <v>1</v>
      </c>
      <c r="F473" s="260" t="s">
        <v>1507</v>
      </c>
      <c r="H473" s="261">
        <f>66.5+441</f>
        <v>507.5</v>
      </c>
      <c r="I473" s="70"/>
      <c r="L473" s="202"/>
      <c r="M473" s="209"/>
      <c r="N473" s="210"/>
      <c r="O473" s="210"/>
      <c r="P473" s="210"/>
      <c r="Q473" s="210"/>
      <c r="R473" s="210"/>
      <c r="S473" s="210"/>
      <c r="T473" s="211"/>
      <c r="AT473" s="204" t="s">
        <v>121</v>
      </c>
      <c r="AU473" s="204" t="s">
        <v>76</v>
      </c>
      <c r="AV473" s="208" t="s">
        <v>76</v>
      </c>
      <c r="AW473" s="208" t="s">
        <v>32</v>
      </c>
      <c r="AX473" s="208" t="s">
        <v>68</v>
      </c>
      <c r="AY473" s="204" t="s">
        <v>114</v>
      </c>
    </row>
    <row r="474" spans="2:51" s="228" customFormat="1" ht="12">
      <c r="B474" s="222"/>
      <c r="D474" s="193" t="s">
        <v>121</v>
      </c>
      <c r="E474" s="224" t="s">
        <v>1</v>
      </c>
      <c r="F474" s="266" t="s">
        <v>150</v>
      </c>
      <c r="H474" s="264">
        <f>H473</f>
        <v>507.5</v>
      </c>
      <c r="I474" s="72"/>
      <c r="L474" s="222"/>
      <c r="M474" s="229"/>
      <c r="N474" s="230"/>
      <c r="O474" s="230"/>
      <c r="P474" s="230"/>
      <c r="Q474" s="230"/>
      <c r="R474" s="230"/>
      <c r="S474" s="230"/>
      <c r="T474" s="231"/>
      <c r="AT474" s="224" t="s">
        <v>121</v>
      </c>
      <c r="AU474" s="224" t="s">
        <v>76</v>
      </c>
      <c r="AV474" s="228" t="s">
        <v>119</v>
      </c>
      <c r="AW474" s="228" t="s">
        <v>32</v>
      </c>
      <c r="AX474" s="228" t="s">
        <v>73</v>
      </c>
      <c r="AY474" s="224" t="s">
        <v>114</v>
      </c>
    </row>
    <row r="475" spans="2:65" s="92" customFormat="1" ht="16.5" customHeight="1">
      <c r="B475" s="90"/>
      <c r="C475" s="178" t="s">
        <v>1314</v>
      </c>
      <c r="D475" s="178" t="s">
        <v>116</v>
      </c>
      <c r="E475" s="179" t="s">
        <v>586</v>
      </c>
      <c r="F475" s="180" t="s">
        <v>587</v>
      </c>
      <c r="G475" s="181" t="s">
        <v>588</v>
      </c>
      <c r="H475" s="182">
        <v>441</v>
      </c>
      <c r="I475" s="69"/>
      <c r="J475" s="184">
        <f aca="true" t="shared" si="40" ref="J475:J482">ROUND(I475*H475,2)</f>
        <v>0</v>
      </c>
      <c r="K475" s="180" t="s">
        <v>1</v>
      </c>
      <c r="L475" s="90"/>
      <c r="M475" s="185" t="s">
        <v>1</v>
      </c>
      <c r="N475" s="186" t="s">
        <v>41</v>
      </c>
      <c r="O475" s="187"/>
      <c r="P475" s="188">
        <f aca="true" t="shared" si="41" ref="P475:P482">O475*H475</f>
        <v>0</v>
      </c>
      <c r="Q475" s="188">
        <v>0</v>
      </c>
      <c r="R475" s="188">
        <f aca="true" t="shared" si="42" ref="R475:R482">Q475*H475</f>
        <v>0</v>
      </c>
      <c r="S475" s="188">
        <v>0</v>
      </c>
      <c r="T475" s="189">
        <f aca="true" t="shared" si="43" ref="T475:T482">S475*H475</f>
        <v>0</v>
      </c>
      <c r="AR475" s="81" t="s">
        <v>119</v>
      </c>
      <c r="AT475" s="81" t="s">
        <v>116</v>
      </c>
      <c r="AU475" s="81" t="s">
        <v>76</v>
      </c>
      <c r="AY475" s="81" t="s">
        <v>114</v>
      </c>
      <c r="BE475" s="190">
        <f aca="true" t="shared" si="44" ref="BE475:BE482">IF(N475="základní",J475,0)</f>
        <v>0</v>
      </c>
      <c r="BF475" s="190">
        <f aca="true" t="shared" si="45" ref="BF475:BF482">IF(N475="snížená",J475,0)</f>
        <v>0</v>
      </c>
      <c r="BG475" s="190">
        <f aca="true" t="shared" si="46" ref="BG475:BG482">IF(N475="zákl. přenesená",J475,0)</f>
        <v>0</v>
      </c>
      <c r="BH475" s="190">
        <f aca="true" t="shared" si="47" ref="BH475:BH482">IF(N475="sníž. přenesená",J475,0)</f>
        <v>0</v>
      </c>
      <c r="BI475" s="190">
        <f aca="true" t="shared" si="48" ref="BI475:BI482">IF(N475="nulová",J475,0)</f>
        <v>0</v>
      </c>
      <c r="BJ475" s="81" t="s">
        <v>73</v>
      </c>
      <c r="BK475" s="190">
        <f aca="true" t="shared" si="49" ref="BK475:BK482">ROUND(I475*H475,2)</f>
        <v>0</v>
      </c>
      <c r="BL475" s="81" t="s">
        <v>119</v>
      </c>
      <c r="BM475" s="81" t="s">
        <v>1315</v>
      </c>
    </row>
    <row r="476" spans="2:65" s="92" customFormat="1" ht="16.5" customHeight="1">
      <c r="B476" s="90"/>
      <c r="C476" s="178" t="s">
        <v>1324</v>
      </c>
      <c r="D476" s="178" t="s">
        <v>116</v>
      </c>
      <c r="E476" s="179" t="s">
        <v>604</v>
      </c>
      <c r="F476" s="180" t="s">
        <v>605</v>
      </c>
      <c r="G476" s="181" t="s">
        <v>358</v>
      </c>
      <c r="H476" s="182">
        <v>39</v>
      </c>
      <c r="I476" s="69"/>
      <c r="J476" s="184">
        <f t="shared" si="40"/>
        <v>0</v>
      </c>
      <c r="K476" s="180" t="s">
        <v>154</v>
      </c>
      <c r="L476" s="90"/>
      <c r="M476" s="185" t="s">
        <v>1</v>
      </c>
      <c r="N476" s="186" t="s">
        <v>41</v>
      </c>
      <c r="O476" s="187"/>
      <c r="P476" s="188">
        <f t="shared" si="41"/>
        <v>0</v>
      </c>
      <c r="Q476" s="188">
        <v>0.12303</v>
      </c>
      <c r="R476" s="188">
        <f t="shared" si="42"/>
        <v>4.79817</v>
      </c>
      <c r="S476" s="188">
        <v>0</v>
      </c>
      <c r="T476" s="189">
        <f t="shared" si="43"/>
        <v>0</v>
      </c>
      <c r="AR476" s="81" t="s">
        <v>119</v>
      </c>
      <c r="AT476" s="81" t="s">
        <v>116</v>
      </c>
      <c r="AU476" s="81" t="s">
        <v>76</v>
      </c>
      <c r="AY476" s="81" t="s">
        <v>114</v>
      </c>
      <c r="BE476" s="190">
        <f t="shared" si="44"/>
        <v>0</v>
      </c>
      <c r="BF476" s="190">
        <f t="shared" si="45"/>
        <v>0</v>
      </c>
      <c r="BG476" s="190">
        <f t="shared" si="46"/>
        <v>0</v>
      </c>
      <c r="BH476" s="190">
        <f t="shared" si="47"/>
        <v>0</v>
      </c>
      <c r="BI476" s="190">
        <f t="shared" si="48"/>
        <v>0</v>
      </c>
      <c r="BJ476" s="81" t="s">
        <v>73</v>
      </c>
      <c r="BK476" s="190">
        <f t="shared" si="49"/>
        <v>0</v>
      </c>
      <c r="BL476" s="81" t="s">
        <v>119</v>
      </c>
      <c r="BM476" s="81" t="s">
        <v>1325</v>
      </c>
    </row>
    <row r="477" spans="2:65" s="92" customFormat="1" ht="16.5" customHeight="1">
      <c r="B477" s="90"/>
      <c r="C477" s="247" t="s">
        <v>1326</v>
      </c>
      <c r="D477" s="247" t="s">
        <v>319</v>
      </c>
      <c r="E477" s="248" t="s">
        <v>608</v>
      </c>
      <c r="F477" s="267" t="s">
        <v>609</v>
      </c>
      <c r="G477" s="262" t="s">
        <v>358</v>
      </c>
      <c r="H477" s="263">
        <v>39</v>
      </c>
      <c r="I477" s="76"/>
      <c r="J477" s="252">
        <f t="shared" si="40"/>
        <v>0</v>
      </c>
      <c r="K477" s="253" t="s">
        <v>1</v>
      </c>
      <c r="L477" s="254"/>
      <c r="M477" s="255" t="s">
        <v>1</v>
      </c>
      <c r="N477" s="256" t="s">
        <v>41</v>
      </c>
      <c r="O477" s="187"/>
      <c r="P477" s="188">
        <f t="shared" si="41"/>
        <v>0</v>
      </c>
      <c r="Q477" s="188">
        <v>0.0069</v>
      </c>
      <c r="R477" s="188">
        <f t="shared" si="42"/>
        <v>0.2691</v>
      </c>
      <c r="S477" s="188">
        <v>0</v>
      </c>
      <c r="T477" s="189">
        <f t="shared" si="43"/>
        <v>0</v>
      </c>
      <c r="AR477" s="81" t="s">
        <v>183</v>
      </c>
      <c r="AT477" s="81" t="s">
        <v>319</v>
      </c>
      <c r="AU477" s="81" t="s">
        <v>76</v>
      </c>
      <c r="AY477" s="81" t="s">
        <v>114</v>
      </c>
      <c r="BE477" s="190">
        <f t="shared" si="44"/>
        <v>0</v>
      </c>
      <c r="BF477" s="190">
        <f t="shared" si="45"/>
        <v>0</v>
      </c>
      <c r="BG477" s="190">
        <f t="shared" si="46"/>
        <v>0</v>
      </c>
      <c r="BH477" s="190">
        <f t="shared" si="47"/>
        <v>0</v>
      </c>
      <c r="BI477" s="190">
        <f t="shared" si="48"/>
        <v>0</v>
      </c>
      <c r="BJ477" s="81" t="s">
        <v>73</v>
      </c>
      <c r="BK477" s="190">
        <f t="shared" si="49"/>
        <v>0</v>
      </c>
      <c r="BL477" s="81" t="s">
        <v>119</v>
      </c>
      <c r="BM477" s="81" t="s">
        <v>1327</v>
      </c>
    </row>
    <row r="478" spans="2:65" s="92" customFormat="1" ht="16.5" customHeight="1">
      <c r="B478" s="90"/>
      <c r="C478" s="178" t="s">
        <v>1328</v>
      </c>
      <c r="D478" s="178" t="s">
        <v>116</v>
      </c>
      <c r="E478" s="179" t="s">
        <v>612</v>
      </c>
      <c r="F478" s="180" t="s">
        <v>613</v>
      </c>
      <c r="G478" s="181" t="s">
        <v>358</v>
      </c>
      <c r="H478" s="182">
        <v>3</v>
      </c>
      <c r="I478" s="69"/>
      <c r="J478" s="184">
        <f t="shared" si="40"/>
        <v>0</v>
      </c>
      <c r="K478" s="180" t="s">
        <v>1</v>
      </c>
      <c r="L478" s="90"/>
      <c r="M478" s="185" t="s">
        <v>1</v>
      </c>
      <c r="N478" s="186" t="s">
        <v>41</v>
      </c>
      <c r="O478" s="187"/>
      <c r="P478" s="188">
        <f t="shared" si="41"/>
        <v>0</v>
      </c>
      <c r="Q478" s="188">
        <v>0</v>
      </c>
      <c r="R478" s="188">
        <f t="shared" si="42"/>
        <v>0</v>
      </c>
      <c r="S478" s="188">
        <v>0</v>
      </c>
      <c r="T478" s="189">
        <f t="shared" si="43"/>
        <v>0</v>
      </c>
      <c r="AR478" s="81" t="s">
        <v>119</v>
      </c>
      <c r="AT478" s="81" t="s">
        <v>116</v>
      </c>
      <c r="AU478" s="81" t="s">
        <v>76</v>
      </c>
      <c r="AY478" s="81" t="s">
        <v>114</v>
      </c>
      <c r="BE478" s="190">
        <f t="shared" si="44"/>
        <v>0</v>
      </c>
      <c r="BF478" s="190">
        <f t="shared" si="45"/>
        <v>0</v>
      </c>
      <c r="BG478" s="190">
        <f t="shared" si="46"/>
        <v>0</v>
      </c>
      <c r="BH478" s="190">
        <f t="shared" si="47"/>
        <v>0</v>
      </c>
      <c r="BI478" s="190">
        <f t="shared" si="48"/>
        <v>0</v>
      </c>
      <c r="BJ478" s="81" t="s">
        <v>73</v>
      </c>
      <c r="BK478" s="190">
        <f t="shared" si="49"/>
        <v>0</v>
      </c>
      <c r="BL478" s="81" t="s">
        <v>119</v>
      </c>
      <c r="BM478" s="81" t="s">
        <v>1329</v>
      </c>
    </row>
    <row r="479" spans="2:65" s="92" customFormat="1" ht="16.5" customHeight="1">
      <c r="B479" s="90"/>
      <c r="C479" s="178" t="s">
        <v>1330</v>
      </c>
      <c r="D479" s="178" t="s">
        <v>116</v>
      </c>
      <c r="E479" s="179" t="s">
        <v>615</v>
      </c>
      <c r="F479" s="180" t="s">
        <v>616</v>
      </c>
      <c r="G479" s="181" t="s">
        <v>358</v>
      </c>
      <c r="H479" s="182">
        <v>1</v>
      </c>
      <c r="I479" s="69"/>
      <c r="J479" s="184">
        <f t="shared" si="40"/>
        <v>0</v>
      </c>
      <c r="K479" s="180" t="s">
        <v>154</v>
      </c>
      <c r="L479" s="90"/>
      <c r="M479" s="185" t="s">
        <v>1</v>
      </c>
      <c r="N479" s="186" t="s">
        <v>41</v>
      </c>
      <c r="O479" s="187"/>
      <c r="P479" s="188">
        <f t="shared" si="41"/>
        <v>0</v>
      </c>
      <c r="Q479" s="188">
        <v>0.32906</v>
      </c>
      <c r="R479" s="188">
        <f t="shared" si="42"/>
        <v>0.32906</v>
      </c>
      <c r="S479" s="188">
        <v>0</v>
      </c>
      <c r="T479" s="189">
        <f t="shared" si="43"/>
        <v>0</v>
      </c>
      <c r="AR479" s="81" t="s">
        <v>119</v>
      </c>
      <c r="AT479" s="81" t="s">
        <v>116</v>
      </c>
      <c r="AU479" s="81" t="s">
        <v>76</v>
      </c>
      <c r="AY479" s="81" t="s">
        <v>114</v>
      </c>
      <c r="BE479" s="190">
        <f t="shared" si="44"/>
        <v>0</v>
      </c>
      <c r="BF479" s="190">
        <f t="shared" si="45"/>
        <v>0</v>
      </c>
      <c r="BG479" s="190">
        <f t="shared" si="46"/>
        <v>0</v>
      </c>
      <c r="BH479" s="190">
        <f t="shared" si="47"/>
        <v>0</v>
      </c>
      <c r="BI479" s="190">
        <f t="shared" si="48"/>
        <v>0</v>
      </c>
      <c r="BJ479" s="81" t="s">
        <v>73</v>
      </c>
      <c r="BK479" s="190">
        <f t="shared" si="49"/>
        <v>0</v>
      </c>
      <c r="BL479" s="81" t="s">
        <v>119</v>
      </c>
      <c r="BM479" s="81" t="s">
        <v>1331</v>
      </c>
    </row>
    <row r="480" spans="2:65" s="92" customFormat="1" ht="16.5" customHeight="1">
      <c r="B480" s="90"/>
      <c r="C480" s="247" t="s">
        <v>1332</v>
      </c>
      <c r="D480" s="247" t="s">
        <v>319</v>
      </c>
      <c r="E480" s="248" t="s">
        <v>619</v>
      </c>
      <c r="F480" s="253" t="s">
        <v>620</v>
      </c>
      <c r="G480" s="262" t="s">
        <v>358</v>
      </c>
      <c r="H480" s="263">
        <v>1</v>
      </c>
      <c r="I480" s="76"/>
      <c r="J480" s="252">
        <f t="shared" si="40"/>
        <v>0</v>
      </c>
      <c r="K480" s="253" t="s">
        <v>154</v>
      </c>
      <c r="L480" s="254"/>
      <c r="M480" s="255" t="s">
        <v>1</v>
      </c>
      <c r="N480" s="256" t="s">
        <v>41</v>
      </c>
      <c r="O480" s="187"/>
      <c r="P480" s="188">
        <f t="shared" si="41"/>
        <v>0</v>
      </c>
      <c r="Q480" s="188">
        <v>0.0295</v>
      </c>
      <c r="R480" s="188">
        <f t="shared" si="42"/>
        <v>0.0295</v>
      </c>
      <c r="S480" s="188">
        <v>0</v>
      </c>
      <c r="T480" s="189">
        <f t="shared" si="43"/>
        <v>0</v>
      </c>
      <c r="AR480" s="81" t="s">
        <v>183</v>
      </c>
      <c r="AT480" s="81" t="s">
        <v>319</v>
      </c>
      <c r="AU480" s="81" t="s">
        <v>76</v>
      </c>
      <c r="AY480" s="81" t="s">
        <v>114</v>
      </c>
      <c r="BE480" s="190">
        <f t="shared" si="44"/>
        <v>0</v>
      </c>
      <c r="BF480" s="190">
        <f t="shared" si="45"/>
        <v>0</v>
      </c>
      <c r="BG480" s="190">
        <f t="shared" si="46"/>
        <v>0</v>
      </c>
      <c r="BH480" s="190">
        <f t="shared" si="47"/>
        <v>0</v>
      </c>
      <c r="BI480" s="190">
        <f t="shared" si="48"/>
        <v>0</v>
      </c>
      <c r="BJ480" s="81" t="s">
        <v>73</v>
      </c>
      <c r="BK480" s="190">
        <f t="shared" si="49"/>
        <v>0</v>
      </c>
      <c r="BL480" s="81" t="s">
        <v>119</v>
      </c>
      <c r="BM480" s="81" t="s">
        <v>1333</v>
      </c>
    </row>
    <row r="481" spans="2:65" s="92" customFormat="1" ht="16.5" customHeight="1">
      <c r="B481" s="90"/>
      <c r="C481" s="247" t="s">
        <v>1334</v>
      </c>
      <c r="D481" s="247" t="s">
        <v>319</v>
      </c>
      <c r="E481" s="248" t="s">
        <v>623</v>
      </c>
      <c r="F481" s="253" t="s">
        <v>624</v>
      </c>
      <c r="G481" s="262" t="s">
        <v>358</v>
      </c>
      <c r="H481" s="263">
        <v>1</v>
      </c>
      <c r="I481" s="76"/>
      <c r="J481" s="252">
        <f t="shared" si="40"/>
        <v>0</v>
      </c>
      <c r="K481" s="253" t="s">
        <v>154</v>
      </c>
      <c r="L481" s="254"/>
      <c r="M481" s="255" t="s">
        <v>1</v>
      </c>
      <c r="N481" s="256" t="s">
        <v>41</v>
      </c>
      <c r="O481" s="187"/>
      <c r="P481" s="188">
        <f t="shared" si="41"/>
        <v>0</v>
      </c>
      <c r="Q481" s="188">
        <v>0.0019</v>
      </c>
      <c r="R481" s="188">
        <f t="shared" si="42"/>
        <v>0.0019</v>
      </c>
      <c r="S481" s="188">
        <v>0</v>
      </c>
      <c r="T481" s="189">
        <f t="shared" si="43"/>
        <v>0</v>
      </c>
      <c r="AR481" s="81" t="s">
        <v>183</v>
      </c>
      <c r="AT481" s="81" t="s">
        <v>319</v>
      </c>
      <c r="AU481" s="81" t="s">
        <v>76</v>
      </c>
      <c r="AY481" s="81" t="s">
        <v>114</v>
      </c>
      <c r="BE481" s="190">
        <f t="shared" si="44"/>
        <v>0</v>
      </c>
      <c r="BF481" s="190">
        <f t="shared" si="45"/>
        <v>0</v>
      </c>
      <c r="BG481" s="190">
        <f t="shared" si="46"/>
        <v>0</v>
      </c>
      <c r="BH481" s="190">
        <f t="shared" si="47"/>
        <v>0</v>
      </c>
      <c r="BI481" s="190">
        <f t="shared" si="48"/>
        <v>0</v>
      </c>
      <c r="BJ481" s="81" t="s">
        <v>73</v>
      </c>
      <c r="BK481" s="190">
        <f t="shared" si="49"/>
        <v>0</v>
      </c>
      <c r="BL481" s="81" t="s">
        <v>119</v>
      </c>
      <c r="BM481" s="81" t="s">
        <v>1335</v>
      </c>
    </row>
    <row r="482" spans="2:65" s="92" customFormat="1" ht="16.5" customHeight="1">
      <c r="B482" s="90"/>
      <c r="C482" s="178" t="s">
        <v>1336</v>
      </c>
      <c r="D482" s="178" t="s">
        <v>116</v>
      </c>
      <c r="E482" s="179" t="s">
        <v>627</v>
      </c>
      <c r="F482" s="180" t="s">
        <v>628</v>
      </c>
      <c r="G482" s="181" t="s">
        <v>176</v>
      </c>
      <c r="H482" s="182">
        <f>H484</f>
        <v>532.875</v>
      </c>
      <c r="I482" s="69"/>
      <c r="J482" s="184">
        <f t="shared" si="40"/>
        <v>0</v>
      </c>
      <c r="K482" s="180" t="s">
        <v>154</v>
      </c>
      <c r="L482" s="90"/>
      <c r="M482" s="185" t="s">
        <v>1</v>
      </c>
      <c r="N482" s="186" t="s">
        <v>41</v>
      </c>
      <c r="O482" s="187"/>
      <c r="P482" s="188">
        <f t="shared" si="41"/>
        <v>0</v>
      </c>
      <c r="Q482" s="188">
        <v>0.00019</v>
      </c>
      <c r="R482" s="188">
        <f t="shared" si="42"/>
        <v>0.10124625000000001</v>
      </c>
      <c r="S482" s="188">
        <v>0</v>
      </c>
      <c r="T482" s="189">
        <f t="shared" si="43"/>
        <v>0</v>
      </c>
      <c r="AR482" s="81" t="s">
        <v>119</v>
      </c>
      <c r="AT482" s="81" t="s">
        <v>116</v>
      </c>
      <c r="AU482" s="81" t="s">
        <v>76</v>
      </c>
      <c r="AY482" s="81" t="s">
        <v>114</v>
      </c>
      <c r="BE482" s="190">
        <f t="shared" si="44"/>
        <v>0</v>
      </c>
      <c r="BF482" s="190">
        <f t="shared" si="45"/>
        <v>0</v>
      </c>
      <c r="BG482" s="190">
        <f t="shared" si="46"/>
        <v>0</v>
      </c>
      <c r="BH482" s="190">
        <f t="shared" si="47"/>
        <v>0</v>
      </c>
      <c r="BI482" s="190">
        <f t="shared" si="48"/>
        <v>0</v>
      </c>
      <c r="BJ482" s="81" t="s">
        <v>73</v>
      </c>
      <c r="BK482" s="190">
        <f t="shared" si="49"/>
        <v>0</v>
      </c>
      <c r="BL482" s="81" t="s">
        <v>119</v>
      </c>
      <c r="BM482" s="81" t="s">
        <v>1337</v>
      </c>
    </row>
    <row r="483" spans="2:51" s="208" customFormat="1" ht="12">
      <c r="B483" s="202"/>
      <c r="D483" s="193" t="s">
        <v>121</v>
      </c>
      <c r="E483" s="204" t="s">
        <v>1</v>
      </c>
      <c r="F483" s="260" t="s">
        <v>1512</v>
      </c>
      <c r="H483" s="261">
        <f>(441+66.5)*1.05</f>
        <v>532.875</v>
      </c>
      <c r="I483" s="70"/>
      <c r="L483" s="202"/>
      <c r="M483" s="209"/>
      <c r="N483" s="210"/>
      <c r="O483" s="210"/>
      <c r="P483" s="210"/>
      <c r="Q483" s="210"/>
      <c r="R483" s="210"/>
      <c r="S483" s="210"/>
      <c r="T483" s="211"/>
      <c r="AT483" s="204" t="s">
        <v>121</v>
      </c>
      <c r="AU483" s="204" t="s">
        <v>76</v>
      </c>
      <c r="AV483" s="208" t="s">
        <v>76</v>
      </c>
      <c r="AW483" s="208" t="s">
        <v>32</v>
      </c>
      <c r="AX483" s="208" t="s">
        <v>68</v>
      </c>
      <c r="AY483" s="204" t="s">
        <v>114</v>
      </c>
    </row>
    <row r="484" spans="2:51" s="228" customFormat="1" ht="12">
      <c r="B484" s="222"/>
      <c r="D484" s="193" t="s">
        <v>121</v>
      </c>
      <c r="E484" s="224" t="s">
        <v>1</v>
      </c>
      <c r="F484" s="266" t="s">
        <v>150</v>
      </c>
      <c r="H484" s="264">
        <f>H483</f>
        <v>532.875</v>
      </c>
      <c r="I484" s="72"/>
      <c r="L484" s="222"/>
      <c r="M484" s="229"/>
      <c r="N484" s="230"/>
      <c r="O484" s="230"/>
      <c r="P484" s="230"/>
      <c r="Q484" s="230"/>
      <c r="R484" s="230"/>
      <c r="S484" s="230"/>
      <c r="T484" s="231"/>
      <c r="AT484" s="224" t="s">
        <v>121</v>
      </c>
      <c r="AU484" s="224" t="s">
        <v>76</v>
      </c>
      <c r="AV484" s="228" t="s">
        <v>119</v>
      </c>
      <c r="AW484" s="228" t="s">
        <v>32</v>
      </c>
      <c r="AX484" s="228" t="s">
        <v>73</v>
      </c>
      <c r="AY484" s="224" t="s">
        <v>114</v>
      </c>
    </row>
    <row r="485" spans="2:65" s="92" customFormat="1" ht="16.5" customHeight="1">
      <c r="B485" s="90"/>
      <c r="C485" s="178" t="s">
        <v>1338</v>
      </c>
      <c r="D485" s="178" t="s">
        <v>116</v>
      </c>
      <c r="E485" s="179" t="s">
        <v>631</v>
      </c>
      <c r="F485" s="180" t="s">
        <v>632</v>
      </c>
      <c r="G485" s="181" t="s">
        <v>176</v>
      </c>
      <c r="H485" s="182">
        <f>441+66.5</f>
        <v>507.5</v>
      </c>
      <c r="I485" s="69"/>
      <c r="J485" s="184">
        <f>ROUND(I485*H485,2)</f>
        <v>0</v>
      </c>
      <c r="K485" s="180" t="s">
        <v>154</v>
      </c>
      <c r="L485" s="90"/>
      <c r="M485" s="185" t="s">
        <v>1</v>
      </c>
      <c r="N485" s="186" t="s">
        <v>41</v>
      </c>
      <c r="O485" s="187"/>
      <c r="P485" s="188">
        <f>O485*H485</f>
        <v>0</v>
      </c>
      <c r="Q485" s="188">
        <v>0.00013</v>
      </c>
      <c r="R485" s="188">
        <f>Q485*H485</f>
        <v>0.06597499999999999</v>
      </c>
      <c r="S485" s="188">
        <v>0</v>
      </c>
      <c r="T485" s="189">
        <f>S485*H485</f>
        <v>0</v>
      </c>
      <c r="AR485" s="81" t="s">
        <v>119</v>
      </c>
      <c r="AT485" s="81" t="s">
        <v>116</v>
      </c>
      <c r="AU485" s="81" t="s">
        <v>76</v>
      </c>
      <c r="AY485" s="81" t="s">
        <v>114</v>
      </c>
      <c r="BE485" s="190">
        <f>IF(N485="základní",J485,0)</f>
        <v>0</v>
      </c>
      <c r="BF485" s="190">
        <f>IF(N485="snížená",J485,0)</f>
        <v>0</v>
      </c>
      <c r="BG485" s="190">
        <f>IF(N485="zákl. přenesená",J485,0)</f>
        <v>0</v>
      </c>
      <c r="BH485" s="190">
        <f>IF(N485="sníž. přenesená",J485,0)</f>
        <v>0</v>
      </c>
      <c r="BI485" s="190">
        <f>IF(N485="nulová",J485,0)</f>
        <v>0</v>
      </c>
      <c r="BJ485" s="81" t="s">
        <v>73</v>
      </c>
      <c r="BK485" s="190">
        <f>ROUND(I485*H485,2)</f>
        <v>0</v>
      </c>
      <c r="BL485" s="81" t="s">
        <v>119</v>
      </c>
      <c r="BM485" s="81" t="s">
        <v>1339</v>
      </c>
    </row>
    <row r="486" spans="2:65" s="92" customFormat="1" ht="16.5" customHeight="1">
      <c r="B486" s="90"/>
      <c r="C486" s="178"/>
      <c r="D486" s="178"/>
      <c r="E486" s="179"/>
      <c r="F486" s="319" t="s">
        <v>1509</v>
      </c>
      <c r="G486" s="181"/>
      <c r="H486" s="182"/>
      <c r="I486" s="69"/>
      <c r="J486" s="184"/>
      <c r="K486" s="180"/>
      <c r="L486" s="90"/>
      <c r="M486" s="185"/>
      <c r="N486" s="186"/>
      <c r="O486" s="187"/>
      <c r="P486" s="188"/>
      <c r="Q486" s="188"/>
      <c r="R486" s="188"/>
      <c r="S486" s="188"/>
      <c r="T486" s="189"/>
      <c r="AR486" s="81"/>
      <c r="AT486" s="81"/>
      <c r="AU486" s="81"/>
      <c r="AY486" s="81"/>
      <c r="BE486" s="190"/>
      <c r="BF486" s="190"/>
      <c r="BG486" s="190"/>
      <c r="BH486" s="190"/>
      <c r="BI486" s="190"/>
      <c r="BJ486" s="81"/>
      <c r="BK486" s="190"/>
      <c r="BL486" s="81"/>
      <c r="BM486" s="81"/>
    </row>
    <row r="487" spans="2:65" s="92" customFormat="1" ht="16.5" customHeight="1">
      <c r="B487" s="90"/>
      <c r="C487" s="178" t="s">
        <v>1550</v>
      </c>
      <c r="D487" s="178" t="s">
        <v>116</v>
      </c>
      <c r="E487" s="179"/>
      <c r="F487" s="180" t="s">
        <v>1551</v>
      </c>
      <c r="G487" s="181" t="s">
        <v>176</v>
      </c>
      <c r="H487" s="182">
        <v>100</v>
      </c>
      <c r="I487" s="69"/>
      <c r="J487" s="184">
        <f aca="true" t="shared" si="50" ref="J487:J493">ROUND(I487*H487,2)</f>
        <v>0</v>
      </c>
      <c r="K487" s="180" t="s">
        <v>154</v>
      </c>
      <c r="L487" s="90"/>
      <c r="M487" s="185" t="s">
        <v>1</v>
      </c>
      <c r="N487" s="186" t="s">
        <v>41</v>
      </c>
      <c r="O487" s="187"/>
      <c r="P487" s="188">
        <f aca="true" t="shared" si="51" ref="P487:P493">O487*H487</f>
        <v>0</v>
      </c>
      <c r="Q487" s="188">
        <v>0.00013</v>
      </c>
      <c r="R487" s="188">
        <f>Q487*H487</f>
        <v>0.013</v>
      </c>
      <c r="S487" s="188">
        <v>0</v>
      </c>
      <c r="T487" s="189">
        <f>S487*H487</f>
        <v>0</v>
      </c>
      <c r="AR487" s="81" t="s">
        <v>119</v>
      </c>
      <c r="AT487" s="81" t="s">
        <v>116</v>
      </c>
      <c r="AU487" s="81" t="s">
        <v>76</v>
      </c>
      <c r="AY487" s="81" t="s">
        <v>114</v>
      </c>
      <c r="BE487" s="190">
        <f>IF(N487="základní",J487,0)</f>
        <v>0</v>
      </c>
      <c r="BF487" s="190">
        <f>IF(N487="snížená",J487,0)</f>
        <v>0</v>
      </c>
      <c r="BG487" s="190">
        <f>IF(N487="zákl. přenesená",J487,0)</f>
        <v>0</v>
      </c>
      <c r="BH487" s="190">
        <f>IF(N487="sníž. přenesená",J487,0)</f>
        <v>0</v>
      </c>
      <c r="BI487" s="190">
        <f>IF(N487="nulová",J487,0)</f>
        <v>0</v>
      </c>
      <c r="BJ487" s="81" t="s">
        <v>73</v>
      </c>
      <c r="BK487" s="190">
        <f>ROUND(I487*H487,2)</f>
        <v>0</v>
      </c>
      <c r="BL487" s="81" t="s">
        <v>119</v>
      </c>
      <c r="BM487" s="81" t="s">
        <v>1339</v>
      </c>
    </row>
    <row r="488" spans="2:65" s="92" customFormat="1" ht="16.5" customHeight="1">
      <c r="B488" s="90"/>
      <c r="C488" s="178" t="s">
        <v>1552</v>
      </c>
      <c r="D488" s="178"/>
      <c r="E488" s="179"/>
      <c r="F488" s="180" t="s">
        <v>1553</v>
      </c>
      <c r="G488" s="181" t="s">
        <v>358</v>
      </c>
      <c r="H488" s="182">
        <v>2</v>
      </c>
      <c r="I488" s="69"/>
      <c r="J488" s="184">
        <f t="shared" si="50"/>
        <v>0</v>
      </c>
      <c r="K488" s="180" t="s">
        <v>154</v>
      </c>
      <c r="L488" s="90"/>
      <c r="M488" s="185" t="s">
        <v>1</v>
      </c>
      <c r="N488" s="186" t="s">
        <v>41</v>
      </c>
      <c r="O488" s="187"/>
      <c r="P488" s="188">
        <f t="shared" si="51"/>
        <v>0</v>
      </c>
      <c r="Q488" s="188">
        <v>0.00013</v>
      </c>
      <c r="R488" s="188">
        <f>Q488*H488</f>
        <v>0.00026</v>
      </c>
      <c r="S488" s="188">
        <v>0</v>
      </c>
      <c r="T488" s="189">
        <f>S488*H488</f>
        <v>0</v>
      </c>
      <c r="AR488" s="81"/>
      <c r="AT488" s="81"/>
      <c r="AU488" s="81"/>
      <c r="AY488" s="81"/>
      <c r="BE488" s="190"/>
      <c r="BF488" s="190"/>
      <c r="BG488" s="190"/>
      <c r="BH488" s="190"/>
      <c r="BI488" s="190"/>
      <c r="BJ488" s="81"/>
      <c r="BK488" s="190"/>
      <c r="BL488" s="81"/>
      <c r="BM488" s="81"/>
    </row>
    <row r="489" spans="2:65" s="92" customFormat="1" ht="16.5" customHeight="1">
      <c r="B489" s="90"/>
      <c r="C489" s="178" t="s">
        <v>1340</v>
      </c>
      <c r="D489" s="178" t="s">
        <v>116</v>
      </c>
      <c r="E489" s="179" t="s">
        <v>635</v>
      </c>
      <c r="F489" s="180" t="s">
        <v>636</v>
      </c>
      <c r="G489" s="181" t="s">
        <v>492</v>
      </c>
      <c r="H489" s="182">
        <v>1</v>
      </c>
      <c r="I489" s="69"/>
      <c r="J489" s="184">
        <f t="shared" si="50"/>
        <v>0</v>
      </c>
      <c r="K489" s="180" t="s">
        <v>1</v>
      </c>
      <c r="L489" s="90"/>
      <c r="M489" s="185" t="s">
        <v>1</v>
      </c>
      <c r="N489" s="186" t="s">
        <v>41</v>
      </c>
      <c r="O489" s="187"/>
      <c r="P489" s="188">
        <f t="shared" si="51"/>
        <v>0</v>
      </c>
      <c r="Q489" s="188">
        <v>0</v>
      </c>
      <c r="R489" s="188">
        <f>Q489*H489</f>
        <v>0</v>
      </c>
      <c r="S489" s="188">
        <v>0</v>
      </c>
      <c r="T489" s="189">
        <f>S489*H489</f>
        <v>0</v>
      </c>
      <c r="AR489" s="81" t="s">
        <v>119</v>
      </c>
      <c r="AT489" s="81" t="s">
        <v>116</v>
      </c>
      <c r="AU489" s="81" t="s">
        <v>76</v>
      </c>
      <c r="AY489" s="81" t="s">
        <v>114</v>
      </c>
      <c r="BE489" s="190">
        <f>IF(N489="základní",J489,0)</f>
        <v>0</v>
      </c>
      <c r="BF489" s="190">
        <f>IF(N489="snížená",J489,0)</f>
        <v>0</v>
      </c>
      <c r="BG489" s="190">
        <f>IF(N489="zákl. přenesená",J489,0)</f>
        <v>0</v>
      </c>
      <c r="BH489" s="190">
        <f>IF(N489="sníž. přenesená",J489,0)</f>
        <v>0</v>
      </c>
      <c r="BI489" s="190">
        <f>IF(N489="nulová",J489,0)</f>
        <v>0</v>
      </c>
      <c r="BJ489" s="81" t="s">
        <v>73</v>
      </c>
      <c r="BK489" s="190">
        <f>ROUND(I489*H489,2)</f>
        <v>0</v>
      </c>
      <c r="BL489" s="81" t="s">
        <v>119</v>
      </c>
      <c r="BM489" s="81" t="s">
        <v>1341</v>
      </c>
    </row>
    <row r="490" spans="2:65" s="92" customFormat="1" ht="16.5" customHeight="1">
      <c r="B490" s="90"/>
      <c r="C490" s="178" t="s">
        <v>1342</v>
      </c>
      <c r="D490" s="178" t="s">
        <v>116</v>
      </c>
      <c r="E490" s="179" t="s">
        <v>1343</v>
      </c>
      <c r="F490" s="180" t="s">
        <v>1344</v>
      </c>
      <c r="G490" s="181" t="s">
        <v>492</v>
      </c>
      <c r="H490" s="182">
        <v>6</v>
      </c>
      <c r="I490" s="69"/>
      <c r="J490" s="184">
        <f t="shared" si="50"/>
        <v>0</v>
      </c>
      <c r="K490" s="180" t="s">
        <v>1</v>
      </c>
      <c r="L490" s="90"/>
      <c r="M490" s="185" t="s">
        <v>1</v>
      </c>
      <c r="N490" s="186" t="s">
        <v>41</v>
      </c>
      <c r="O490" s="187"/>
      <c r="P490" s="188">
        <f t="shared" si="51"/>
        <v>0</v>
      </c>
      <c r="Q490" s="188">
        <v>0</v>
      </c>
      <c r="R490" s="188">
        <f>Q490*H490</f>
        <v>0</v>
      </c>
      <c r="S490" s="188">
        <v>0</v>
      </c>
      <c r="T490" s="189">
        <f>S490*H490</f>
        <v>0</v>
      </c>
      <c r="AR490" s="81" t="s">
        <v>119</v>
      </c>
      <c r="AT490" s="81" t="s">
        <v>116</v>
      </c>
      <c r="AU490" s="81" t="s">
        <v>76</v>
      </c>
      <c r="AY490" s="81" t="s">
        <v>114</v>
      </c>
      <c r="BE490" s="190">
        <f>IF(N490="základní",J490,0)</f>
        <v>0</v>
      </c>
      <c r="BF490" s="190">
        <f>IF(N490="snížená",J490,0)</f>
        <v>0</v>
      </c>
      <c r="BG490" s="190">
        <f>IF(N490="zákl. přenesená",J490,0)</f>
        <v>0</v>
      </c>
      <c r="BH490" s="190">
        <f>IF(N490="sníž. přenesená",J490,0)</f>
        <v>0</v>
      </c>
      <c r="BI490" s="190">
        <f>IF(N490="nulová",J490,0)</f>
        <v>0</v>
      </c>
      <c r="BJ490" s="81" t="s">
        <v>73</v>
      </c>
      <c r="BK490" s="190">
        <f>ROUND(I490*H490,2)</f>
        <v>0</v>
      </c>
      <c r="BL490" s="81" t="s">
        <v>119</v>
      </c>
      <c r="BM490" s="81" t="s">
        <v>1345</v>
      </c>
    </row>
    <row r="491" spans="2:65" s="92" customFormat="1" ht="16.5" customHeight="1">
      <c r="B491" s="90"/>
      <c r="C491" s="178" t="s">
        <v>1347</v>
      </c>
      <c r="D491" s="178" t="s">
        <v>116</v>
      </c>
      <c r="E491" s="179" t="s">
        <v>1348</v>
      </c>
      <c r="F491" s="180" t="s">
        <v>1349</v>
      </c>
      <c r="G491" s="181" t="s">
        <v>358</v>
      </c>
      <c r="H491" s="182">
        <v>6</v>
      </c>
      <c r="I491" s="69"/>
      <c r="J491" s="184">
        <f t="shared" si="50"/>
        <v>0</v>
      </c>
      <c r="K491" s="180" t="s">
        <v>154</v>
      </c>
      <c r="L491" s="90"/>
      <c r="M491" s="185" t="s">
        <v>1</v>
      </c>
      <c r="N491" s="186" t="s">
        <v>41</v>
      </c>
      <c r="O491" s="187"/>
      <c r="P491" s="188">
        <f t="shared" si="51"/>
        <v>0</v>
      </c>
      <c r="Q491" s="188">
        <v>0.001</v>
      </c>
      <c r="R491" s="188">
        <f>Q491*H491</f>
        <v>0.006</v>
      </c>
      <c r="S491" s="188">
        <v>0</v>
      </c>
      <c r="T491" s="189">
        <f>S491*H491</f>
        <v>0</v>
      </c>
      <c r="AR491" s="81" t="s">
        <v>119</v>
      </c>
      <c r="AT491" s="81" t="s">
        <v>116</v>
      </c>
      <c r="AU491" s="81" t="s">
        <v>76</v>
      </c>
      <c r="AY491" s="81" t="s">
        <v>114</v>
      </c>
      <c r="BE491" s="190">
        <f>IF(N491="základní",J491,0)</f>
        <v>0</v>
      </c>
      <c r="BF491" s="190">
        <f>IF(N491="snížená",J491,0)</f>
        <v>0</v>
      </c>
      <c r="BG491" s="190">
        <f>IF(N491="zákl. přenesená",J491,0)</f>
        <v>0</v>
      </c>
      <c r="BH491" s="190">
        <f>IF(N491="sníž. přenesená",J491,0)</f>
        <v>0</v>
      </c>
      <c r="BI491" s="190">
        <f>IF(N491="nulová",J491,0)</f>
        <v>0</v>
      </c>
      <c r="BJ491" s="81" t="s">
        <v>73</v>
      </c>
      <c r="BK491" s="190">
        <f>ROUND(I491*H491,2)</f>
        <v>0</v>
      </c>
      <c r="BL491" s="81" t="s">
        <v>119</v>
      </c>
      <c r="BM491" s="81" t="s">
        <v>1350</v>
      </c>
    </row>
    <row r="492" spans="2:65" s="92" customFormat="1" ht="16.5" customHeight="1">
      <c r="B492" s="90"/>
      <c r="C492" s="297" t="s">
        <v>1351</v>
      </c>
      <c r="D492" s="298"/>
      <c r="E492" s="299"/>
      <c r="F492" s="300" t="s">
        <v>1515</v>
      </c>
      <c r="G492" s="301" t="s">
        <v>358</v>
      </c>
      <c r="H492" s="302">
        <v>17</v>
      </c>
      <c r="I492" s="77"/>
      <c r="J492" s="303">
        <f t="shared" si="50"/>
        <v>0</v>
      </c>
      <c r="K492" s="304"/>
      <c r="L492" s="90"/>
      <c r="M492" s="185"/>
      <c r="N492" s="186"/>
      <c r="O492" s="187"/>
      <c r="P492" s="188">
        <f t="shared" si="51"/>
        <v>0</v>
      </c>
      <c r="Q492" s="188"/>
      <c r="R492" s="188"/>
      <c r="S492" s="188"/>
      <c r="T492" s="189"/>
      <c r="AR492" s="81"/>
      <c r="AT492" s="81"/>
      <c r="AU492" s="81"/>
      <c r="AY492" s="81"/>
      <c r="BE492" s="190"/>
      <c r="BF492" s="190"/>
      <c r="BG492" s="190"/>
      <c r="BH492" s="190"/>
      <c r="BI492" s="190"/>
      <c r="BJ492" s="81"/>
      <c r="BK492" s="190">
        <f>ROUND(I492*H492,2)</f>
        <v>0</v>
      </c>
      <c r="BL492" s="81"/>
      <c r="BM492" s="81"/>
    </row>
    <row r="493" spans="2:65" s="92" customFormat="1" ht="16.5" customHeight="1">
      <c r="B493" s="90"/>
      <c r="C493" s="297" t="s">
        <v>1352</v>
      </c>
      <c r="D493" s="298"/>
      <c r="E493" s="299"/>
      <c r="F493" s="300" t="s">
        <v>1516</v>
      </c>
      <c r="G493" s="301" t="s">
        <v>358</v>
      </c>
      <c r="H493" s="302">
        <v>6</v>
      </c>
      <c r="I493" s="77"/>
      <c r="J493" s="303">
        <f t="shared" si="50"/>
        <v>0</v>
      </c>
      <c r="K493" s="304"/>
      <c r="L493" s="90"/>
      <c r="M493" s="185"/>
      <c r="N493" s="186"/>
      <c r="O493" s="187"/>
      <c r="P493" s="188">
        <f t="shared" si="51"/>
        <v>0</v>
      </c>
      <c r="Q493" s="188"/>
      <c r="R493" s="188"/>
      <c r="S493" s="188"/>
      <c r="T493" s="189"/>
      <c r="AR493" s="81"/>
      <c r="AT493" s="81"/>
      <c r="AU493" s="81"/>
      <c r="AY493" s="81"/>
      <c r="BE493" s="190"/>
      <c r="BF493" s="190"/>
      <c r="BG493" s="190"/>
      <c r="BH493" s="190"/>
      <c r="BI493" s="190"/>
      <c r="BJ493" s="81"/>
      <c r="BK493" s="190">
        <f>ROUND(I493*H493,2)</f>
        <v>0</v>
      </c>
      <c r="BL493" s="81"/>
      <c r="BM493" s="81"/>
    </row>
    <row r="494" ht="12">
      <c r="I494" s="73"/>
    </row>
    <row r="495" spans="2:63" s="166" customFormat="1" ht="22.9" customHeight="1">
      <c r="B495" s="162"/>
      <c r="D495" s="164" t="s">
        <v>67</v>
      </c>
      <c r="E495" s="175" t="s">
        <v>188</v>
      </c>
      <c r="F495" s="175" t="s">
        <v>638</v>
      </c>
      <c r="I495" s="74"/>
      <c r="J495" s="176">
        <f>SUM(J496:J520)</f>
        <v>0</v>
      </c>
      <c r="L495" s="162"/>
      <c r="M495" s="169"/>
      <c r="N495" s="170"/>
      <c r="O495" s="170"/>
      <c r="P495" s="171">
        <f>SUM(P496:P524)</f>
        <v>0</v>
      </c>
      <c r="Q495" s="170"/>
      <c r="R495" s="171">
        <f>SUM(R496:R524)</f>
        <v>1.125</v>
      </c>
      <c r="S495" s="170"/>
      <c r="T495" s="172">
        <f>SUM(T496:T524)</f>
        <v>32.004</v>
      </c>
      <c r="AR495" s="164" t="s">
        <v>73</v>
      </c>
      <c r="AT495" s="173" t="s">
        <v>67</v>
      </c>
      <c r="AU495" s="173" t="s">
        <v>73</v>
      </c>
      <c r="AY495" s="164" t="s">
        <v>114</v>
      </c>
      <c r="BK495" s="174">
        <f>SUM(BK496:BK524)</f>
        <v>0</v>
      </c>
    </row>
    <row r="496" spans="2:65" s="92" customFormat="1" ht="16.5" customHeight="1">
      <c r="B496" s="90"/>
      <c r="C496" s="178" t="s">
        <v>1360</v>
      </c>
      <c r="D496" s="178" t="s">
        <v>116</v>
      </c>
      <c r="E496" s="179" t="s">
        <v>1361</v>
      </c>
      <c r="F496" s="180" t="s">
        <v>1362</v>
      </c>
      <c r="G496" s="181" t="s">
        <v>176</v>
      </c>
      <c r="H496" s="182">
        <v>6</v>
      </c>
      <c r="I496" s="69"/>
      <c r="J496" s="184">
        <f>ROUND(I496*H496,2)</f>
        <v>0</v>
      </c>
      <c r="K496" s="180" t="s">
        <v>154</v>
      </c>
      <c r="L496" s="90"/>
      <c r="M496" s="185" t="s">
        <v>1</v>
      </c>
      <c r="N496" s="186" t="s">
        <v>41</v>
      </c>
      <c r="O496" s="187"/>
      <c r="P496" s="188">
        <f>O496*H496</f>
        <v>0</v>
      </c>
      <c r="Q496" s="188">
        <v>0.1295</v>
      </c>
      <c r="R496" s="188">
        <f>Q496*H496</f>
        <v>0.777</v>
      </c>
      <c r="S496" s="188">
        <v>0</v>
      </c>
      <c r="T496" s="189">
        <f>S496*H496</f>
        <v>0</v>
      </c>
      <c r="AR496" s="81" t="s">
        <v>119</v>
      </c>
      <c r="AT496" s="81" t="s">
        <v>116</v>
      </c>
      <c r="AU496" s="81" t="s">
        <v>76</v>
      </c>
      <c r="AY496" s="81" t="s">
        <v>114</v>
      </c>
      <c r="BE496" s="190">
        <f>IF(N496="základní",J496,0)</f>
        <v>0</v>
      </c>
      <c r="BF496" s="190">
        <f>IF(N496="snížená",J496,0)</f>
        <v>0</v>
      </c>
      <c r="BG496" s="190">
        <f>IF(N496="zákl. přenesená",J496,0)</f>
        <v>0</v>
      </c>
      <c r="BH496" s="190">
        <f>IF(N496="sníž. přenesená",J496,0)</f>
        <v>0</v>
      </c>
      <c r="BI496" s="190">
        <f>IF(N496="nulová",J496,0)</f>
        <v>0</v>
      </c>
      <c r="BJ496" s="81" t="s">
        <v>73</v>
      </c>
      <c r="BK496" s="190">
        <f>ROUND(I496*H496,2)</f>
        <v>0</v>
      </c>
      <c r="BL496" s="81" t="s">
        <v>119</v>
      </c>
      <c r="BM496" s="81" t="s">
        <v>1363</v>
      </c>
    </row>
    <row r="497" spans="2:65" s="92" customFormat="1" ht="16.5" customHeight="1">
      <c r="B497" s="90"/>
      <c r="C497" s="247" t="s">
        <v>1364</v>
      </c>
      <c r="D497" s="247" t="s">
        <v>319</v>
      </c>
      <c r="E497" s="248" t="s">
        <v>1365</v>
      </c>
      <c r="F497" s="253" t="s">
        <v>1366</v>
      </c>
      <c r="G497" s="262" t="s">
        <v>176</v>
      </c>
      <c r="H497" s="263">
        <v>6</v>
      </c>
      <c r="I497" s="76"/>
      <c r="J497" s="252">
        <f>ROUND(I497*H497,2)</f>
        <v>0</v>
      </c>
      <c r="K497" s="253" t="s">
        <v>154</v>
      </c>
      <c r="L497" s="254"/>
      <c r="M497" s="255" t="s">
        <v>1</v>
      </c>
      <c r="N497" s="256" t="s">
        <v>41</v>
      </c>
      <c r="O497" s="187"/>
      <c r="P497" s="188">
        <f>O497*H497</f>
        <v>0</v>
      </c>
      <c r="Q497" s="188">
        <v>0.058</v>
      </c>
      <c r="R497" s="188">
        <f>Q497*H497</f>
        <v>0.34800000000000003</v>
      </c>
      <c r="S497" s="188">
        <v>0</v>
      </c>
      <c r="T497" s="189">
        <f>S497*H497</f>
        <v>0</v>
      </c>
      <c r="AR497" s="81" t="s">
        <v>183</v>
      </c>
      <c r="AT497" s="81" t="s">
        <v>319</v>
      </c>
      <c r="AU497" s="81" t="s">
        <v>76</v>
      </c>
      <c r="AY497" s="81" t="s">
        <v>114</v>
      </c>
      <c r="BE497" s="190">
        <f>IF(N497="základní",J497,0)</f>
        <v>0</v>
      </c>
      <c r="BF497" s="190">
        <f>IF(N497="snížená",J497,0)</f>
        <v>0</v>
      </c>
      <c r="BG497" s="190">
        <f>IF(N497="zákl. přenesená",J497,0)</f>
        <v>0</v>
      </c>
      <c r="BH497" s="190">
        <f>IF(N497="sníž. přenesená",J497,0)</f>
        <v>0</v>
      </c>
      <c r="BI497" s="190">
        <f>IF(N497="nulová",J497,0)</f>
        <v>0</v>
      </c>
      <c r="BJ497" s="81" t="s">
        <v>73</v>
      </c>
      <c r="BK497" s="190">
        <f>ROUND(I497*H497,2)</f>
        <v>0</v>
      </c>
      <c r="BL497" s="81" t="s">
        <v>119</v>
      </c>
      <c r="BM497" s="81" t="s">
        <v>1367</v>
      </c>
    </row>
    <row r="498" spans="2:65" s="92" customFormat="1" ht="16.5" customHeight="1">
      <c r="B498" s="90"/>
      <c r="C498" s="178" t="s">
        <v>1368</v>
      </c>
      <c r="D498" s="178" t="s">
        <v>116</v>
      </c>
      <c r="E498" s="179" t="s">
        <v>640</v>
      </c>
      <c r="F498" s="180" t="s">
        <v>641</v>
      </c>
      <c r="G498" s="181" t="s">
        <v>176</v>
      </c>
      <c r="H498" s="182">
        <v>911</v>
      </c>
      <c r="I498" s="69"/>
      <c r="J498" s="184">
        <f>ROUND(I498*H498,2)</f>
        <v>0</v>
      </c>
      <c r="K498" s="180" t="s">
        <v>154</v>
      </c>
      <c r="L498" s="90"/>
      <c r="M498" s="185" t="s">
        <v>1</v>
      </c>
      <c r="N498" s="186" t="s">
        <v>41</v>
      </c>
      <c r="O498" s="187"/>
      <c r="P498" s="188">
        <f>O498*H498</f>
        <v>0</v>
      </c>
      <c r="Q498" s="188">
        <v>0</v>
      </c>
      <c r="R498" s="188">
        <f>Q498*H498</f>
        <v>0</v>
      </c>
      <c r="S498" s="188">
        <v>0</v>
      </c>
      <c r="T498" s="189">
        <f>S498*H498</f>
        <v>0</v>
      </c>
      <c r="AR498" s="81" t="s">
        <v>119</v>
      </c>
      <c r="AT498" s="81" t="s">
        <v>116</v>
      </c>
      <c r="AU498" s="81" t="s">
        <v>76</v>
      </c>
      <c r="AY498" s="81" t="s">
        <v>114</v>
      </c>
      <c r="BE498" s="190">
        <f>IF(N498="základní",J498,0)</f>
        <v>0</v>
      </c>
      <c r="BF498" s="190">
        <f>IF(N498="snížená",J498,0)</f>
        <v>0</v>
      </c>
      <c r="BG498" s="190">
        <f>IF(N498="zákl. přenesená",J498,0)</f>
        <v>0</v>
      </c>
      <c r="BH498" s="190">
        <f>IF(N498="sníž. přenesená",J498,0)</f>
        <v>0</v>
      </c>
      <c r="BI498" s="190">
        <f>IF(N498="nulová",J498,0)</f>
        <v>0</v>
      </c>
      <c r="BJ498" s="81" t="s">
        <v>73</v>
      </c>
      <c r="BK498" s="190">
        <f>ROUND(I498*H498,2)</f>
        <v>0</v>
      </c>
      <c r="BL498" s="81" t="s">
        <v>119</v>
      </c>
      <c r="BM498" s="81" t="s">
        <v>1369</v>
      </c>
    </row>
    <row r="499" spans="2:51" s="208" customFormat="1" ht="12">
      <c r="B499" s="202"/>
      <c r="D499" s="193" t="s">
        <v>121</v>
      </c>
      <c r="E499" s="204" t="s">
        <v>1</v>
      </c>
      <c r="F499" s="260" t="s">
        <v>1370</v>
      </c>
      <c r="H499" s="261">
        <v>831</v>
      </c>
      <c r="I499" s="70"/>
      <c r="L499" s="202"/>
      <c r="M499" s="209"/>
      <c r="N499" s="210"/>
      <c r="O499" s="210"/>
      <c r="P499" s="210"/>
      <c r="Q499" s="210"/>
      <c r="R499" s="210"/>
      <c r="S499" s="210"/>
      <c r="T499" s="211"/>
      <c r="AT499" s="204" t="s">
        <v>121</v>
      </c>
      <c r="AU499" s="204" t="s">
        <v>76</v>
      </c>
      <c r="AV499" s="208" t="s">
        <v>76</v>
      </c>
      <c r="AW499" s="208" t="s">
        <v>32</v>
      </c>
      <c r="AX499" s="208" t="s">
        <v>68</v>
      </c>
      <c r="AY499" s="204" t="s">
        <v>114</v>
      </c>
    </row>
    <row r="500" spans="2:51" s="208" customFormat="1" ht="12">
      <c r="B500" s="202"/>
      <c r="D500" s="193" t="s">
        <v>121</v>
      </c>
      <c r="E500" s="204" t="s">
        <v>1</v>
      </c>
      <c r="F500" s="260" t="s">
        <v>1371</v>
      </c>
      <c r="H500" s="261">
        <v>28</v>
      </c>
      <c r="I500" s="70"/>
      <c r="L500" s="202"/>
      <c r="M500" s="209"/>
      <c r="N500" s="210"/>
      <c r="O500" s="210"/>
      <c r="P500" s="210"/>
      <c r="Q500" s="210"/>
      <c r="R500" s="210"/>
      <c r="S500" s="210"/>
      <c r="T500" s="211"/>
      <c r="AT500" s="204" t="s">
        <v>121</v>
      </c>
      <c r="AU500" s="204" t="s">
        <v>76</v>
      </c>
      <c r="AV500" s="208" t="s">
        <v>76</v>
      </c>
      <c r="AW500" s="208" t="s">
        <v>32</v>
      </c>
      <c r="AX500" s="208" t="s">
        <v>68</v>
      </c>
      <c r="AY500" s="204" t="s">
        <v>114</v>
      </c>
    </row>
    <row r="501" spans="2:51" s="208" customFormat="1" ht="12">
      <c r="B501" s="202"/>
      <c r="D501" s="193" t="s">
        <v>121</v>
      </c>
      <c r="E501" s="204" t="s">
        <v>1</v>
      </c>
      <c r="F501" s="260" t="s">
        <v>1372</v>
      </c>
      <c r="H501" s="261">
        <v>52</v>
      </c>
      <c r="I501" s="70"/>
      <c r="L501" s="202"/>
      <c r="M501" s="209"/>
      <c r="N501" s="210"/>
      <c r="O501" s="210"/>
      <c r="P501" s="210"/>
      <c r="Q501" s="210"/>
      <c r="R501" s="210"/>
      <c r="S501" s="210"/>
      <c r="T501" s="211"/>
      <c r="AT501" s="204" t="s">
        <v>121</v>
      </c>
      <c r="AU501" s="204" t="s">
        <v>76</v>
      </c>
      <c r="AV501" s="208" t="s">
        <v>76</v>
      </c>
      <c r="AW501" s="208" t="s">
        <v>32</v>
      </c>
      <c r="AX501" s="208" t="s">
        <v>68</v>
      </c>
      <c r="AY501" s="204" t="s">
        <v>114</v>
      </c>
    </row>
    <row r="502" spans="2:51" s="228" customFormat="1" ht="12">
      <c r="B502" s="222"/>
      <c r="D502" s="193" t="s">
        <v>121</v>
      </c>
      <c r="E502" s="224" t="s">
        <v>1</v>
      </c>
      <c r="F502" s="266" t="s">
        <v>150</v>
      </c>
      <c r="H502" s="264">
        <v>911</v>
      </c>
      <c r="I502" s="72"/>
      <c r="L502" s="222"/>
      <c r="M502" s="229"/>
      <c r="N502" s="230"/>
      <c r="O502" s="230"/>
      <c r="P502" s="230"/>
      <c r="Q502" s="230"/>
      <c r="R502" s="230"/>
      <c r="S502" s="230"/>
      <c r="T502" s="231"/>
      <c r="AT502" s="224" t="s">
        <v>121</v>
      </c>
      <c r="AU502" s="224" t="s">
        <v>76</v>
      </c>
      <c r="AV502" s="228" t="s">
        <v>119</v>
      </c>
      <c r="AW502" s="228" t="s">
        <v>32</v>
      </c>
      <c r="AX502" s="228" t="s">
        <v>73</v>
      </c>
      <c r="AY502" s="224" t="s">
        <v>114</v>
      </c>
    </row>
    <row r="503" spans="2:65" s="92" customFormat="1" ht="16.5" customHeight="1">
      <c r="B503" s="90"/>
      <c r="C503" s="178" t="s">
        <v>1373</v>
      </c>
      <c r="D503" s="178" t="s">
        <v>116</v>
      </c>
      <c r="E503" s="179" t="s">
        <v>644</v>
      </c>
      <c r="F503" s="180" t="s">
        <v>645</v>
      </c>
      <c r="G503" s="181" t="s">
        <v>176</v>
      </c>
      <c r="H503" s="182">
        <v>1028</v>
      </c>
      <c r="I503" s="69"/>
      <c r="J503" s="184">
        <f>ROUND(I503*H503,2)</f>
        <v>0</v>
      </c>
      <c r="K503" s="180" t="s">
        <v>154</v>
      </c>
      <c r="L503" s="90"/>
      <c r="M503" s="185" t="s">
        <v>1</v>
      </c>
      <c r="N503" s="186" t="s">
        <v>41</v>
      </c>
      <c r="O503" s="187"/>
      <c r="P503" s="188">
        <f>O503*H503</f>
        <v>0</v>
      </c>
      <c r="Q503" s="188">
        <v>0</v>
      </c>
      <c r="R503" s="188">
        <f>Q503*H503</f>
        <v>0</v>
      </c>
      <c r="S503" s="188">
        <v>0</v>
      </c>
      <c r="T503" s="189">
        <f>S503*H503</f>
        <v>0</v>
      </c>
      <c r="AR503" s="81" t="s">
        <v>119</v>
      </c>
      <c r="AT503" s="81" t="s">
        <v>116</v>
      </c>
      <c r="AU503" s="81" t="s">
        <v>76</v>
      </c>
      <c r="AY503" s="81" t="s">
        <v>114</v>
      </c>
      <c r="BE503" s="190">
        <f>IF(N503="základní",J503,0)</f>
        <v>0</v>
      </c>
      <c r="BF503" s="190">
        <f>IF(N503="snížená",J503,0)</f>
        <v>0</v>
      </c>
      <c r="BG503" s="190">
        <f>IF(N503="zákl. přenesená",J503,0)</f>
        <v>0</v>
      </c>
      <c r="BH503" s="190">
        <f>IF(N503="sníž. přenesená",J503,0)</f>
        <v>0</v>
      </c>
      <c r="BI503" s="190">
        <f>IF(N503="nulová",J503,0)</f>
        <v>0</v>
      </c>
      <c r="BJ503" s="81" t="s">
        <v>73</v>
      </c>
      <c r="BK503" s="190">
        <f>ROUND(I503*H503,2)</f>
        <v>0</v>
      </c>
      <c r="BL503" s="81" t="s">
        <v>119</v>
      </c>
      <c r="BM503" s="81" t="s">
        <v>1374</v>
      </c>
    </row>
    <row r="504" spans="2:51" s="208" customFormat="1" ht="12">
      <c r="B504" s="202"/>
      <c r="D504" s="193" t="s">
        <v>121</v>
      </c>
      <c r="E504" s="204" t="s">
        <v>1</v>
      </c>
      <c r="F504" s="260" t="s">
        <v>1370</v>
      </c>
      <c r="H504" s="261">
        <v>831</v>
      </c>
      <c r="I504" s="70"/>
      <c r="L504" s="202"/>
      <c r="M504" s="209"/>
      <c r="N504" s="210"/>
      <c r="O504" s="210"/>
      <c r="P504" s="210"/>
      <c r="Q504" s="210"/>
      <c r="R504" s="210"/>
      <c r="S504" s="210"/>
      <c r="T504" s="211"/>
      <c r="AT504" s="204" t="s">
        <v>121</v>
      </c>
      <c r="AU504" s="204" t="s">
        <v>76</v>
      </c>
      <c r="AV504" s="208" t="s">
        <v>76</v>
      </c>
      <c r="AW504" s="208" t="s">
        <v>32</v>
      </c>
      <c r="AX504" s="208" t="s">
        <v>68</v>
      </c>
      <c r="AY504" s="204" t="s">
        <v>114</v>
      </c>
    </row>
    <row r="505" spans="2:51" s="208" customFormat="1" ht="12">
      <c r="B505" s="202"/>
      <c r="D505" s="193" t="s">
        <v>121</v>
      </c>
      <c r="E505" s="204" t="s">
        <v>1</v>
      </c>
      <c r="F505" s="260" t="s">
        <v>1375</v>
      </c>
      <c r="H505" s="261">
        <v>16</v>
      </c>
      <c r="I505" s="70"/>
      <c r="L505" s="202"/>
      <c r="M505" s="209"/>
      <c r="N505" s="210"/>
      <c r="O505" s="210"/>
      <c r="P505" s="210"/>
      <c r="Q505" s="210"/>
      <c r="R505" s="210"/>
      <c r="S505" s="210"/>
      <c r="T505" s="211"/>
      <c r="AT505" s="204" t="s">
        <v>121</v>
      </c>
      <c r="AU505" s="204" t="s">
        <v>76</v>
      </c>
      <c r="AV505" s="208" t="s">
        <v>76</v>
      </c>
      <c r="AW505" s="208" t="s">
        <v>32</v>
      </c>
      <c r="AX505" s="208" t="s">
        <v>68</v>
      </c>
      <c r="AY505" s="204" t="s">
        <v>114</v>
      </c>
    </row>
    <row r="506" spans="2:51" s="208" customFormat="1" ht="12">
      <c r="B506" s="202"/>
      <c r="D506" s="193" t="s">
        <v>121</v>
      </c>
      <c r="E506" s="204" t="s">
        <v>1</v>
      </c>
      <c r="F506" s="260" t="s">
        <v>1376</v>
      </c>
      <c r="H506" s="261">
        <v>129</v>
      </c>
      <c r="I506" s="70"/>
      <c r="L506" s="202"/>
      <c r="M506" s="209"/>
      <c r="N506" s="210"/>
      <c r="O506" s="210"/>
      <c r="P506" s="210"/>
      <c r="Q506" s="210"/>
      <c r="R506" s="210"/>
      <c r="S506" s="210"/>
      <c r="T506" s="211"/>
      <c r="AT506" s="204" t="s">
        <v>121</v>
      </c>
      <c r="AU506" s="204" t="s">
        <v>76</v>
      </c>
      <c r="AV506" s="208" t="s">
        <v>76</v>
      </c>
      <c r="AW506" s="208" t="s">
        <v>32</v>
      </c>
      <c r="AX506" s="208" t="s">
        <v>68</v>
      </c>
      <c r="AY506" s="204" t="s">
        <v>114</v>
      </c>
    </row>
    <row r="507" spans="2:51" s="208" customFormat="1" ht="12">
      <c r="B507" s="202"/>
      <c r="D507" s="193" t="s">
        <v>121</v>
      </c>
      <c r="E507" s="204" t="s">
        <v>1</v>
      </c>
      <c r="F507" s="260" t="s">
        <v>1372</v>
      </c>
      <c r="H507" s="261">
        <v>52</v>
      </c>
      <c r="I507" s="70"/>
      <c r="L507" s="202"/>
      <c r="M507" s="209"/>
      <c r="N507" s="210"/>
      <c r="O507" s="210"/>
      <c r="P507" s="210"/>
      <c r="Q507" s="210"/>
      <c r="R507" s="210"/>
      <c r="S507" s="210"/>
      <c r="T507" s="211"/>
      <c r="AT507" s="204" t="s">
        <v>121</v>
      </c>
      <c r="AU507" s="204" t="s">
        <v>76</v>
      </c>
      <c r="AV507" s="208" t="s">
        <v>76</v>
      </c>
      <c r="AW507" s="208" t="s">
        <v>32</v>
      </c>
      <c r="AX507" s="208" t="s">
        <v>68</v>
      </c>
      <c r="AY507" s="204" t="s">
        <v>114</v>
      </c>
    </row>
    <row r="508" spans="2:51" s="228" customFormat="1" ht="12">
      <c r="B508" s="222"/>
      <c r="D508" s="193" t="s">
        <v>121</v>
      </c>
      <c r="E508" s="224" t="s">
        <v>1</v>
      </c>
      <c r="F508" s="266" t="s">
        <v>150</v>
      </c>
      <c r="H508" s="264">
        <v>1028</v>
      </c>
      <c r="I508" s="72"/>
      <c r="L508" s="222"/>
      <c r="M508" s="229"/>
      <c r="N508" s="230"/>
      <c r="O508" s="230"/>
      <c r="P508" s="230"/>
      <c r="Q508" s="230"/>
      <c r="R508" s="230"/>
      <c r="S508" s="230"/>
      <c r="T508" s="231"/>
      <c r="AT508" s="224" t="s">
        <v>121</v>
      </c>
      <c r="AU508" s="224" t="s">
        <v>76</v>
      </c>
      <c r="AV508" s="228" t="s">
        <v>119</v>
      </c>
      <c r="AW508" s="228" t="s">
        <v>32</v>
      </c>
      <c r="AX508" s="228" t="s">
        <v>73</v>
      </c>
      <c r="AY508" s="224" t="s">
        <v>114</v>
      </c>
    </row>
    <row r="509" spans="2:65" s="92" customFormat="1" ht="16.5" customHeight="1">
      <c r="B509" s="90"/>
      <c r="C509" s="178" t="s">
        <v>1377</v>
      </c>
      <c r="D509" s="178" t="s">
        <v>116</v>
      </c>
      <c r="E509" s="179" t="s">
        <v>1378</v>
      </c>
      <c r="F509" s="180" t="s">
        <v>1379</v>
      </c>
      <c r="G509" s="181" t="s">
        <v>783</v>
      </c>
      <c r="H509" s="182">
        <v>4</v>
      </c>
      <c r="I509" s="69"/>
      <c r="J509" s="184">
        <f>ROUND(I509*H509,2)</f>
        <v>0</v>
      </c>
      <c r="K509" s="180" t="s">
        <v>1</v>
      </c>
      <c r="L509" s="90"/>
      <c r="M509" s="185" t="s">
        <v>1</v>
      </c>
      <c r="N509" s="186" t="s">
        <v>41</v>
      </c>
      <c r="O509" s="187"/>
      <c r="P509" s="188">
        <f>O509*H509</f>
        <v>0</v>
      </c>
      <c r="Q509" s="188">
        <v>0</v>
      </c>
      <c r="R509" s="188">
        <f>Q509*H509</f>
        <v>0</v>
      </c>
      <c r="S509" s="188">
        <v>0</v>
      </c>
      <c r="T509" s="189">
        <f>S509*H509</f>
        <v>0</v>
      </c>
      <c r="AR509" s="81" t="s">
        <v>119</v>
      </c>
      <c r="AT509" s="81" t="s">
        <v>116</v>
      </c>
      <c r="AU509" s="81" t="s">
        <v>76</v>
      </c>
      <c r="AY509" s="81" t="s">
        <v>114</v>
      </c>
      <c r="BE509" s="190">
        <f>IF(N509="základní",J509,0)</f>
        <v>0</v>
      </c>
      <c r="BF509" s="190">
        <f>IF(N509="snížená",J509,0)</f>
        <v>0</v>
      </c>
      <c r="BG509" s="190">
        <f>IF(N509="zákl. přenesená",J509,0)</f>
        <v>0</v>
      </c>
      <c r="BH509" s="190">
        <f>IF(N509="sníž. přenesená",J509,0)</f>
        <v>0</v>
      </c>
      <c r="BI509" s="190">
        <f>IF(N509="nulová",J509,0)</f>
        <v>0</v>
      </c>
      <c r="BJ509" s="81" t="s">
        <v>73</v>
      </c>
      <c r="BK509" s="190">
        <f>ROUND(I509*H509,2)</f>
        <v>0</v>
      </c>
      <c r="BL509" s="81" t="s">
        <v>119</v>
      </c>
      <c r="BM509" s="81" t="s">
        <v>1380</v>
      </c>
    </row>
    <row r="510" spans="2:65" s="92" customFormat="1" ht="16.5" customHeight="1">
      <c r="B510" s="90"/>
      <c r="C510" s="178" t="s">
        <v>1381</v>
      </c>
      <c r="D510" s="178" t="s">
        <v>116</v>
      </c>
      <c r="E510" s="179" t="s">
        <v>1382</v>
      </c>
      <c r="F510" s="180" t="s">
        <v>1383</v>
      </c>
      <c r="G510" s="181" t="s">
        <v>783</v>
      </c>
      <c r="H510" s="182">
        <v>4</v>
      </c>
      <c r="I510" s="69"/>
      <c r="J510" s="184">
        <f>ROUND(I510*H510,2)</f>
        <v>0</v>
      </c>
      <c r="K510" s="180" t="s">
        <v>1</v>
      </c>
      <c r="L510" s="90"/>
      <c r="M510" s="185" t="s">
        <v>1</v>
      </c>
      <c r="N510" s="186" t="s">
        <v>41</v>
      </c>
      <c r="O510" s="187"/>
      <c r="P510" s="188">
        <f>O510*H510</f>
        <v>0</v>
      </c>
      <c r="Q510" s="188">
        <v>0</v>
      </c>
      <c r="R510" s="188">
        <f>Q510*H510</f>
        <v>0</v>
      </c>
      <c r="S510" s="188">
        <v>0</v>
      </c>
      <c r="T510" s="189">
        <f>S510*H510</f>
        <v>0</v>
      </c>
      <c r="AR510" s="81" t="s">
        <v>119</v>
      </c>
      <c r="AT510" s="81" t="s">
        <v>116</v>
      </c>
      <c r="AU510" s="81" t="s">
        <v>76</v>
      </c>
      <c r="AY510" s="81" t="s">
        <v>114</v>
      </c>
      <c r="BE510" s="190">
        <f>IF(N510="základní",J510,0)</f>
        <v>0</v>
      </c>
      <c r="BF510" s="190">
        <f>IF(N510="snížená",J510,0)</f>
        <v>0</v>
      </c>
      <c r="BG510" s="190">
        <f>IF(N510="zákl. přenesená",J510,0)</f>
        <v>0</v>
      </c>
      <c r="BH510" s="190">
        <f>IF(N510="sníž. přenesená",J510,0)</f>
        <v>0</v>
      </c>
      <c r="BI510" s="190">
        <f>IF(N510="nulová",J510,0)</f>
        <v>0</v>
      </c>
      <c r="BJ510" s="81" t="s">
        <v>73</v>
      </c>
      <c r="BK510" s="190">
        <f>ROUND(I510*H510,2)</f>
        <v>0</v>
      </c>
      <c r="BL510" s="81" t="s">
        <v>119</v>
      </c>
      <c r="BM510" s="81" t="s">
        <v>1384</v>
      </c>
    </row>
    <row r="511" spans="2:65" s="92" customFormat="1" ht="16.5" customHeight="1">
      <c r="B511" s="90"/>
      <c r="C511" s="178" t="s">
        <v>1385</v>
      </c>
      <c r="D511" s="178" t="s">
        <v>116</v>
      </c>
      <c r="E511" s="179" t="s">
        <v>648</v>
      </c>
      <c r="F511" s="180" t="s">
        <v>1386</v>
      </c>
      <c r="G511" s="181" t="s">
        <v>176</v>
      </c>
      <c r="H511" s="182">
        <v>303</v>
      </c>
      <c r="I511" s="69"/>
      <c r="J511" s="184">
        <f>ROUND(I511*H511,2)</f>
        <v>0</v>
      </c>
      <c r="K511" s="180" t="s">
        <v>1</v>
      </c>
      <c r="L511" s="90"/>
      <c r="M511" s="185" t="s">
        <v>1</v>
      </c>
      <c r="N511" s="186" t="s">
        <v>41</v>
      </c>
      <c r="O511" s="187"/>
      <c r="P511" s="188">
        <f>O511*H511</f>
        <v>0</v>
      </c>
      <c r="Q511" s="188">
        <v>0</v>
      </c>
      <c r="R511" s="188">
        <f>Q511*H511</f>
        <v>0</v>
      </c>
      <c r="S511" s="188">
        <v>0</v>
      </c>
      <c r="T511" s="189">
        <f>S511*H511</f>
        <v>0</v>
      </c>
      <c r="AR511" s="81" t="s">
        <v>119</v>
      </c>
      <c r="AT511" s="81" t="s">
        <v>116</v>
      </c>
      <c r="AU511" s="81" t="s">
        <v>76</v>
      </c>
      <c r="AY511" s="81" t="s">
        <v>114</v>
      </c>
      <c r="BE511" s="190">
        <f>IF(N511="základní",J511,0)</f>
        <v>0</v>
      </c>
      <c r="BF511" s="190">
        <f>IF(N511="snížená",J511,0)</f>
        <v>0</v>
      </c>
      <c r="BG511" s="190">
        <f>IF(N511="zákl. přenesená",J511,0)</f>
        <v>0</v>
      </c>
      <c r="BH511" s="190">
        <f>IF(N511="sníž. přenesená",J511,0)</f>
        <v>0</v>
      </c>
      <c r="BI511" s="190">
        <f>IF(N511="nulová",J511,0)</f>
        <v>0</v>
      </c>
      <c r="BJ511" s="81" t="s">
        <v>73</v>
      </c>
      <c r="BK511" s="190">
        <f>ROUND(I511*H511,2)</f>
        <v>0</v>
      </c>
      <c r="BL511" s="81" t="s">
        <v>119</v>
      </c>
      <c r="BM511" s="81" t="s">
        <v>1387</v>
      </c>
    </row>
    <row r="512" spans="2:65" s="92" customFormat="1" ht="16.5" customHeight="1">
      <c r="B512" s="90"/>
      <c r="C512" s="178" t="s">
        <v>1388</v>
      </c>
      <c r="D512" s="178" t="s">
        <v>116</v>
      </c>
      <c r="E512" s="179" t="s">
        <v>1389</v>
      </c>
      <c r="F512" s="180" t="s">
        <v>1390</v>
      </c>
      <c r="G512" s="181" t="s">
        <v>176</v>
      </c>
      <c r="H512" s="182">
        <f>H516</f>
        <v>508</v>
      </c>
      <c r="I512" s="69"/>
      <c r="J512" s="184">
        <f>ROUND(I512*H512,2)</f>
        <v>0</v>
      </c>
      <c r="K512" s="180" t="s">
        <v>1</v>
      </c>
      <c r="L512" s="90"/>
      <c r="M512" s="185" t="s">
        <v>1</v>
      </c>
      <c r="N512" s="186" t="s">
        <v>41</v>
      </c>
      <c r="O512" s="187"/>
      <c r="P512" s="188">
        <f>O512*H512</f>
        <v>0</v>
      </c>
      <c r="Q512" s="188">
        <v>0</v>
      </c>
      <c r="R512" s="188">
        <f>Q512*H512</f>
        <v>0</v>
      </c>
      <c r="S512" s="188">
        <v>0.063</v>
      </c>
      <c r="T512" s="189">
        <f>S512*H512</f>
        <v>32.004</v>
      </c>
      <c r="AR512" s="81" t="s">
        <v>119</v>
      </c>
      <c r="AT512" s="81" t="s">
        <v>116</v>
      </c>
      <c r="AU512" s="81" t="s">
        <v>76</v>
      </c>
      <c r="AY512" s="81" t="s">
        <v>114</v>
      </c>
      <c r="BE512" s="190">
        <f>IF(N512="základní",J512,0)</f>
        <v>0</v>
      </c>
      <c r="BF512" s="190">
        <f>IF(N512="snížená",J512,0)</f>
        <v>0</v>
      </c>
      <c r="BG512" s="190">
        <f>IF(N512="zákl. přenesená",J512,0)</f>
        <v>0</v>
      </c>
      <c r="BH512" s="190">
        <f>IF(N512="sníž. přenesená",J512,0)</f>
        <v>0</v>
      </c>
      <c r="BI512" s="190">
        <f>IF(N512="nulová",J512,0)</f>
        <v>0</v>
      </c>
      <c r="BJ512" s="81" t="s">
        <v>73</v>
      </c>
      <c r="BK512" s="190">
        <f>ROUND(I512*H512,2)</f>
        <v>0</v>
      </c>
      <c r="BL512" s="81" t="s">
        <v>119</v>
      </c>
      <c r="BM512" s="81" t="s">
        <v>1391</v>
      </c>
    </row>
    <row r="513" spans="2:51" s="198" customFormat="1" ht="12">
      <c r="B513" s="191"/>
      <c r="D513" s="193" t="s">
        <v>121</v>
      </c>
      <c r="E513" s="194" t="s">
        <v>1</v>
      </c>
      <c r="F513" s="259" t="s">
        <v>1392</v>
      </c>
      <c r="H513" s="194" t="s">
        <v>1</v>
      </c>
      <c r="I513" s="71"/>
      <c r="L513" s="191"/>
      <c r="M513" s="199"/>
      <c r="N513" s="200"/>
      <c r="O513" s="200"/>
      <c r="P513" s="200"/>
      <c r="Q513" s="200"/>
      <c r="R513" s="200"/>
      <c r="S513" s="200"/>
      <c r="T513" s="201"/>
      <c r="AT513" s="194" t="s">
        <v>121</v>
      </c>
      <c r="AU513" s="194" t="s">
        <v>76</v>
      </c>
      <c r="AV513" s="198" t="s">
        <v>73</v>
      </c>
      <c r="AW513" s="198" t="s">
        <v>32</v>
      </c>
      <c r="AX513" s="198" t="s">
        <v>68</v>
      </c>
      <c r="AY513" s="194" t="s">
        <v>114</v>
      </c>
    </row>
    <row r="514" spans="2:51" s="208" customFormat="1" ht="12">
      <c r="B514" s="202"/>
      <c r="D514" s="193" t="s">
        <v>121</v>
      </c>
      <c r="E514" s="204" t="s">
        <v>1</v>
      </c>
      <c r="F514" s="260" t="s">
        <v>1393</v>
      </c>
      <c r="H514" s="261">
        <v>789</v>
      </c>
      <c r="I514" s="70"/>
      <c r="L514" s="202"/>
      <c r="M514" s="209"/>
      <c r="N514" s="210"/>
      <c r="O514" s="210"/>
      <c r="P514" s="210"/>
      <c r="Q514" s="210"/>
      <c r="R514" s="210"/>
      <c r="S514" s="210"/>
      <c r="T514" s="211"/>
      <c r="AT514" s="204" t="s">
        <v>121</v>
      </c>
      <c r="AU514" s="204" t="s">
        <v>76</v>
      </c>
      <c r="AV514" s="208" t="s">
        <v>76</v>
      </c>
      <c r="AW514" s="208" t="s">
        <v>32</v>
      </c>
      <c r="AX514" s="208" t="s">
        <v>68</v>
      </c>
      <c r="AY514" s="204" t="s">
        <v>114</v>
      </c>
    </row>
    <row r="515" spans="2:51" s="208" customFormat="1" ht="12">
      <c r="B515" s="202"/>
      <c r="D515" s="193" t="s">
        <v>121</v>
      </c>
      <c r="E515" s="204" t="s">
        <v>1</v>
      </c>
      <c r="F515" s="260">
        <f>-113-168</f>
        <v>-281</v>
      </c>
      <c r="H515" s="261">
        <f>-113-168</f>
        <v>-281</v>
      </c>
      <c r="I515" s="70"/>
      <c r="L515" s="202"/>
      <c r="M515" s="209"/>
      <c r="N515" s="210"/>
      <c r="O515" s="210"/>
      <c r="P515" s="210"/>
      <c r="Q515" s="210"/>
      <c r="R515" s="210"/>
      <c r="S515" s="210"/>
      <c r="T515" s="211"/>
      <c r="AT515" s="204" t="s">
        <v>121</v>
      </c>
      <c r="AU515" s="204" t="s">
        <v>76</v>
      </c>
      <c r="AV515" s="208" t="s">
        <v>76</v>
      </c>
      <c r="AW515" s="208" t="s">
        <v>32</v>
      </c>
      <c r="AX515" s="208" t="s">
        <v>68</v>
      </c>
      <c r="AY515" s="204" t="s">
        <v>114</v>
      </c>
    </row>
    <row r="516" spans="2:51" s="228" customFormat="1" ht="12">
      <c r="B516" s="222"/>
      <c r="D516" s="193" t="s">
        <v>121</v>
      </c>
      <c r="E516" s="224" t="s">
        <v>1</v>
      </c>
      <c r="F516" s="266" t="s">
        <v>150</v>
      </c>
      <c r="H516" s="264">
        <f>H514+H515</f>
        <v>508</v>
      </c>
      <c r="I516" s="72"/>
      <c r="L516" s="222"/>
      <c r="M516" s="229"/>
      <c r="N516" s="230"/>
      <c r="O516" s="230"/>
      <c r="P516" s="230"/>
      <c r="Q516" s="230"/>
      <c r="R516" s="230"/>
      <c r="S516" s="230"/>
      <c r="T516" s="231"/>
      <c r="AT516" s="224" t="s">
        <v>121</v>
      </c>
      <c r="AU516" s="224" t="s">
        <v>76</v>
      </c>
      <c r="AV516" s="228" t="s">
        <v>119</v>
      </c>
      <c r="AW516" s="228" t="s">
        <v>32</v>
      </c>
      <c r="AX516" s="228" t="s">
        <v>73</v>
      </c>
      <c r="AY516" s="224" t="s">
        <v>114</v>
      </c>
    </row>
    <row r="517" spans="2:65" s="92" customFormat="1" ht="22.5" customHeight="1">
      <c r="B517" s="90"/>
      <c r="C517" s="178" t="s">
        <v>1394</v>
      </c>
      <c r="D517" s="178" t="s">
        <v>116</v>
      </c>
      <c r="E517" s="179" t="s">
        <v>1395</v>
      </c>
      <c r="F517" s="180" t="s">
        <v>1396</v>
      </c>
      <c r="G517" s="181" t="s">
        <v>191</v>
      </c>
      <c r="H517" s="182">
        <v>26</v>
      </c>
      <c r="I517" s="69"/>
      <c r="J517" s="184">
        <f>ROUND(I517*H517,2)</f>
        <v>0</v>
      </c>
      <c r="K517" s="180" t="s">
        <v>1</v>
      </c>
      <c r="L517" s="90"/>
      <c r="M517" s="185" t="s">
        <v>1</v>
      </c>
      <c r="N517" s="186" t="s">
        <v>41</v>
      </c>
      <c r="O517" s="187"/>
      <c r="P517" s="188">
        <f>O517*H517</f>
        <v>0</v>
      </c>
      <c r="Q517" s="188">
        <v>0</v>
      </c>
      <c r="R517" s="188">
        <f>Q517*H517</f>
        <v>0</v>
      </c>
      <c r="S517" s="188">
        <v>0</v>
      </c>
      <c r="T517" s="189">
        <f>S517*H517</f>
        <v>0</v>
      </c>
      <c r="AR517" s="81" t="s">
        <v>119</v>
      </c>
      <c r="AT517" s="81" t="s">
        <v>116</v>
      </c>
      <c r="AU517" s="81" t="s">
        <v>76</v>
      </c>
      <c r="AY517" s="81" t="s">
        <v>114</v>
      </c>
      <c r="BE517" s="190">
        <f>IF(N517="základní",J517,0)</f>
        <v>0</v>
      </c>
      <c r="BF517" s="190">
        <f>IF(N517="snížená",J517,0)</f>
        <v>0</v>
      </c>
      <c r="BG517" s="190">
        <f>IF(N517="zákl. přenesená",J517,0)</f>
        <v>0</v>
      </c>
      <c r="BH517" s="190">
        <f>IF(N517="sníž. přenesená",J517,0)</f>
        <v>0</v>
      </c>
      <c r="BI517" s="190">
        <f>IF(N517="nulová",J517,0)</f>
        <v>0</v>
      </c>
      <c r="BJ517" s="81" t="s">
        <v>73</v>
      </c>
      <c r="BK517" s="190">
        <f>ROUND(I517*H517,2)</f>
        <v>0</v>
      </c>
      <c r="BL517" s="81" t="s">
        <v>119</v>
      </c>
      <c r="BM517" s="81" t="s">
        <v>1397</v>
      </c>
    </row>
    <row r="518" spans="2:51" s="208" customFormat="1" ht="12">
      <c r="B518" s="202"/>
      <c r="D518" s="193" t="s">
        <v>121</v>
      </c>
      <c r="E518" s="204" t="s">
        <v>1</v>
      </c>
      <c r="F518" s="260" t="s">
        <v>302</v>
      </c>
      <c r="H518" s="261">
        <v>26</v>
      </c>
      <c r="I518" s="70"/>
      <c r="L518" s="202"/>
      <c r="M518" s="209"/>
      <c r="N518" s="210"/>
      <c r="O518" s="210"/>
      <c r="P518" s="210"/>
      <c r="Q518" s="210"/>
      <c r="R518" s="210"/>
      <c r="S518" s="210"/>
      <c r="T518" s="211"/>
      <c r="AT518" s="204" t="s">
        <v>121</v>
      </c>
      <c r="AU518" s="204" t="s">
        <v>76</v>
      </c>
      <c r="AV518" s="208" t="s">
        <v>76</v>
      </c>
      <c r="AW518" s="208" t="s">
        <v>32</v>
      </c>
      <c r="AX518" s="208" t="s">
        <v>68</v>
      </c>
      <c r="AY518" s="204" t="s">
        <v>114</v>
      </c>
    </row>
    <row r="519" spans="2:51" s="228" customFormat="1" ht="12">
      <c r="B519" s="222"/>
      <c r="D519" s="193" t="s">
        <v>121</v>
      </c>
      <c r="E519" s="224" t="s">
        <v>1</v>
      </c>
      <c r="F519" s="266" t="s">
        <v>150</v>
      </c>
      <c r="H519" s="264">
        <v>26</v>
      </c>
      <c r="I519" s="72"/>
      <c r="L519" s="222"/>
      <c r="M519" s="229"/>
      <c r="N519" s="230"/>
      <c r="O519" s="230"/>
      <c r="P519" s="230"/>
      <c r="Q519" s="230"/>
      <c r="R519" s="230"/>
      <c r="S519" s="230"/>
      <c r="T519" s="231"/>
      <c r="AT519" s="224" t="s">
        <v>121</v>
      </c>
      <c r="AU519" s="224" t="s">
        <v>76</v>
      </c>
      <c r="AV519" s="228" t="s">
        <v>119</v>
      </c>
      <c r="AW519" s="228" t="s">
        <v>32</v>
      </c>
      <c r="AX519" s="228" t="s">
        <v>73</v>
      </c>
      <c r="AY519" s="224" t="s">
        <v>114</v>
      </c>
    </row>
    <row r="520" spans="2:65" s="92" customFormat="1" ht="16.5" customHeight="1">
      <c r="B520" s="90"/>
      <c r="C520" s="178" t="s">
        <v>1398</v>
      </c>
      <c r="D520" s="178" t="s">
        <v>116</v>
      </c>
      <c r="E520" s="179" t="s">
        <v>1399</v>
      </c>
      <c r="F520" s="180" t="s">
        <v>1400</v>
      </c>
      <c r="G520" s="181" t="s">
        <v>191</v>
      </c>
      <c r="H520" s="182">
        <v>104</v>
      </c>
      <c r="I520" s="69"/>
      <c r="J520" s="184">
        <f>ROUND(I520*H520,2)</f>
        <v>0</v>
      </c>
      <c r="K520" s="180" t="s">
        <v>1</v>
      </c>
      <c r="L520" s="90"/>
      <c r="M520" s="185" t="s">
        <v>1</v>
      </c>
      <c r="N520" s="186" t="s">
        <v>41</v>
      </c>
      <c r="O520" s="187"/>
      <c r="P520" s="188">
        <f>O520*H520</f>
        <v>0</v>
      </c>
      <c r="Q520" s="188">
        <v>0</v>
      </c>
      <c r="R520" s="188">
        <f>Q520*H520</f>
        <v>0</v>
      </c>
      <c r="S520" s="188">
        <v>0</v>
      </c>
      <c r="T520" s="189">
        <f>S520*H520</f>
        <v>0</v>
      </c>
      <c r="AR520" s="81" t="s">
        <v>119</v>
      </c>
      <c r="AT520" s="81" t="s">
        <v>116</v>
      </c>
      <c r="AU520" s="81" t="s">
        <v>76</v>
      </c>
      <c r="AY520" s="81" t="s">
        <v>114</v>
      </c>
      <c r="BE520" s="190">
        <f>IF(N520="základní",J520,0)</f>
        <v>0</v>
      </c>
      <c r="BF520" s="190">
        <f>IF(N520="snížená",J520,0)</f>
        <v>0</v>
      </c>
      <c r="BG520" s="190">
        <f>IF(N520="zákl. přenesená",J520,0)</f>
        <v>0</v>
      </c>
      <c r="BH520" s="190">
        <f>IF(N520="sníž. přenesená",J520,0)</f>
        <v>0</v>
      </c>
      <c r="BI520" s="190">
        <f>IF(N520="nulová",J520,0)</f>
        <v>0</v>
      </c>
      <c r="BJ520" s="81" t="s">
        <v>73</v>
      </c>
      <c r="BK520" s="190">
        <f>ROUND(I520*H520,2)</f>
        <v>0</v>
      </c>
      <c r="BL520" s="81" t="s">
        <v>119</v>
      </c>
      <c r="BM520" s="81" t="s">
        <v>1401</v>
      </c>
    </row>
    <row r="521" spans="2:51" s="198" customFormat="1" ht="12">
      <c r="B521" s="191"/>
      <c r="D521" s="193" t="s">
        <v>121</v>
      </c>
      <c r="E521" s="194" t="s">
        <v>1</v>
      </c>
      <c r="F521" s="259" t="s">
        <v>1402</v>
      </c>
      <c r="H521" s="194" t="s">
        <v>1</v>
      </c>
      <c r="I521" s="71"/>
      <c r="L521" s="191"/>
      <c r="M521" s="199"/>
      <c r="N521" s="200"/>
      <c r="O521" s="200"/>
      <c r="P521" s="200"/>
      <c r="Q521" s="200"/>
      <c r="R521" s="200"/>
      <c r="S521" s="200"/>
      <c r="T521" s="201"/>
      <c r="AT521" s="194" t="s">
        <v>121</v>
      </c>
      <c r="AU521" s="194" t="s">
        <v>76</v>
      </c>
      <c r="AV521" s="198" t="s">
        <v>73</v>
      </c>
      <c r="AW521" s="198" t="s">
        <v>32</v>
      </c>
      <c r="AX521" s="198" t="s">
        <v>68</v>
      </c>
      <c r="AY521" s="194" t="s">
        <v>114</v>
      </c>
    </row>
    <row r="522" spans="2:51" s="198" customFormat="1" ht="12">
      <c r="B522" s="191"/>
      <c r="D522" s="193" t="s">
        <v>121</v>
      </c>
      <c r="E522" s="194" t="s">
        <v>1</v>
      </c>
      <c r="F522" s="259" t="s">
        <v>1403</v>
      </c>
      <c r="H522" s="194" t="s">
        <v>1</v>
      </c>
      <c r="I522" s="71"/>
      <c r="L522" s="191"/>
      <c r="M522" s="199"/>
      <c r="N522" s="200"/>
      <c r="O522" s="200"/>
      <c r="P522" s="200"/>
      <c r="Q522" s="200"/>
      <c r="R522" s="200"/>
      <c r="S522" s="200"/>
      <c r="T522" s="201"/>
      <c r="AT522" s="194" t="s">
        <v>121</v>
      </c>
      <c r="AU522" s="194" t="s">
        <v>76</v>
      </c>
      <c r="AV522" s="198" t="s">
        <v>73</v>
      </c>
      <c r="AW522" s="198" t="s">
        <v>32</v>
      </c>
      <c r="AX522" s="198" t="s">
        <v>68</v>
      </c>
      <c r="AY522" s="194" t="s">
        <v>114</v>
      </c>
    </row>
    <row r="523" spans="2:51" s="208" customFormat="1" ht="12">
      <c r="B523" s="202"/>
      <c r="D523" s="193" t="s">
        <v>121</v>
      </c>
      <c r="E523" s="204" t="s">
        <v>1</v>
      </c>
      <c r="F523" s="260" t="s">
        <v>647</v>
      </c>
      <c r="H523" s="261">
        <v>104</v>
      </c>
      <c r="I523" s="70"/>
      <c r="L523" s="202"/>
      <c r="M523" s="209"/>
      <c r="N523" s="210"/>
      <c r="O523" s="210"/>
      <c r="P523" s="210"/>
      <c r="Q523" s="210"/>
      <c r="R523" s="210"/>
      <c r="S523" s="210"/>
      <c r="T523" s="211"/>
      <c r="AT523" s="204" t="s">
        <v>121</v>
      </c>
      <c r="AU523" s="204" t="s">
        <v>76</v>
      </c>
      <c r="AV523" s="208" t="s">
        <v>76</v>
      </c>
      <c r="AW523" s="208" t="s">
        <v>32</v>
      </c>
      <c r="AX523" s="208" t="s">
        <v>68</v>
      </c>
      <c r="AY523" s="204" t="s">
        <v>114</v>
      </c>
    </row>
    <row r="524" spans="2:51" s="228" customFormat="1" ht="12">
      <c r="B524" s="222"/>
      <c r="D524" s="193" t="s">
        <v>121</v>
      </c>
      <c r="E524" s="224" t="s">
        <v>1</v>
      </c>
      <c r="F524" s="266" t="s">
        <v>150</v>
      </c>
      <c r="H524" s="264">
        <v>104</v>
      </c>
      <c r="I524" s="72"/>
      <c r="L524" s="222"/>
      <c r="M524" s="229"/>
      <c r="N524" s="230"/>
      <c r="O524" s="230"/>
      <c r="P524" s="230"/>
      <c r="Q524" s="230"/>
      <c r="R524" s="230"/>
      <c r="S524" s="230"/>
      <c r="T524" s="231"/>
      <c r="AT524" s="224" t="s">
        <v>121</v>
      </c>
      <c r="AU524" s="224" t="s">
        <v>76</v>
      </c>
      <c r="AV524" s="228" t="s">
        <v>119</v>
      </c>
      <c r="AW524" s="228" t="s">
        <v>32</v>
      </c>
      <c r="AX524" s="228" t="s">
        <v>73</v>
      </c>
      <c r="AY524" s="224" t="s">
        <v>114</v>
      </c>
    </row>
    <row r="525" spans="2:51" s="228" customFormat="1" ht="12">
      <c r="B525" s="222"/>
      <c r="D525" s="193"/>
      <c r="E525" s="224"/>
      <c r="F525" s="266"/>
      <c r="H525" s="264"/>
      <c r="I525" s="72"/>
      <c r="L525" s="222"/>
      <c r="M525" s="229"/>
      <c r="N525" s="230"/>
      <c r="O525" s="230"/>
      <c r="P525" s="230"/>
      <c r="Q525" s="230"/>
      <c r="R525" s="230"/>
      <c r="S525" s="230"/>
      <c r="T525" s="231"/>
      <c r="AT525" s="224"/>
      <c r="AU525" s="224"/>
      <c r="AY525" s="224"/>
    </row>
    <row r="526" spans="2:63" s="166" customFormat="1" ht="22.9" customHeight="1">
      <c r="B526" s="162"/>
      <c r="D526" s="164" t="s">
        <v>67</v>
      </c>
      <c r="E526" s="175" t="s">
        <v>1404</v>
      </c>
      <c r="F526" s="175" t="s">
        <v>1405</v>
      </c>
      <c r="I526" s="74"/>
      <c r="J526" s="176">
        <f>SUM(J527:J538)</f>
        <v>0</v>
      </c>
      <c r="L526" s="162"/>
      <c r="M526" s="169"/>
      <c r="N526" s="170"/>
      <c r="O526" s="170"/>
      <c r="P526" s="171">
        <f>SUM(P527:P535)</f>
        <v>0</v>
      </c>
      <c r="Q526" s="170"/>
      <c r="R526" s="171">
        <f>SUM(R527:R535)</f>
        <v>0</v>
      </c>
      <c r="S526" s="170"/>
      <c r="T526" s="172">
        <f>SUM(T527:T535)</f>
        <v>0</v>
      </c>
      <c r="AR526" s="164" t="s">
        <v>73</v>
      </c>
      <c r="AT526" s="173" t="s">
        <v>67</v>
      </c>
      <c r="AU526" s="173" t="s">
        <v>73</v>
      </c>
      <c r="AY526" s="164" t="s">
        <v>114</v>
      </c>
      <c r="BK526" s="174">
        <f>SUM(BK527:BK535)</f>
        <v>0</v>
      </c>
    </row>
    <row r="527" spans="2:65" s="92" customFormat="1" ht="16.5" customHeight="1">
      <c r="B527" s="90"/>
      <c r="C527" s="178" t="s">
        <v>1406</v>
      </c>
      <c r="D527" s="178" t="s">
        <v>116</v>
      </c>
      <c r="E527" s="179" t="s">
        <v>1407</v>
      </c>
      <c r="F527" s="180" t="s">
        <v>1408</v>
      </c>
      <c r="G527" s="181" t="s">
        <v>300</v>
      </c>
      <c r="H527" s="182">
        <v>9.928</v>
      </c>
      <c r="I527" s="69"/>
      <c r="J527" s="184">
        <f>ROUND(I527*H527,2)</f>
        <v>0</v>
      </c>
      <c r="K527" s="180" t="s">
        <v>154</v>
      </c>
      <c r="L527" s="90"/>
      <c r="M527" s="185" t="s">
        <v>1</v>
      </c>
      <c r="N527" s="186" t="s">
        <v>41</v>
      </c>
      <c r="O527" s="187"/>
      <c r="P527" s="188">
        <f>O527*H527</f>
        <v>0</v>
      </c>
      <c r="Q527" s="188">
        <v>0</v>
      </c>
      <c r="R527" s="188">
        <f>Q527*H527</f>
        <v>0</v>
      </c>
      <c r="S527" s="188">
        <v>0</v>
      </c>
      <c r="T527" s="189">
        <f>S527*H527</f>
        <v>0</v>
      </c>
      <c r="AR527" s="81" t="s">
        <v>119</v>
      </c>
      <c r="AT527" s="81" t="s">
        <v>116</v>
      </c>
      <c r="AU527" s="81" t="s">
        <v>76</v>
      </c>
      <c r="AY527" s="81" t="s">
        <v>114</v>
      </c>
      <c r="BE527" s="190">
        <f>IF(N527="základní",J527,0)</f>
        <v>0</v>
      </c>
      <c r="BF527" s="190">
        <f>IF(N527="snížená",J527,0)</f>
        <v>0</v>
      </c>
      <c r="BG527" s="190">
        <f>IF(N527="zákl. přenesená",J527,0)</f>
        <v>0</v>
      </c>
      <c r="BH527" s="190">
        <f>IF(N527="sníž. přenesená",J527,0)</f>
        <v>0</v>
      </c>
      <c r="BI527" s="190">
        <f>IF(N527="nulová",J527,0)</f>
        <v>0</v>
      </c>
      <c r="BJ527" s="81" t="s">
        <v>73</v>
      </c>
      <c r="BK527" s="190">
        <f>ROUND(I527*H527,2)</f>
        <v>0</v>
      </c>
      <c r="BL527" s="81" t="s">
        <v>119</v>
      </c>
      <c r="BM527" s="81" t="s">
        <v>1409</v>
      </c>
    </row>
    <row r="528" spans="2:51" s="198" customFormat="1" ht="12">
      <c r="B528" s="191"/>
      <c r="D528" s="193" t="s">
        <v>121</v>
      </c>
      <c r="E528" s="194" t="s">
        <v>1</v>
      </c>
      <c r="F528" s="259" t="s">
        <v>1410</v>
      </c>
      <c r="H528" s="194" t="s">
        <v>1</v>
      </c>
      <c r="I528" s="71"/>
      <c r="L528" s="191"/>
      <c r="M528" s="199"/>
      <c r="N528" s="200"/>
      <c r="O528" s="200"/>
      <c r="P528" s="200"/>
      <c r="Q528" s="200"/>
      <c r="R528" s="200"/>
      <c r="S528" s="200"/>
      <c r="T528" s="201"/>
      <c r="AT528" s="194" t="s">
        <v>121</v>
      </c>
      <c r="AU528" s="194" t="s">
        <v>76</v>
      </c>
      <c r="AV528" s="198" t="s">
        <v>73</v>
      </c>
      <c r="AW528" s="198" t="s">
        <v>32</v>
      </c>
      <c r="AX528" s="198" t="s">
        <v>68</v>
      </c>
      <c r="AY528" s="194" t="s">
        <v>114</v>
      </c>
    </row>
    <row r="529" spans="2:51" s="208" customFormat="1" ht="12">
      <c r="B529" s="202"/>
      <c r="D529" s="193" t="s">
        <v>121</v>
      </c>
      <c r="E529" s="204" t="s">
        <v>1</v>
      </c>
      <c r="F529" s="260" t="s">
        <v>1411</v>
      </c>
      <c r="H529" s="261">
        <v>9.928</v>
      </c>
      <c r="I529" s="70"/>
      <c r="L529" s="202"/>
      <c r="M529" s="209"/>
      <c r="N529" s="210"/>
      <c r="O529" s="210"/>
      <c r="P529" s="210"/>
      <c r="Q529" s="210"/>
      <c r="R529" s="210"/>
      <c r="S529" s="210"/>
      <c r="T529" s="211"/>
      <c r="AT529" s="204" t="s">
        <v>121</v>
      </c>
      <c r="AU529" s="204" t="s">
        <v>76</v>
      </c>
      <c r="AV529" s="208" t="s">
        <v>76</v>
      </c>
      <c r="AW529" s="208" t="s">
        <v>32</v>
      </c>
      <c r="AX529" s="208" t="s">
        <v>68</v>
      </c>
      <c r="AY529" s="204" t="s">
        <v>114</v>
      </c>
    </row>
    <row r="530" spans="2:51" s="228" customFormat="1" ht="12">
      <c r="B530" s="222"/>
      <c r="D530" s="193" t="s">
        <v>121</v>
      </c>
      <c r="E530" s="224" t="s">
        <v>1</v>
      </c>
      <c r="F530" s="266" t="s">
        <v>150</v>
      </c>
      <c r="H530" s="264">
        <v>9.928</v>
      </c>
      <c r="I530" s="72"/>
      <c r="L530" s="222"/>
      <c r="M530" s="229"/>
      <c r="N530" s="230"/>
      <c r="O530" s="230"/>
      <c r="P530" s="230"/>
      <c r="Q530" s="230"/>
      <c r="R530" s="230"/>
      <c r="S530" s="230"/>
      <c r="T530" s="231"/>
      <c r="AT530" s="224" t="s">
        <v>121</v>
      </c>
      <c r="AU530" s="224" t="s">
        <v>76</v>
      </c>
      <c r="AV530" s="228" t="s">
        <v>119</v>
      </c>
      <c r="AW530" s="228" t="s">
        <v>32</v>
      </c>
      <c r="AX530" s="228" t="s">
        <v>73</v>
      </c>
      <c r="AY530" s="224" t="s">
        <v>114</v>
      </c>
    </row>
    <row r="531" spans="2:65" s="92" customFormat="1" ht="16.5" customHeight="1">
      <c r="B531" s="90"/>
      <c r="C531" s="178" t="s">
        <v>1412</v>
      </c>
      <c r="D531" s="178" t="s">
        <v>116</v>
      </c>
      <c r="E531" s="179" t="s">
        <v>1413</v>
      </c>
      <c r="F531" s="180" t="s">
        <v>1414</v>
      </c>
      <c r="G531" s="181" t="s">
        <v>300</v>
      </c>
      <c r="H531" s="182">
        <v>89.352</v>
      </c>
      <c r="I531" s="69"/>
      <c r="J531" s="184">
        <f>ROUND(I531*H531,2)</f>
        <v>0</v>
      </c>
      <c r="K531" s="180" t="s">
        <v>154</v>
      </c>
      <c r="L531" s="90"/>
      <c r="M531" s="185" t="s">
        <v>1</v>
      </c>
      <c r="N531" s="186" t="s">
        <v>41</v>
      </c>
      <c r="O531" s="187"/>
      <c r="P531" s="188">
        <f>O531*H531</f>
        <v>0</v>
      </c>
      <c r="Q531" s="188">
        <v>0</v>
      </c>
      <c r="R531" s="188">
        <f>Q531*H531</f>
        <v>0</v>
      </c>
      <c r="S531" s="188">
        <v>0</v>
      </c>
      <c r="T531" s="189">
        <f>S531*H531</f>
        <v>0</v>
      </c>
      <c r="AR531" s="81" t="s">
        <v>119</v>
      </c>
      <c r="AT531" s="81" t="s">
        <v>116</v>
      </c>
      <c r="AU531" s="81" t="s">
        <v>76</v>
      </c>
      <c r="AY531" s="81" t="s">
        <v>114</v>
      </c>
      <c r="BE531" s="190">
        <f>IF(N531="základní",J531,0)</f>
        <v>0</v>
      </c>
      <c r="BF531" s="190">
        <f>IF(N531="snížená",J531,0)</f>
        <v>0</v>
      </c>
      <c r="BG531" s="190">
        <f>IF(N531="zákl. přenesená",J531,0)</f>
        <v>0</v>
      </c>
      <c r="BH531" s="190">
        <f>IF(N531="sníž. přenesená",J531,0)</f>
        <v>0</v>
      </c>
      <c r="BI531" s="190">
        <f>IF(N531="nulová",J531,0)</f>
        <v>0</v>
      </c>
      <c r="BJ531" s="81" t="s">
        <v>73</v>
      </c>
      <c r="BK531" s="190">
        <f>ROUND(I531*H531,2)</f>
        <v>0</v>
      </c>
      <c r="BL531" s="81" t="s">
        <v>119</v>
      </c>
      <c r="BM531" s="81" t="s">
        <v>1415</v>
      </c>
    </row>
    <row r="532" spans="2:51" s="198" customFormat="1" ht="12">
      <c r="B532" s="191"/>
      <c r="D532" s="193" t="s">
        <v>121</v>
      </c>
      <c r="E532" s="194" t="s">
        <v>1</v>
      </c>
      <c r="F532" s="259" t="s">
        <v>1416</v>
      </c>
      <c r="H532" s="194" t="s">
        <v>1</v>
      </c>
      <c r="I532" s="71"/>
      <c r="L532" s="191"/>
      <c r="M532" s="199"/>
      <c r="N532" s="200"/>
      <c r="O532" s="200"/>
      <c r="P532" s="200"/>
      <c r="Q532" s="200"/>
      <c r="R532" s="200"/>
      <c r="S532" s="200"/>
      <c r="T532" s="201"/>
      <c r="AT532" s="194" t="s">
        <v>121</v>
      </c>
      <c r="AU532" s="194" t="s">
        <v>76</v>
      </c>
      <c r="AV532" s="198" t="s">
        <v>73</v>
      </c>
      <c r="AW532" s="198" t="s">
        <v>32</v>
      </c>
      <c r="AX532" s="198" t="s">
        <v>68</v>
      </c>
      <c r="AY532" s="194" t="s">
        <v>114</v>
      </c>
    </row>
    <row r="533" spans="2:51" s="208" customFormat="1" ht="12">
      <c r="B533" s="202"/>
      <c r="D533" s="193" t="s">
        <v>121</v>
      </c>
      <c r="E533" s="204" t="s">
        <v>1</v>
      </c>
      <c r="F533" s="260" t="s">
        <v>1417</v>
      </c>
      <c r="H533" s="261">
        <v>89.352</v>
      </c>
      <c r="I533" s="70"/>
      <c r="L533" s="202"/>
      <c r="M533" s="209"/>
      <c r="N533" s="210"/>
      <c r="O533" s="210"/>
      <c r="P533" s="210"/>
      <c r="Q533" s="210"/>
      <c r="R533" s="210"/>
      <c r="S533" s="210"/>
      <c r="T533" s="211"/>
      <c r="AT533" s="204" t="s">
        <v>121</v>
      </c>
      <c r="AU533" s="204" t="s">
        <v>76</v>
      </c>
      <c r="AV533" s="208" t="s">
        <v>76</v>
      </c>
      <c r="AW533" s="208" t="s">
        <v>32</v>
      </c>
      <c r="AX533" s="208" t="s">
        <v>68</v>
      </c>
      <c r="AY533" s="204" t="s">
        <v>114</v>
      </c>
    </row>
    <row r="534" spans="2:51" s="228" customFormat="1" ht="12">
      <c r="B534" s="222"/>
      <c r="D534" s="193" t="s">
        <v>121</v>
      </c>
      <c r="E534" s="224" t="s">
        <v>1</v>
      </c>
      <c r="F534" s="266" t="s">
        <v>150</v>
      </c>
      <c r="H534" s="264">
        <v>89.352</v>
      </c>
      <c r="I534" s="72"/>
      <c r="L534" s="222"/>
      <c r="M534" s="229"/>
      <c r="N534" s="230"/>
      <c r="O534" s="230"/>
      <c r="P534" s="230"/>
      <c r="Q534" s="230"/>
      <c r="R534" s="230"/>
      <c r="S534" s="230"/>
      <c r="T534" s="231"/>
      <c r="AT534" s="224" t="s">
        <v>121</v>
      </c>
      <c r="AU534" s="224" t="s">
        <v>76</v>
      </c>
      <c r="AV534" s="228" t="s">
        <v>119</v>
      </c>
      <c r="AW534" s="228" t="s">
        <v>32</v>
      </c>
      <c r="AX534" s="228" t="s">
        <v>73</v>
      </c>
      <c r="AY534" s="224" t="s">
        <v>114</v>
      </c>
    </row>
    <row r="535" spans="2:65" s="92" customFormat="1" ht="16.5" customHeight="1">
      <c r="B535" s="90"/>
      <c r="C535" s="178" t="s">
        <v>1418</v>
      </c>
      <c r="D535" s="178" t="s">
        <v>116</v>
      </c>
      <c r="E535" s="179" t="s">
        <v>1419</v>
      </c>
      <c r="F535" s="180" t="s">
        <v>1420</v>
      </c>
      <c r="G535" s="181" t="s">
        <v>300</v>
      </c>
      <c r="H535" s="182">
        <v>9.928</v>
      </c>
      <c r="I535" s="69"/>
      <c r="J535" s="184">
        <f>ROUND(I535*H535,2)</f>
        <v>0</v>
      </c>
      <c r="K535" s="180" t="s">
        <v>1</v>
      </c>
      <c r="L535" s="90"/>
      <c r="M535" s="185" t="s">
        <v>1</v>
      </c>
      <c r="N535" s="186" t="s">
        <v>41</v>
      </c>
      <c r="O535" s="187"/>
      <c r="P535" s="188">
        <f>O535*H535</f>
        <v>0</v>
      </c>
      <c r="Q535" s="188">
        <v>0</v>
      </c>
      <c r="R535" s="188">
        <f>Q535*H535</f>
        <v>0</v>
      </c>
      <c r="S535" s="188">
        <v>0</v>
      </c>
      <c r="T535" s="189">
        <f>S535*H535</f>
        <v>0</v>
      </c>
      <c r="AR535" s="81" t="s">
        <v>119</v>
      </c>
      <c r="AT535" s="81" t="s">
        <v>116</v>
      </c>
      <c r="AU535" s="81" t="s">
        <v>76</v>
      </c>
      <c r="AY535" s="81" t="s">
        <v>114</v>
      </c>
      <c r="BE535" s="190">
        <f>IF(N535="základní",J535,0)</f>
        <v>0</v>
      </c>
      <c r="BF535" s="190">
        <f>IF(N535="snížená",J535,0)</f>
        <v>0</v>
      </c>
      <c r="BG535" s="190">
        <f>IF(N535="zákl. přenesená",J535,0)</f>
        <v>0</v>
      </c>
      <c r="BH535" s="190">
        <f>IF(N535="sníž. přenesená",J535,0)</f>
        <v>0</v>
      </c>
      <c r="BI535" s="190">
        <f>IF(N535="nulová",J535,0)</f>
        <v>0</v>
      </c>
      <c r="BJ535" s="81" t="s">
        <v>73</v>
      </c>
      <c r="BK535" s="190">
        <f>ROUND(I535*H535,2)</f>
        <v>0</v>
      </c>
      <c r="BL535" s="81" t="s">
        <v>119</v>
      </c>
      <c r="BM535" s="81" t="s">
        <v>1421</v>
      </c>
    </row>
    <row r="536" spans="2:65" s="92" customFormat="1" ht="16.5" customHeight="1">
      <c r="B536" s="90"/>
      <c r="C536" s="177" t="s">
        <v>1532</v>
      </c>
      <c r="D536" s="178" t="s">
        <v>116</v>
      </c>
      <c r="E536" s="179"/>
      <c r="F536" s="180" t="s">
        <v>1533</v>
      </c>
      <c r="G536" s="181" t="s">
        <v>300</v>
      </c>
      <c r="H536" s="182">
        <f>H537</f>
        <v>215.936</v>
      </c>
      <c r="I536" s="69"/>
      <c r="J536" s="184">
        <f>ROUND(I536*H536,2)</f>
        <v>0</v>
      </c>
      <c r="K536" s="180" t="s">
        <v>154</v>
      </c>
      <c r="L536" s="90"/>
      <c r="M536" s="185" t="s">
        <v>1</v>
      </c>
      <c r="N536" s="186" t="s">
        <v>41</v>
      </c>
      <c r="O536" s="187"/>
      <c r="P536" s="188">
        <f>O536*H536</f>
        <v>0</v>
      </c>
      <c r="Q536" s="188">
        <v>0</v>
      </c>
      <c r="R536" s="188">
        <f>Q536*H536</f>
        <v>0</v>
      </c>
      <c r="S536" s="188">
        <v>0</v>
      </c>
      <c r="T536" s="189">
        <f>S536*H536</f>
        <v>0</v>
      </c>
      <c r="AR536" s="81" t="s">
        <v>119</v>
      </c>
      <c r="AT536" s="81" t="s">
        <v>116</v>
      </c>
      <c r="AU536" s="81" t="s">
        <v>76</v>
      </c>
      <c r="AY536" s="81" t="s">
        <v>114</v>
      </c>
      <c r="BE536" s="190">
        <f>IF(N536="základní",J536,0)</f>
        <v>0</v>
      </c>
      <c r="BF536" s="190">
        <f>IF(N536="snížená",J536,0)</f>
        <v>0</v>
      </c>
      <c r="BG536" s="190">
        <f>IF(N536="zákl. přenesená",J536,0)</f>
        <v>0</v>
      </c>
      <c r="BH536" s="190">
        <f>IF(N536="sníž. přenesená",J536,0)</f>
        <v>0</v>
      </c>
      <c r="BI536" s="190">
        <f>IF(N536="nulová",J536,0)</f>
        <v>0</v>
      </c>
      <c r="BJ536" s="81" t="s">
        <v>73</v>
      </c>
      <c r="BK536" s="190">
        <f>ROUND(I536*H536,2)</f>
        <v>0</v>
      </c>
      <c r="BL536" s="81" t="s">
        <v>119</v>
      </c>
      <c r="BM536" s="81" t="s">
        <v>642</v>
      </c>
    </row>
    <row r="537" spans="2:51" s="208" customFormat="1" ht="12">
      <c r="B537" s="202"/>
      <c r="C537" s="203"/>
      <c r="D537" s="193" t="s">
        <v>121</v>
      </c>
      <c r="E537" s="204" t="s">
        <v>1</v>
      </c>
      <c r="F537" s="260" t="s">
        <v>1534</v>
      </c>
      <c r="H537" s="261">
        <f>1687*0.128</f>
        <v>215.936</v>
      </c>
      <c r="I537" s="70"/>
      <c r="L537" s="202"/>
      <c r="M537" s="209"/>
      <c r="N537" s="210"/>
      <c r="O537" s="210"/>
      <c r="P537" s="210"/>
      <c r="Q537" s="210"/>
      <c r="R537" s="210"/>
      <c r="S537" s="210"/>
      <c r="T537" s="211"/>
      <c r="AT537" s="204" t="s">
        <v>121</v>
      </c>
      <c r="AU537" s="204" t="s">
        <v>76</v>
      </c>
      <c r="AV537" s="208" t="s">
        <v>76</v>
      </c>
      <c r="AW537" s="208" t="s">
        <v>32</v>
      </c>
      <c r="AX537" s="208" t="s">
        <v>68</v>
      </c>
      <c r="AY537" s="204" t="s">
        <v>114</v>
      </c>
    </row>
    <row r="538" spans="2:51" s="208" customFormat="1" ht="12">
      <c r="B538" s="202"/>
      <c r="C538" s="203" t="s">
        <v>1531</v>
      </c>
      <c r="D538" s="178" t="s">
        <v>116</v>
      </c>
      <c r="E538" s="204"/>
      <c r="F538" s="260" t="s">
        <v>1523</v>
      </c>
      <c r="G538" s="306" t="s">
        <v>300</v>
      </c>
      <c r="H538" s="261">
        <f>H539+H540</f>
        <v>316.586</v>
      </c>
      <c r="I538" s="69"/>
      <c r="J538" s="184">
        <f>ROUND(I538*H538,2)</f>
        <v>0</v>
      </c>
      <c r="K538" s="180" t="s">
        <v>154</v>
      </c>
      <c r="L538" s="90"/>
      <c r="M538" s="185" t="s">
        <v>1</v>
      </c>
      <c r="N538" s="186" t="s">
        <v>41</v>
      </c>
      <c r="O538" s="187"/>
      <c r="P538" s="188">
        <f>O538*H538</f>
        <v>0</v>
      </c>
      <c r="Q538" s="188">
        <v>0</v>
      </c>
      <c r="R538" s="188">
        <f>Q538*H538</f>
        <v>0</v>
      </c>
      <c r="S538" s="188">
        <v>0</v>
      </c>
      <c r="T538" s="189">
        <f>S538*H538</f>
        <v>0</v>
      </c>
      <c r="U538" s="92"/>
      <c r="V538" s="92"/>
      <c r="W538" s="92"/>
      <c r="AT538" s="204"/>
      <c r="AU538" s="204"/>
      <c r="AY538" s="204"/>
    </row>
    <row r="539" spans="2:51" s="208" customFormat="1" ht="12">
      <c r="B539" s="202"/>
      <c r="C539" s="203"/>
      <c r="D539" s="193"/>
      <c r="E539" s="204"/>
      <c r="F539" s="260" t="s">
        <v>1535</v>
      </c>
      <c r="H539" s="261">
        <f>1687*0.128</f>
        <v>215.936</v>
      </c>
      <c r="I539" s="70"/>
      <c r="L539" s="202"/>
      <c r="M539" s="209"/>
      <c r="N539" s="210"/>
      <c r="O539" s="210"/>
      <c r="P539" s="210"/>
      <c r="Q539" s="210"/>
      <c r="R539" s="210"/>
      <c r="S539" s="210"/>
      <c r="T539" s="211"/>
      <c r="AT539" s="204"/>
      <c r="AU539" s="204"/>
      <c r="AY539" s="204"/>
    </row>
    <row r="540" spans="2:51" s="208" customFormat="1" ht="12">
      <c r="B540" s="202"/>
      <c r="C540" s="203"/>
      <c r="D540" s="193"/>
      <c r="E540" s="204"/>
      <c r="F540" s="260" t="s">
        <v>1539</v>
      </c>
      <c r="H540" s="261">
        <f>457.5*0.22</f>
        <v>100.65</v>
      </c>
      <c r="I540" s="70"/>
      <c r="L540" s="202"/>
      <c r="M540" s="209"/>
      <c r="N540" s="210"/>
      <c r="O540" s="210"/>
      <c r="P540" s="210"/>
      <c r="Q540" s="210"/>
      <c r="R540" s="210"/>
      <c r="S540" s="210"/>
      <c r="T540" s="211"/>
      <c r="AT540" s="204"/>
      <c r="AU540" s="204"/>
      <c r="AY540" s="204"/>
    </row>
    <row r="541" spans="2:63" s="166" customFormat="1" ht="22.9" customHeight="1">
      <c r="B541" s="162"/>
      <c r="D541" s="164" t="s">
        <v>67</v>
      </c>
      <c r="E541" s="175" t="s">
        <v>651</v>
      </c>
      <c r="F541" s="175" t="s">
        <v>652</v>
      </c>
      <c r="I541" s="74"/>
      <c r="J541" s="176">
        <f>J542</f>
        <v>0</v>
      </c>
      <c r="L541" s="162"/>
      <c r="M541" s="169"/>
      <c r="N541" s="170"/>
      <c r="O541" s="170"/>
      <c r="P541" s="171">
        <f>P542</f>
        <v>0</v>
      </c>
      <c r="Q541" s="170"/>
      <c r="R541" s="171">
        <f>R542</f>
        <v>0</v>
      </c>
      <c r="S541" s="170"/>
      <c r="T541" s="172">
        <f>T542</f>
        <v>0</v>
      </c>
      <c r="AR541" s="164" t="s">
        <v>73</v>
      </c>
      <c r="AT541" s="173" t="s">
        <v>67</v>
      </c>
      <c r="AU541" s="173" t="s">
        <v>73</v>
      </c>
      <c r="AY541" s="164" t="s">
        <v>114</v>
      </c>
      <c r="BK541" s="174">
        <f>BK542</f>
        <v>0</v>
      </c>
    </row>
    <row r="542" spans="2:65" s="92" customFormat="1" ht="16.5" customHeight="1">
      <c r="B542" s="90"/>
      <c r="C542" s="178" t="s">
        <v>1422</v>
      </c>
      <c r="D542" s="178" t="s">
        <v>116</v>
      </c>
      <c r="E542" s="179" t="s">
        <v>654</v>
      </c>
      <c r="F542" s="180" t="s">
        <v>655</v>
      </c>
      <c r="G542" s="181" t="s">
        <v>300</v>
      </c>
      <c r="H542" s="182">
        <v>853.996</v>
      </c>
      <c r="I542" s="69"/>
      <c r="J542" s="184">
        <f>ROUND(I542*H542,2)</f>
        <v>0</v>
      </c>
      <c r="K542" s="180" t="s">
        <v>154</v>
      </c>
      <c r="L542" s="90"/>
      <c r="M542" s="185" t="s">
        <v>1</v>
      </c>
      <c r="N542" s="186" t="s">
        <v>41</v>
      </c>
      <c r="O542" s="187"/>
      <c r="P542" s="188">
        <f>O542*H542</f>
        <v>0</v>
      </c>
      <c r="Q542" s="188">
        <v>0</v>
      </c>
      <c r="R542" s="188">
        <f>Q542*H542</f>
        <v>0</v>
      </c>
      <c r="S542" s="188">
        <v>0</v>
      </c>
      <c r="T542" s="189">
        <f>S542*H542</f>
        <v>0</v>
      </c>
      <c r="AR542" s="81" t="s">
        <v>119</v>
      </c>
      <c r="AT542" s="81" t="s">
        <v>116</v>
      </c>
      <c r="AU542" s="81" t="s">
        <v>76</v>
      </c>
      <c r="AY542" s="81" t="s">
        <v>114</v>
      </c>
      <c r="BE542" s="190">
        <f>IF(N542="základní",J542,0)</f>
        <v>0</v>
      </c>
      <c r="BF542" s="190">
        <f>IF(N542="snížená",J542,0)</f>
        <v>0</v>
      </c>
      <c r="BG542" s="190">
        <f>IF(N542="zákl. přenesená",J542,0)</f>
        <v>0</v>
      </c>
      <c r="BH542" s="190">
        <f>IF(N542="sníž. přenesená",J542,0)</f>
        <v>0</v>
      </c>
      <c r="BI542" s="190">
        <f>IF(N542="nulová",J542,0)</f>
        <v>0</v>
      </c>
      <c r="BJ542" s="81" t="s">
        <v>73</v>
      </c>
      <c r="BK542" s="190">
        <f>ROUND(I542*H542,2)</f>
        <v>0</v>
      </c>
      <c r="BL542" s="81" t="s">
        <v>119</v>
      </c>
      <c r="BM542" s="81" t="s">
        <v>1423</v>
      </c>
    </row>
    <row r="543" spans="2:63" s="166" customFormat="1" ht="25.9" customHeight="1">
      <c r="B543" s="162"/>
      <c r="D543" s="164" t="s">
        <v>67</v>
      </c>
      <c r="E543" s="165" t="s">
        <v>729</v>
      </c>
      <c r="F543" s="165" t="s">
        <v>730</v>
      </c>
      <c r="I543" s="74"/>
      <c r="J543" s="168">
        <f>SUM(J545:J566)</f>
        <v>0</v>
      </c>
      <c r="L543" s="162"/>
      <c r="M543" s="169"/>
      <c r="N543" s="170"/>
      <c r="O543" s="170"/>
      <c r="P543" s="171">
        <f>P544+P557+P560+P564</f>
        <v>0</v>
      </c>
      <c r="Q543" s="170"/>
      <c r="R543" s="171">
        <f>R544+R557+R560+R564</f>
        <v>0</v>
      </c>
      <c r="S543" s="170"/>
      <c r="T543" s="172">
        <f>T544+T557+T560+T564</f>
        <v>0</v>
      </c>
      <c r="AR543" s="164" t="s">
        <v>167</v>
      </c>
      <c r="AT543" s="173" t="s">
        <v>67</v>
      </c>
      <c r="AU543" s="173" t="s">
        <v>68</v>
      </c>
      <c r="AY543" s="164" t="s">
        <v>114</v>
      </c>
      <c r="BK543" s="174">
        <f>BK544+BK557+BK560+BK564</f>
        <v>0</v>
      </c>
    </row>
    <row r="544" spans="2:63" s="166" customFormat="1" ht="22.9" customHeight="1">
      <c r="B544" s="162"/>
      <c r="D544" s="164" t="s">
        <v>67</v>
      </c>
      <c r="E544" s="175" t="s">
        <v>731</v>
      </c>
      <c r="F544" s="175" t="s">
        <v>732</v>
      </c>
      <c r="I544" s="74"/>
      <c r="J544" s="176"/>
      <c r="L544" s="162"/>
      <c r="M544" s="169"/>
      <c r="N544" s="170"/>
      <c r="O544" s="170"/>
      <c r="P544" s="171">
        <f>SUM(P545:P556)</f>
        <v>0</v>
      </c>
      <c r="Q544" s="170"/>
      <c r="R544" s="171">
        <f>SUM(R545:R556)</f>
        <v>0</v>
      </c>
      <c r="S544" s="170"/>
      <c r="T544" s="172">
        <f>SUM(T545:T556)</f>
        <v>0</v>
      </c>
      <c r="AR544" s="164" t="s">
        <v>167</v>
      </c>
      <c r="AT544" s="173" t="s">
        <v>67</v>
      </c>
      <c r="AU544" s="173" t="s">
        <v>73</v>
      </c>
      <c r="AY544" s="164" t="s">
        <v>114</v>
      </c>
      <c r="BK544" s="174">
        <f>SUM(BK545:BK556)</f>
        <v>0</v>
      </c>
    </row>
    <row r="545" spans="2:65" s="92" customFormat="1" ht="22.5" customHeight="1">
      <c r="B545" s="90"/>
      <c r="C545" s="178" t="s">
        <v>1424</v>
      </c>
      <c r="D545" s="178" t="s">
        <v>116</v>
      </c>
      <c r="E545" s="179" t="s">
        <v>733</v>
      </c>
      <c r="F545" s="180" t="s">
        <v>734</v>
      </c>
      <c r="G545" s="181" t="s">
        <v>492</v>
      </c>
      <c r="H545" s="182">
        <v>1</v>
      </c>
      <c r="I545" s="69"/>
      <c r="J545" s="184">
        <f aca="true" t="shared" si="52" ref="J545:J550">ROUND(I545*H545,2)</f>
        <v>0</v>
      </c>
      <c r="K545" s="180" t="s">
        <v>154</v>
      </c>
      <c r="L545" s="90"/>
      <c r="M545" s="185" t="s">
        <v>1</v>
      </c>
      <c r="N545" s="186" t="s">
        <v>41</v>
      </c>
      <c r="O545" s="187"/>
      <c r="P545" s="188">
        <f aca="true" t="shared" si="53" ref="P545:P550">O545*H545</f>
        <v>0</v>
      </c>
      <c r="Q545" s="188">
        <v>0</v>
      </c>
      <c r="R545" s="188">
        <f aca="true" t="shared" si="54" ref="R545:R550">Q545*H545</f>
        <v>0</v>
      </c>
      <c r="S545" s="188">
        <v>0</v>
      </c>
      <c r="T545" s="189">
        <f aca="true" t="shared" si="55" ref="T545:T550">S545*H545</f>
        <v>0</v>
      </c>
      <c r="AR545" s="81" t="s">
        <v>735</v>
      </c>
      <c r="AT545" s="81" t="s">
        <v>116</v>
      </c>
      <c r="AU545" s="81" t="s">
        <v>76</v>
      </c>
      <c r="AY545" s="81" t="s">
        <v>114</v>
      </c>
      <c r="BE545" s="190">
        <f aca="true" t="shared" si="56" ref="BE545:BE550">IF(N545="základní",J545,0)</f>
        <v>0</v>
      </c>
      <c r="BF545" s="190">
        <f aca="true" t="shared" si="57" ref="BF545:BF550">IF(N545="snížená",J545,0)</f>
        <v>0</v>
      </c>
      <c r="BG545" s="190">
        <f aca="true" t="shared" si="58" ref="BG545:BG550">IF(N545="zákl. přenesená",J545,0)</f>
        <v>0</v>
      </c>
      <c r="BH545" s="190">
        <f aca="true" t="shared" si="59" ref="BH545:BH550">IF(N545="sníž. přenesená",J545,0)</f>
        <v>0</v>
      </c>
      <c r="BI545" s="190">
        <f aca="true" t="shared" si="60" ref="BI545:BI550">IF(N545="nulová",J545,0)</f>
        <v>0</v>
      </c>
      <c r="BJ545" s="81" t="s">
        <v>73</v>
      </c>
      <c r="BK545" s="190">
        <f aca="true" t="shared" si="61" ref="BK545:BK550">ROUND(I545*H545,2)</f>
        <v>0</v>
      </c>
      <c r="BL545" s="81" t="s">
        <v>735</v>
      </c>
      <c r="BM545" s="81" t="s">
        <v>1425</v>
      </c>
    </row>
    <row r="546" spans="2:65" s="92" customFormat="1" ht="22.5" customHeight="1">
      <c r="B546" s="90"/>
      <c r="C546" s="178" t="s">
        <v>1426</v>
      </c>
      <c r="D546" s="178" t="s">
        <v>116</v>
      </c>
      <c r="E546" s="179" t="s">
        <v>738</v>
      </c>
      <c r="F546" s="180" t="s">
        <v>739</v>
      </c>
      <c r="G546" s="181" t="s">
        <v>492</v>
      </c>
      <c r="H546" s="182">
        <v>1</v>
      </c>
      <c r="I546" s="69"/>
      <c r="J546" s="184">
        <f t="shared" si="52"/>
        <v>0</v>
      </c>
      <c r="K546" s="180" t="s">
        <v>154</v>
      </c>
      <c r="L546" s="90"/>
      <c r="M546" s="185" t="s">
        <v>1</v>
      </c>
      <c r="N546" s="186" t="s">
        <v>41</v>
      </c>
      <c r="O546" s="187"/>
      <c r="P546" s="188">
        <f t="shared" si="53"/>
        <v>0</v>
      </c>
      <c r="Q546" s="188">
        <v>0</v>
      </c>
      <c r="R546" s="188">
        <f t="shared" si="54"/>
        <v>0</v>
      </c>
      <c r="S546" s="188">
        <v>0</v>
      </c>
      <c r="T546" s="189">
        <f t="shared" si="55"/>
        <v>0</v>
      </c>
      <c r="AR546" s="81" t="s">
        <v>735</v>
      </c>
      <c r="AT546" s="81" t="s">
        <v>116</v>
      </c>
      <c r="AU546" s="81" t="s">
        <v>76</v>
      </c>
      <c r="AY546" s="81" t="s">
        <v>114</v>
      </c>
      <c r="BE546" s="190">
        <f t="shared" si="56"/>
        <v>0</v>
      </c>
      <c r="BF546" s="190">
        <f t="shared" si="57"/>
        <v>0</v>
      </c>
      <c r="BG546" s="190">
        <f t="shared" si="58"/>
        <v>0</v>
      </c>
      <c r="BH546" s="190">
        <f t="shared" si="59"/>
        <v>0</v>
      </c>
      <c r="BI546" s="190">
        <f t="shared" si="60"/>
        <v>0</v>
      </c>
      <c r="BJ546" s="81" t="s">
        <v>73</v>
      </c>
      <c r="BK546" s="190">
        <f t="shared" si="61"/>
        <v>0</v>
      </c>
      <c r="BL546" s="81" t="s">
        <v>735</v>
      </c>
      <c r="BM546" s="81" t="s">
        <v>1427</v>
      </c>
    </row>
    <row r="547" spans="2:65" s="92" customFormat="1" ht="16.5" customHeight="1">
      <c r="B547" s="90"/>
      <c r="C547" s="178" t="s">
        <v>1428</v>
      </c>
      <c r="D547" s="178" t="s">
        <v>116</v>
      </c>
      <c r="E547" s="179" t="s">
        <v>742</v>
      </c>
      <c r="F547" s="180" t="s">
        <v>743</v>
      </c>
      <c r="G547" s="181" t="s">
        <v>492</v>
      </c>
      <c r="H547" s="182">
        <v>1</v>
      </c>
      <c r="I547" s="69"/>
      <c r="J547" s="184">
        <f t="shared" si="52"/>
        <v>0</v>
      </c>
      <c r="K547" s="180" t="s">
        <v>1</v>
      </c>
      <c r="L547" s="90"/>
      <c r="M547" s="185" t="s">
        <v>1</v>
      </c>
      <c r="N547" s="186" t="s">
        <v>41</v>
      </c>
      <c r="O547" s="187"/>
      <c r="P547" s="188">
        <f t="shared" si="53"/>
        <v>0</v>
      </c>
      <c r="Q547" s="188">
        <v>0</v>
      </c>
      <c r="R547" s="188">
        <f t="shared" si="54"/>
        <v>0</v>
      </c>
      <c r="S547" s="188">
        <v>0</v>
      </c>
      <c r="T547" s="189">
        <f t="shared" si="55"/>
        <v>0</v>
      </c>
      <c r="AR547" s="81" t="s">
        <v>735</v>
      </c>
      <c r="AT547" s="81" t="s">
        <v>116</v>
      </c>
      <c r="AU547" s="81" t="s">
        <v>76</v>
      </c>
      <c r="AY547" s="81" t="s">
        <v>114</v>
      </c>
      <c r="BE547" s="190">
        <f t="shared" si="56"/>
        <v>0</v>
      </c>
      <c r="BF547" s="190">
        <f t="shared" si="57"/>
        <v>0</v>
      </c>
      <c r="BG547" s="190">
        <f t="shared" si="58"/>
        <v>0</v>
      </c>
      <c r="BH547" s="190">
        <f t="shared" si="59"/>
        <v>0</v>
      </c>
      <c r="BI547" s="190">
        <f t="shared" si="60"/>
        <v>0</v>
      </c>
      <c r="BJ547" s="81" t="s">
        <v>73</v>
      </c>
      <c r="BK547" s="190">
        <f t="shared" si="61"/>
        <v>0</v>
      </c>
      <c r="BL547" s="81" t="s">
        <v>735</v>
      </c>
      <c r="BM547" s="81" t="s">
        <v>1429</v>
      </c>
    </row>
    <row r="548" spans="2:65" s="92" customFormat="1" ht="16.5" customHeight="1">
      <c r="B548" s="90"/>
      <c r="C548" s="178" t="s">
        <v>1430</v>
      </c>
      <c r="D548" s="178" t="s">
        <v>116</v>
      </c>
      <c r="E548" s="179" t="s">
        <v>1431</v>
      </c>
      <c r="F548" s="180" t="s">
        <v>1432</v>
      </c>
      <c r="G548" s="181" t="s">
        <v>492</v>
      </c>
      <c r="H548" s="182">
        <v>1</v>
      </c>
      <c r="I548" s="69"/>
      <c r="J548" s="184">
        <f t="shared" si="52"/>
        <v>0</v>
      </c>
      <c r="K548" s="180" t="s">
        <v>1</v>
      </c>
      <c r="L548" s="90"/>
      <c r="M548" s="185" t="s">
        <v>1</v>
      </c>
      <c r="N548" s="186" t="s">
        <v>41</v>
      </c>
      <c r="O548" s="187"/>
      <c r="P548" s="188">
        <f t="shared" si="53"/>
        <v>0</v>
      </c>
      <c r="Q548" s="188">
        <v>0</v>
      </c>
      <c r="R548" s="188">
        <f t="shared" si="54"/>
        <v>0</v>
      </c>
      <c r="S548" s="188">
        <v>0</v>
      </c>
      <c r="T548" s="189">
        <f t="shared" si="55"/>
        <v>0</v>
      </c>
      <c r="AR548" s="81" t="s">
        <v>735</v>
      </c>
      <c r="AT548" s="81" t="s">
        <v>116</v>
      </c>
      <c r="AU548" s="81" t="s">
        <v>76</v>
      </c>
      <c r="AY548" s="81" t="s">
        <v>114</v>
      </c>
      <c r="BE548" s="190">
        <f t="shared" si="56"/>
        <v>0</v>
      </c>
      <c r="BF548" s="190">
        <f t="shared" si="57"/>
        <v>0</v>
      </c>
      <c r="BG548" s="190">
        <f t="shared" si="58"/>
        <v>0</v>
      </c>
      <c r="BH548" s="190">
        <f t="shared" si="59"/>
        <v>0</v>
      </c>
      <c r="BI548" s="190">
        <f t="shared" si="60"/>
        <v>0</v>
      </c>
      <c r="BJ548" s="81" t="s">
        <v>73</v>
      </c>
      <c r="BK548" s="190">
        <f t="shared" si="61"/>
        <v>0</v>
      </c>
      <c r="BL548" s="81" t="s">
        <v>735</v>
      </c>
      <c r="BM548" s="81" t="s">
        <v>1433</v>
      </c>
    </row>
    <row r="549" spans="2:65" s="92" customFormat="1" ht="16.5" customHeight="1">
      <c r="B549" s="90"/>
      <c r="C549" s="178" t="s">
        <v>1434</v>
      </c>
      <c r="D549" s="178" t="s">
        <v>116</v>
      </c>
      <c r="E549" s="179" t="s">
        <v>748</v>
      </c>
      <c r="F549" s="180" t="s">
        <v>749</v>
      </c>
      <c r="G549" s="181" t="s">
        <v>492</v>
      </c>
      <c r="H549" s="182">
        <v>1</v>
      </c>
      <c r="I549" s="69"/>
      <c r="J549" s="184">
        <f t="shared" si="52"/>
        <v>0</v>
      </c>
      <c r="K549" s="180" t="s">
        <v>1</v>
      </c>
      <c r="L549" s="90"/>
      <c r="M549" s="185" t="s">
        <v>1</v>
      </c>
      <c r="N549" s="186" t="s">
        <v>41</v>
      </c>
      <c r="O549" s="187"/>
      <c r="P549" s="188">
        <f t="shared" si="53"/>
        <v>0</v>
      </c>
      <c r="Q549" s="188">
        <v>0</v>
      </c>
      <c r="R549" s="188">
        <f t="shared" si="54"/>
        <v>0</v>
      </c>
      <c r="S549" s="188">
        <v>0</v>
      </c>
      <c r="T549" s="189">
        <f t="shared" si="55"/>
        <v>0</v>
      </c>
      <c r="AR549" s="81" t="s">
        <v>735</v>
      </c>
      <c r="AT549" s="81" t="s">
        <v>116</v>
      </c>
      <c r="AU549" s="81" t="s">
        <v>76</v>
      </c>
      <c r="AY549" s="81" t="s">
        <v>114</v>
      </c>
      <c r="BE549" s="190">
        <f t="shared" si="56"/>
        <v>0</v>
      </c>
      <c r="BF549" s="190">
        <f t="shared" si="57"/>
        <v>0</v>
      </c>
      <c r="BG549" s="190">
        <f t="shared" si="58"/>
        <v>0</v>
      </c>
      <c r="BH549" s="190">
        <f t="shared" si="59"/>
        <v>0</v>
      </c>
      <c r="BI549" s="190">
        <f t="shared" si="60"/>
        <v>0</v>
      </c>
      <c r="BJ549" s="81" t="s">
        <v>73</v>
      </c>
      <c r="BK549" s="190">
        <f t="shared" si="61"/>
        <v>0</v>
      </c>
      <c r="BL549" s="81" t="s">
        <v>735</v>
      </c>
      <c r="BM549" s="81" t="s">
        <v>1435</v>
      </c>
    </row>
    <row r="550" spans="2:65" s="92" customFormat="1" ht="22.5" customHeight="1">
      <c r="B550" s="90"/>
      <c r="C550" s="178" t="s">
        <v>1436</v>
      </c>
      <c r="D550" s="178" t="s">
        <v>116</v>
      </c>
      <c r="E550" s="179" t="s">
        <v>751</v>
      </c>
      <c r="F550" s="180" t="s">
        <v>752</v>
      </c>
      <c r="G550" s="181" t="s">
        <v>492</v>
      </c>
      <c r="H550" s="182">
        <v>1</v>
      </c>
      <c r="I550" s="69"/>
      <c r="J550" s="184">
        <f t="shared" si="52"/>
        <v>0</v>
      </c>
      <c r="K550" s="180" t="s">
        <v>1</v>
      </c>
      <c r="L550" s="90"/>
      <c r="M550" s="185" t="s">
        <v>1</v>
      </c>
      <c r="N550" s="186" t="s">
        <v>41</v>
      </c>
      <c r="O550" s="187"/>
      <c r="P550" s="188">
        <f t="shared" si="53"/>
        <v>0</v>
      </c>
      <c r="Q550" s="188">
        <v>0</v>
      </c>
      <c r="R550" s="188">
        <f t="shared" si="54"/>
        <v>0</v>
      </c>
      <c r="S550" s="188">
        <v>0</v>
      </c>
      <c r="T550" s="189">
        <f t="shared" si="55"/>
        <v>0</v>
      </c>
      <c r="AR550" s="81" t="s">
        <v>735</v>
      </c>
      <c r="AT550" s="81" t="s">
        <v>116</v>
      </c>
      <c r="AU550" s="81" t="s">
        <v>76</v>
      </c>
      <c r="AY550" s="81" t="s">
        <v>114</v>
      </c>
      <c r="BE550" s="190">
        <f t="shared" si="56"/>
        <v>0</v>
      </c>
      <c r="BF550" s="190">
        <f t="shared" si="57"/>
        <v>0</v>
      </c>
      <c r="BG550" s="190">
        <f t="shared" si="58"/>
        <v>0</v>
      </c>
      <c r="BH550" s="190">
        <f t="shared" si="59"/>
        <v>0</v>
      </c>
      <c r="BI550" s="190">
        <f t="shared" si="60"/>
        <v>0</v>
      </c>
      <c r="BJ550" s="81" t="s">
        <v>73</v>
      </c>
      <c r="BK550" s="190">
        <f t="shared" si="61"/>
        <v>0</v>
      </c>
      <c r="BL550" s="81" t="s">
        <v>735</v>
      </c>
      <c r="BM550" s="81" t="s">
        <v>1437</v>
      </c>
    </row>
    <row r="551" spans="2:51" s="198" customFormat="1" ht="12">
      <c r="B551" s="191"/>
      <c r="D551" s="193" t="s">
        <v>121</v>
      </c>
      <c r="E551" s="194" t="s">
        <v>1</v>
      </c>
      <c r="F551" s="259" t="s">
        <v>754</v>
      </c>
      <c r="H551" s="320"/>
      <c r="I551" s="71"/>
      <c r="L551" s="191"/>
      <c r="M551" s="199"/>
      <c r="N551" s="200"/>
      <c r="O551" s="200"/>
      <c r="P551" s="200"/>
      <c r="Q551" s="200"/>
      <c r="R551" s="200"/>
      <c r="S551" s="200"/>
      <c r="T551" s="201"/>
      <c r="AT551" s="194" t="s">
        <v>121</v>
      </c>
      <c r="AU551" s="194" t="s">
        <v>76</v>
      </c>
      <c r="AV551" s="198" t="s">
        <v>73</v>
      </c>
      <c r="AW551" s="198" t="s">
        <v>32</v>
      </c>
      <c r="AX551" s="198" t="s">
        <v>68</v>
      </c>
      <c r="AY551" s="194" t="s">
        <v>114</v>
      </c>
    </row>
    <row r="552" spans="2:51" s="198" customFormat="1" ht="12">
      <c r="B552" s="191"/>
      <c r="D552" s="193" t="s">
        <v>121</v>
      </c>
      <c r="E552" s="194" t="s">
        <v>1</v>
      </c>
      <c r="F552" s="259" t="s">
        <v>755</v>
      </c>
      <c r="H552" s="194" t="s">
        <v>1</v>
      </c>
      <c r="I552" s="71"/>
      <c r="L552" s="191"/>
      <c r="M552" s="199"/>
      <c r="N552" s="200"/>
      <c r="O552" s="200"/>
      <c r="P552" s="200"/>
      <c r="Q552" s="200"/>
      <c r="R552" s="200"/>
      <c r="S552" s="200"/>
      <c r="T552" s="201"/>
      <c r="AT552" s="194" t="s">
        <v>121</v>
      </c>
      <c r="AU552" s="194" t="s">
        <v>76</v>
      </c>
      <c r="AV552" s="198" t="s">
        <v>73</v>
      </c>
      <c r="AW552" s="198" t="s">
        <v>32</v>
      </c>
      <c r="AX552" s="198" t="s">
        <v>68</v>
      </c>
      <c r="AY552" s="194" t="s">
        <v>114</v>
      </c>
    </row>
    <row r="553" spans="2:51" s="208" customFormat="1" ht="12">
      <c r="B553" s="202"/>
      <c r="D553" s="193" t="s">
        <v>121</v>
      </c>
      <c r="E553" s="204" t="s">
        <v>1</v>
      </c>
      <c r="F553" s="260" t="s">
        <v>167</v>
      </c>
      <c r="H553" s="261">
        <v>5</v>
      </c>
      <c r="I553" s="70"/>
      <c r="L553" s="202"/>
      <c r="M553" s="209"/>
      <c r="N553" s="210"/>
      <c r="O553" s="210"/>
      <c r="P553" s="210"/>
      <c r="Q553" s="210"/>
      <c r="R553" s="210"/>
      <c r="S553" s="210"/>
      <c r="T553" s="211"/>
      <c r="AT553" s="204" t="s">
        <v>121</v>
      </c>
      <c r="AU553" s="204" t="s">
        <v>76</v>
      </c>
      <c r="AV553" s="208" t="s">
        <v>76</v>
      </c>
      <c r="AW553" s="208" t="s">
        <v>32</v>
      </c>
      <c r="AX553" s="208" t="s">
        <v>68</v>
      </c>
      <c r="AY553" s="204" t="s">
        <v>114</v>
      </c>
    </row>
    <row r="554" spans="2:51" s="228" customFormat="1" ht="12">
      <c r="B554" s="222"/>
      <c r="D554" s="193" t="s">
        <v>121</v>
      </c>
      <c r="E554" s="224" t="s">
        <v>1</v>
      </c>
      <c r="F554" s="266" t="s">
        <v>150</v>
      </c>
      <c r="H554" s="264">
        <v>5</v>
      </c>
      <c r="I554" s="72"/>
      <c r="L554" s="222"/>
      <c r="M554" s="229"/>
      <c r="N554" s="230"/>
      <c r="O554" s="230"/>
      <c r="P554" s="230"/>
      <c r="Q554" s="230"/>
      <c r="R554" s="230"/>
      <c r="S554" s="230"/>
      <c r="T554" s="231"/>
      <c r="AT554" s="224" t="s">
        <v>121</v>
      </c>
      <c r="AU554" s="224" t="s">
        <v>76</v>
      </c>
      <c r="AV554" s="228" t="s">
        <v>119</v>
      </c>
      <c r="AW554" s="228" t="s">
        <v>32</v>
      </c>
      <c r="AX554" s="228" t="s">
        <v>73</v>
      </c>
      <c r="AY554" s="224" t="s">
        <v>114</v>
      </c>
    </row>
    <row r="555" spans="2:65" s="92" customFormat="1" ht="16.5" customHeight="1">
      <c r="B555" s="90"/>
      <c r="C555" s="178" t="s">
        <v>1438</v>
      </c>
      <c r="D555" s="178" t="s">
        <v>116</v>
      </c>
      <c r="E555" s="179" t="s">
        <v>757</v>
      </c>
      <c r="F555" s="180" t="s">
        <v>758</v>
      </c>
      <c r="G555" s="181" t="s">
        <v>492</v>
      </c>
      <c r="H555" s="182">
        <v>1</v>
      </c>
      <c r="I555" s="69"/>
      <c r="J555" s="184">
        <f>ROUND(I555*H555,2)</f>
        <v>0</v>
      </c>
      <c r="K555" s="180" t="s">
        <v>1</v>
      </c>
      <c r="L555" s="90"/>
      <c r="M555" s="185" t="s">
        <v>1</v>
      </c>
      <c r="N555" s="186" t="s">
        <v>41</v>
      </c>
      <c r="O555" s="187"/>
      <c r="P555" s="188">
        <f>O555*H555</f>
        <v>0</v>
      </c>
      <c r="Q555" s="188">
        <v>0</v>
      </c>
      <c r="R555" s="188">
        <f>Q555*H555</f>
        <v>0</v>
      </c>
      <c r="S555" s="188">
        <v>0</v>
      </c>
      <c r="T555" s="189">
        <f>S555*H555</f>
        <v>0</v>
      </c>
      <c r="AR555" s="81" t="s">
        <v>735</v>
      </c>
      <c r="AT555" s="81" t="s">
        <v>116</v>
      </c>
      <c r="AU555" s="81" t="s">
        <v>76</v>
      </c>
      <c r="AY555" s="81" t="s">
        <v>114</v>
      </c>
      <c r="BE555" s="190">
        <f>IF(N555="základní",J555,0)</f>
        <v>0</v>
      </c>
      <c r="BF555" s="190">
        <f>IF(N555="snížená",J555,0)</f>
        <v>0</v>
      </c>
      <c r="BG555" s="190">
        <f>IF(N555="zákl. přenesená",J555,0)</f>
        <v>0</v>
      </c>
      <c r="BH555" s="190">
        <f>IF(N555="sníž. přenesená",J555,0)</f>
        <v>0</v>
      </c>
      <c r="BI555" s="190">
        <f>IF(N555="nulová",J555,0)</f>
        <v>0</v>
      </c>
      <c r="BJ555" s="81" t="s">
        <v>73</v>
      </c>
      <c r="BK555" s="190">
        <f>ROUND(I555*H555,2)</f>
        <v>0</v>
      </c>
      <c r="BL555" s="81" t="s">
        <v>735</v>
      </c>
      <c r="BM555" s="81" t="s">
        <v>1439</v>
      </c>
    </row>
    <row r="556" spans="2:65" s="92" customFormat="1" ht="16.5" customHeight="1">
      <c r="B556" s="90"/>
      <c r="C556" s="178" t="s">
        <v>1440</v>
      </c>
      <c r="D556" s="178" t="s">
        <v>116</v>
      </c>
      <c r="E556" s="179" t="s">
        <v>761</v>
      </c>
      <c r="F556" s="180" t="s">
        <v>762</v>
      </c>
      <c r="G556" s="181" t="s">
        <v>492</v>
      </c>
      <c r="H556" s="182">
        <v>1</v>
      </c>
      <c r="I556" s="69"/>
      <c r="J556" s="184">
        <f>ROUND(I556*H556,2)</f>
        <v>0</v>
      </c>
      <c r="K556" s="180" t="s">
        <v>1</v>
      </c>
      <c r="L556" s="90"/>
      <c r="M556" s="185" t="s">
        <v>1</v>
      </c>
      <c r="N556" s="186" t="s">
        <v>41</v>
      </c>
      <c r="O556" s="187"/>
      <c r="P556" s="188">
        <f>O556*H556</f>
        <v>0</v>
      </c>
      <c r="Q556" s="188">
        <v>0</v>
      </c>
      <c r="R556" s="188">
        <f>Q556*H556</f>
        <v>0</v>
      </c>
      <c r="S556" s="188">
        <v>0</v>
      </c>
      <c r="T556" s="189">
        <f>S556*H556</f>
        <v>0</v>
      </c>
      <c r="AR556" s="81" t="s">
        <v>735</v>
      </c>
      <c r="AT556" s="81" t="s">
        <v>116</v>
      </c>
      <c r="AU556" s="81" t="s">
        <v>76</v>
      </c>
      <c r="AY556" s="81" t="s">
        <v>114</v>
      </c>
      <c r="BE556" s="190">
        <f>IF(N556="základní",J556,0)</f>
        <v>0</v>
      </c>
      <c r="BF556" s="190">
        <f>IF(N556="snížená",J556,0)</f>
        <v>0</v>
      </c>
      <c r="BG556" s="190">
        <f>IF(N556="zákl. přenesená",J556,0)</f>
        <v>0</v>
      </c>
      <c r="BH556" s="190">
        <f>IF(N556="sníž. přenesená",J556,0)</f>
        <v>0</v>
      </c>
      <c r="BI556" s="190">
        <f>IF(N556="nulová",J556,0)</f>
        <v>0</v>
      </c>
      <c r="BJ556" s="81" t="s">
        <v>73</v>
      </c>
      <c r="BK556" s="190">
        <f>ROUND(I556*H556,2)</f>
        <v>0</v>
      </c>
      <c r="BL556" s="81" t="s">
        <v>735</v>
      </c>
      <c r="BM556" s="81" t="s">
        <v>1441</v>
      </c>
    </row>
    <row r="557" spans="2:63" s="166" customFormat="1" ht="22.9" customHeight="1">
      <c r="B557" s="162"/>
      <c r="D557" s="164" t="s">
        <v>67</v>
      </c>
      <c r="E557" s="175" t="s">
        <v>764</v>
      </c>
      <c r="F557" s="175" t="s">
        <v>765</v>
      </c>
      <c r="I557" s="74"/>
      <c r="J557" s="176"/>
      <c r="L557" s="162"/>
      <c r="M557" s="169"/>
      <c r="N557" s="170"/>
      <c r="O557" s="170"/>
      <c r="P557" s="171">
        <f>SUM(P558:P559)</f>
        <v>0</v>
      </c>
      <c r="Q557" s="170"/>
      <c r="R557" s="171">
        <f>SUM(R558:R559)</f>
        <v>0</v>
      </c>
      <c r="S557" s="170"/>
      <c r="T557" s="172">
        <f>SUM(T558:T559)</f>
        <v>0</v>
      </c>
      <c r="AR557" s="164" t="s">
        <v>167</v>
      </c>
      <c r="AT557" s="173" t="s">
        <v>67</v>
      </c>
      <c r="AU557" s="173" t="s">
        <v>73</v>
      </c>
      <c r="AY557" s="164" t="s">
        <v>114</v>
      </c>
      <c r="BK557" s="174">
        <f>SUM(BK558:BK559)</f>
        <v>0</v>
      </c>
    </row>
    <row r="558" spans="2:65" s="92" customFormat="1" ht="16.5" customHeight="1">
      <c r="B558" s="90"/>
      <c r="C558" s="178" t="s">
        <v>1008</v>
      </c>
      <c r="D558" s="178" t="s">
        <v>116</v>
      </c>
      <c r="E558" s="179" t="s">
        <v>767</v>
      </c>
      <c r="F558" s="180" t="s">
        <v>1442</v>
      </c>
      <c r="G558" s="181" t="s">
        <v>492</v>
      </c>
      <c r="H558" s="182">
        <v>1</v>
      </c>
      <c r="I558" s="69"/>
      <c r="J558" s="184">
        <f>ROUND(I558*H558,2)</f>
        <v>0</v>
      </c>
      <c r="K558" s="180" t="s">
        <v>154</v>
      </c>
      <c r="L558" s="90"/>
      <c r="M558" s="185" t="s">
        <v>1</v>
      </c>
      <c r="N558" s="186" t="s">
        <v>41</v>
      </c>
      <c r="O558" s="187"/>
      <c r="P558" s="188">
        <f>O558*H558</f>
        <v>0</v>
      </c>
      <c r="Q558" s="188">
        <v>0</v>
      </c>
      <c r="R558" s="188">
        <f>Q558*H558</f>
        <v>0</v>
      </c>
      <c r="S558" s="188">
        <v>0</v>
      </c>
      <c r="T558" s="189">
        <f>S558*H558</f>
        <v>0</v>
      </c>
      <c r="AR558" s="81" t="s">
        <v>735</v>
      </c>
      <c r="AT558" s="81" t="s">
        <v>116</v>
      </c>
      <c r="AU558" s="81" t="s">
        <v>76</v>
      </c>
      <c r="AY558" s="81" t="s">
        <v>114</v>
      </c>
      <c r="BE558" s="190">
        <f>IF(N558="základní",J558,0)</f>
        <v>0</v>
      </c>
      <c r="BF558" s="190">
        <f>IF(N558="snížená",J558,0)</f>
        <v>0</v>
      </c>
      <c r="BG558" s="190">
        <f>IF(N558="zákl. přenesená",J558,0)</f>
        <v>0</v>
      </c>
      <c r="BH558" s="190">
        <f>IF(N558="sníž. přenesená",J558,0)</f>
        <v>0</v>
      </c>
      <c r="BI558" s="190">
        <f>IF(N558="nulová",J558,0)</f>
        <v>0</v>
      </c>
      <c r="BJ558" s="81" t="s">
        <v>73</v>
      </c>
      <c r="BK558" s="190">
        <f>ROUND(I558*H558,2)</f>
        <v>0</v>
      </c>
      <c r="BL558" s="81" t="s">
        <v>735</v>
      </c>
      <c r="BM558" s="81" t="s">
        <v>1443</v>
      </c>
    </row>
    <row r="559" spans="2:65" s="92" customFormat="1" ht="16.5" customHeight="1">
      <c r="B559" s="90"/>
      <c r="C559" s="178" t="s">
        <v>1444</v>
      </c>
      <c r="D559" s="178" t="s">
        <v>116</v>
      </c>
      <c r="E559" s="179" t="s">
        <v>771</v>
      </c>
      <c r="F559" s="180" t="s">
        <v>772</v>
      </c>
      <c r="G559" s="181" t="s">
        <v>492</v>
      </c>
      <c r="H559" s="182">
        <v>1</v>
      </c>
      <c r="I559" s="69"/>
      <c r="J559" s="184">
        <f>ROUND(I559*H559,2)</f>
        <v>0</v>
      </c>
      <c r="K559" s="180" t="s">
        <v>154</v>
      </c>
      <c r="L559" s="90"/>
      <c r="M559" s="185" t="s">
        <v>1</v>
      </c>
      <c r="N559" s="186" t="s">
        <v>41</v>
      </c>
      <c r="O559" s="187"/>
      <c r="P559" s="188">
        <f>O559*H559</f>
        <v>0</v>
      </c>
      <c r="Q559" s="188">
        <v>0</v>
      </c>
      <c r="R559" s="188">
        <f>Q559*H559</f>
        <v>0</v>
      </c>
      <c r="S559" s="188">
        <v>0</v>
      </c>
      <c r="T559" s="189">
        <f>S559*H559</f>
        <v>0</v>
      </c>
      <c r="AR559" s="81" t="s">
        <v>735</v>
      </c>
      <c r="AT559" s="81" t="s">
        <v>116</v>
      </c>
      <c r="AU559" s="81" t="s">
        <v>76</v>
      </c>
      <c r="AY559" s="81" t="s">
        <v>114</v>
      </c>
      <c r="BE559" s="190">
        <f>IF(N559="základní",J559,0)</f>
        <v>0</v>
      </c>
      <c r="BF559" s="190">
        <f>IF(N559="snížená",J559,0)</f>
        <v>0</v>
      </c>
      <c r="BG559" s="190">
        <f>IF(N559="zákl. přenesená",J559,0)</f>
        <v>0</v>
      </c>
      <c r="BH559" s="190">
        <f>IF(N559="sníž. přenesená",J559,0)</f>
        <v>0</v>
      </c>
      <c r="BI559" s="190">
        <f>IF(N559="nulová",J559,0)</f>
        <v>0</v>
      </c>
      <c r="BJ559" s="81" t="s">
        <v>73</v>
      </c>
      <c r="BK559" s="190">
        <f>ROUND(I559*H559,2)</f>
        <v>0</v>
      </c>
      <c r="BL559" s="81" t="s">
        <v>735</v>
      </c>
      <c r="BM559" s="81" t="s">
        <v>1445</v>
      </c>
    </row>
    <row r="560" spans="2:63" s="166" customFormat="1" ht="22.9" customHeight="1">
      <c r="B560" s="162"/>
      <c r="D560" s="164" t="s">
        <v>67</v>
      </c>
      <c r="E560" s="175" t="s">
        <v>774</v>
      </c>
      <c r="F560" s="175" t="s">
        <v>775</v>
      </c>
      <c r="I560" s="74"/>
      <c r="J560" s="176"/>
      <c r="L560" s="162"/>
      <c r="M560" s="169"/>
      <c r="N560" s="170"/>
      <c r="O560" s="170"/>
      <c r="P560" s="171">
        <f>SUM(P561:P563)</f>
        <v>0</v>
      </c>
      <c r="Q560" s="170"/>
      <c r="R560" s="171">
        <f>SUM(R561:R563)</f>
        <v>0</v>
      </c>
      <c r="S560" s="170"/>
      <c r="T560" s="172">
        <f>SUM(T561:T563)</f>
        <v>0</v>
      </c>
      <c r="AR560" s="164" t="s">
        <v>167</v>
      </c>
      <c r="AT560" s="173" t="s">
        <v>67</v>
      </c>
      <c r="AU560" s="173" t="s">
        <v>73</v>
      </c>
      <c r="AY560" s="164" t="s">
        <v>114</v>
      </c>
      <c r="BK560" s="174">
        <f>SUM(BK561:BK563)</f>
        <v>0</v>
      </c>
    </row>
    <row r="561" spans="2:65" s="92" customFormat="1" ht="22.5" customHeight="1">
      <c r="B561" s="90"/>
      <c r="C561" s="178" t="s">
        <v>1446</v>
      </c>
      <c r="D561" s="178" t="s">
        <v>116</v>
      </c>
      <c r="E561" s="179" t="s">
        <v>777</v>
      </c>
      <c r="F561" s="180" t="s">
        <v>1447</v>
      </c>
      <c r="G561" s="181" t="s">
        <v>492</v>
      </c>
      <c r="H561" s="182">
        <v>1</v>
      </c>
      <c r="I561" s="69"/>
      <c r="J561" s="184">
        <f>ROUND(I561*H561,2)</f>
        <v>0</v>
      </c>
      <c r="K561" s="180" t="s">
        <v>1</v>
      </c>
      <c r="L561" s="90"/>
      <c r="M561" s="185" t="s">
        <v>1</v>
      </c>
      <c r="N561" s="186" t="s">
        <v>41</v>
      </c>
      <c r="O561" s="187"/>
      <c r="P561" s="188">
        <f>O561*H561</f>
        <v>0</v>
      </c>
      <c r="Q561" s="188">
        <v>0</v>
      </c>
      <c r="R561" s="188">
        <f>Q561*H561</f>
        <v>0</v>
      </c>
      <c r="S561" s="188">
        <v>0</v>
      </c>
      <c r="T561" s="189">
        <f>S561*H561</f>
        <v>0</v>
      </c>
      <c r="AR561" s="81" t="s">
        <v>735</v>
      </c>
      <c r="AT561" s="81" t="s">
        <v>116</v>
      </c>
      <c r="AU561" s="81" t="s">
        <v>76</v>
      </c>
      <c r="AY561" s="81" t="s">
        <v>114</v>
      </c>
      <c r="BE561" s="190">
        <f>IF(N561="základní",J561,0)</f>
        <v>0</v>
      </c>
      <c r="BF561" s="190">
        <f>IF(N561="snížená",J561,0)</f>
        <v>0</v>
      </c>
      <c r="BG561" s="190">
        <f>IF(N561="zákl. přenesená",J561,0)</f>
        <v>0</v>
      </c>
      <c r="BH561" s="190">
        <f>IF(N561="sníž. přenesená",J561,0)</f>
        <v>0</v>
      </c>
      <c r="BI561" s="190">
        <f>IF(N561="nulová",J561,0)</f>
        <v>0</v>
      </c>
      <c r="BJ561" s="81" t="s">
        <v>73</v>
      </c>
      <c r="BK561" s="190">
        <f>ROUND(I561*H561,2)</f>
        <v>0</v>
      </c>
      <c r="BL561" s="81" t="s">
        <v>735</v>
      </c>
      <c r="BM561" s="81" t="s">
        <v>1448</v>
      </c>
    </row>
    <row r="562" spans="2:65" s="92" customFormat="1" ht="22.5" customHeight="1">
      <c r="B562" s="90"/>
      <c r="C562" s="178" t="s">
        <v>1449</v>
      </c>
      <c r="D562" s="178" t="s">
        <v>116</v>
      </c>
      <c r="E562" s="179" t="s">
        <v>781</v>
      </c>
      <c r="F562" s="180" t="s">
        <v>1450</v>
      </c>
      <c r="G562" s="181" t="s">
        <v>358</v>
      </c>
      <c r="H562" s="182">
        <v>8</v>
      </c>
      <c r="I562" s="69"/>
      <c r="J562" s="184">
        <f>ROUND(I562*H562,2)</f>
        <v>0</v>
      </c>
      <c r="K562" s="180" t="s">
        <v>1</v>
      </c>
      <c r="L562" s="90"/>
      <c r="M562" s="185" t="s">
        <v>1</v>
      </c>
      <c r="N562" s="186" t="s">
        <v>41</v>
      </c>
      <c r="O562" s="187"/>
      <c r="P562" s="188">
        <f>O562*H562</f>
        <v>0</v>
      </c>
      <c r="Q562" s="188">
        <v>0</v>
      </c>
      <c r="R562" s="188">
        <f>Q562*H562</f>
        <v>0</v>
      </c>
      <c r="S562" s="188">
        <v>0</v>
      </c>
      <c r="T562" s="189">
        <f>S562*H562</f>
        <v>0</v>
      </c>
      <c r="AR562" s="81" t="s">
        <v>735</v>
      </c>
      <c r="AT562" s="81" t="s">
        <v>116</v>
      </c>
      <c r="AU562" s="81" t="s">
        <v>76</v>
      </c>
      <c r="AY562" s="81" t="s">
        <v>114</v>
      </c>
      <c r="BE562" s="190">
        <f>IF(N562="základní",J562,0)</f>
        <v>0</v>
      </c>
      <c r="BF562" s="190">
        <f>IF(N562="snížená",J562,0)</f>
        <v>0</v>
      </c>
      <c r="BG562" s="190">
        <f>IF(N562="zákl. přenesená",J562,0)</f>
        <v>0</v>
      </c>
      <c r="BH562" s="190">
        <f>IF(N562="sníž. přenesená",J562,0)</f>
        <v>0</v>
      </c>
      <c r="BI562" s="190">
        <f>IF(N562="nulová",J562,0)</f>
        <v>0</v>
      </c>
      <c r="BJ562" s="81" t="s">
        <v>73</v>
      </c>
      <c r="BK562" s="190">
        <f>ROUND(I562*H562,2)</f>
        <v>0</v>
      </c>
      <c r="BL562" s="81" t="s">
        <v>735</v>
      </c>
      <c r="BM562" s="81" t="s">
        <v>1451</v>
      </c>
    </row>
    <row r="563" spans="2:65" s="92" customFormat="1" ht="16.5" customHeight="1">
      <c r="B563" s="90"/>
      <c r="C563" s="178" t="s">
        <v>1452</v>
      </c>
      <c r="D563" s="178" t="s">
        <v>116</v>
      </c>
      <c r="E563" s="179" t="s">
        <v>786</v>
      </c>
      <c r="F563" s="180" t="s">
        <v>1554</v>
      </c>
      <c r="G563" s="181" t="s">
        <v>492</v>
      </c>
      <c r="H563" s="182">
        <v>1</v>
      </c>
      <c r="I563" s="69"/>
      <c r="J563" s="184">
        <f>ROUND(I563*H563,2)</f>
        <v>0</v>
      </c>
      <c r="K563" s="180" t="s">
        <v>154</v>
      </c>
      <c r="L563" s="90"/>
      <c r="M563" s="185" t="s">
        <v>1</v>
      </c>
      <c r="N563" s="186" t="s">
        <v>41</v>
      </c>
      <c r="O563" s="187"/>
      <c r="P563" s="188">
        <f>O563*H563</f>
        <v>0</v>
      </c>
      <c r="Q563" s="188">
        <v>0</v>
      </c>
      <c r="R563" s="188">
        <f>Q563*H563</f>
        <v>0</v>
      </c>
      <c r="S563" s="188">
        <v>0</v>
      </c>
      <c r="T563" s="189">
        <f>S563*H563</f>
        <v>0</v>
      </c>
      <c r="AR563" s="81" t="s">
        <v>735</v>
      </c>
      <c r="AT563" s="81" t="s">
        <v>116</v>
      </c>
      <c r="AU563" s="81" t="s">
        <v>76</v>
      </c>
      <c r="AY563" s="81" t="s">
        <v>114</v>
      </c>
      <c r="BE563" s="190">
        <f>IF(N563="základní",J563,0)</f>
        <v>0</v>
      </c>
      <c r="BF563" s="190">
        <f>IF(N563="snížená",J563,0)</f>
        <v>0</v>
      </c>
      <c r="BG563" s="190">
        <f>IF(N563="zákl. přenesená",J563,0)</f>
        <v>0</v>
      </c>
      <c r="BH563" s="190">
        <f>IF(N563="sníž. přenesená",J563,0)</f>
        <v>0</v>
      </c>
      <c r="BI563" s="190">
        <f>IF(N563="nulová",J563,0)</f>
        <v>0</v>
      </c>
      <c r="BJ563" s="81" t="s">
        <v>73</v>
      </c>
      <c r="BK563" s="190">
        <f>ROUND(I563*H563,2)</f>
        <v>0</v>
      </c>
      <c r="BL563" s="81" t="s">
        <v>735</v>
      </c>
      <c r="BM563" s="81" t="s">
        <v>1453</v>
      </c>
    </row>
    <row r="564" spans="2:63" s="166" customFormat="1" ht="22.9" customHeight="1">
      <c r="B564" s="162"/>
      <c r="D564" s="164" t="s">
        <v>67</v>
      </c>
      <c r="E564" s="175" t="s">
        <v>788</v>
      </c>
      <c r="F564" s="175" t="s">
        <v>789</v>
      </c>
      <c r="I564" s="74"/>
      <c r="J564" s="176"/>
      <c r="L564" s="162"/>
      <c r="M564" s="169"/>
      <c r="N564" s="170"/>
      <c r="O564" s="170"/>
      <c r="P564" s="171">
        <f>SUM(P565:P566)</f>
        <v>0</v>
      </c>
      <c r="Q564" s="170"/>
      <c r="R564" s="171">
        <f>SUM(R565:R566)</f>
        <v>0</v>
      </c>
      <c r="S564" s="170"/>
      <c r="T564" s="172">
        <f>SUM(T565:T566)</f>
        <v>0</v>
      </c>
      <c r="AR564" s="164" t="s">
        <v>167</v>
      </c>
      <c r="AT564" s="173" t="s">
        <v>67</v>
      </c>
      <c r="AU564" s="173" t="s">
        <v>73</v>
      </c>
      <c r="AY564" s="164" t="s">
        <v>114</v>
      </c>
      <c r="BK564" s="174">
        <f>SUM(BK565:BK566)</f>
        <v>0</v>
      </c>
    </row>
    <row r="565" spans="2:65" s="92" customFormat="1" ht="16.5" customHeight="1">
      <c r="B565" s="90"/>
      <c r="C565" s="178" t="s">
        <v>1454</v>
      </c>
      <c r="D565" s="178" t="s">
        <v>116</v>
      </c>
      <c r="E565" s="179" t="s">
        <v>791</v>
      </c>
      <c r="F565" s="180" t="s">
        <v>792</v>
      </c>
      <c r="G565" s="181" t="s">
        <v>492</v>
      </c>
      <c r="H565" s="182">
        <v>1</v>
      </c>
      <c r="I565" s="69"/>
      <c r="J565" s="184">
        <f>ROUND(I565*H565,2)</f>
        <v>0</v>
      </c>
      <c r="K565" s="180" t="s">
        <v>1</v>
      </c>
      <c r="L565" s="90"/>
      <c r="M565" s="185" t="s">
        <v>1</v>
      </c>
      <c r="N565" s="186" t="s">
        <v>41</v>
      </c>
      <c r="O565" s="187"/>
      <c r="P565" s="188">
        <f>O565*H565</f>
        <v>0</v>
      </c>
      <c r="Q565" s="188">
        <v>0</v>
      </c>
      <c r="R565" s="188">
        <f>Q565*H565</f>
        <v>0</v>
      </c>
      <c r="S565" s="188">
        <v>0</v>
      </c>
      <c r="T565" s="189">
        <f>S565*H565</f>
        <v>0</v>
      </c>
      <c r="AR565" s="81" t="s">
        <v>735</v>
      </c>
      <c r="AT565" s="81" t="s">
        <v>116</v>
      </c>
      <c r="AU565" s="81" t="s">
        <v>76</v>
      </c>
      <c r="AY565" s="81" t="s">
        <v>114</v>
      </c>
      <c r="BE565" s="190">
        <f>IF(N565="základní",J565,0)</f>
        <v>0</v>
      </c>
      <c r="BF565" s="190">
        <f>IF(N565="snížená",J565,0)</f>
        <v>0</v>
      </c>
      <c r="BG565" s="190">
        <f>IF(N565="zákl. přenesená",J565,0)</f>
        <v>0</v>
      </c>
      <c r="BH565" s="190">
        <f>IF(N565="sníž. přenesená",J565,0)</f>
        <v>0</v>
      </c>
      <c r="BI565" s="190">
        <f>IF(N565="nulová",J565,0)</f>
        <v>0</v>
      </c>
      <c r="BJ565" s="81" t="s">
        <v>73</v>
      </c>
      <c r="BK565" s="190">
        <f>ROUND(I565*H565,2)</f>
        <v>0</v>
      </c>
      <c r="BL565" s="81" t="s">
        <v>735</v>
      </c>
      <c r="BM565" s="81" t="s">
        <v>1455</v>
      </c>
    </row>
    <row r="566" spans="2:65" s="92" customFormat="1" ht="16.5" customHeight="1">
      <c r="B566" s="90"/>
      <c r="C566" s="178" t="s">
        <v>1456</v>
      </c>
      <c r="D566" s="178" t="s">
        <v>116</v>
      </c>
      <c r="E566" s="179" t="s">
        <v>795</v>
      </c>
      <c r="F566" s="180" t="s">
        <v>796</v>
      </c>
      <c r="G566" s="181" t="s">
        <v>492</v>
      </c>
      <c r="H566" s="182">
        <v>1</v>
      </c>
      <c r="I566" s="69"/>
      <c r="J566" s="184">
        <f>ROUND(I566*H566,2)</f>
        <v>0</v>
      </c>
      <c r="K566" s="180" t="s">
        <v>1</v>
      </c>
      <c r="L566" s="90"/>
      <c r="M566" s="308" t="s">
        <v>1</v>
      </c>
      <c r="N566" s="309" t="s">
        <v>41</v>
      </c>
      <c r="O566" s="310"/>
      <c r="P566" s="311">
        <f>O566*H566</f>
        <v>0</v>
      </c>
      <c r="Q566" s="311">
        <v>0</v>
      </c>
      <c r="R566" s="311">
        <f>Q566*H566</f>
        <v>0</v>
      </c>
      <c r="S566" s="311">
        <v>0</v>
      </c>
      <c r="T566" s="312">
        <f>S566*H566</f>
        <v>0</v>
      </c>
      <c r="AR566" s="81" t="s">
        <v>735</v>
      </c>
      <c r="AT566" s="81" t="s">
        <v>116</v>
      </c>
      <c r="AU566" s="81" t="s">
        <v>76</v>
      </c>
      <c r="AY566" s="81" t="s">
        <v>114</v>
      </c>
      <c r="BE566" s="190">
        <f>IF(N566="základní",J566,0)</f>
        <v>0</v>
      </c>
      <c r="BF566" s="190">
        <f>IF(N566="snížená",J566,0)</f>
        <v>0</v>
      </c>
      <c r="BG566" s="190">
        <f>IF(N566="zákl. přenesená",J566,0)</f>
        <v>0</v>
      </c>
      <c r="BH566" s="190">
        <f>IF(N566="sníž. přenesená",J566,0)</f>
        <v>0</v>
      </c>
      <c r="BI566" s="190">
        <f>IF(N566="nulová",J566,0)</f>
        <v>0</v>
      </c>
      <c r="BJ566" s="81" t="s">
        <v>73</v>
      </c>
      <c r="BK566" s="190">
        <f>ROUND(I566*H566,2)</f>
        <v>0</v>
      </c>
      <c r="BL566" s="81" t="s">
        <v>735</v>
      </c>
      <c r="BM566" s="81" t="s">
        <v>1457</v>
      </c>
    </row>
    <row r="567" spans="2:12" s="92" customFormat="1" ht="6.95" customHeight="1">
      <c r="B567" s="117"/>
      <c r="C567" s="119"/>
      <c r="D567" s="119"/>
      <c r="E567" s="119"/>
      <c r="F567" s="119"/>
      <c r="G567" s="119"/>
      <c r="H567" s="119"/>
      <c r="I567" s="120"/>
      <c r="J567" s="119"/>
      <c r="K567" s="119"/>
      <c r="L567" s="90"/>
    </row>
  </sheetData>
  <sheetProtection password="95D3" sheet="1" objects="1" scenarios="1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rintOptions/>
  <pageMargins left="0.7" right="0.7" top="0.787401575" bottom="0.7874015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Lenka-PC\Lenka</dc:creator>
  <cp:keywords/>
  <dc:description/>
  <cp:lastModifiedBy>Miroslav Havlas</cp:lastModifiedBy>
  <cp:lastPrinted>2022-01-26T09:38:23Z</cp:lastPrinted>
  <dcterms:created xsi:type="dcterms:W3CDTF">2020-11-30T18:35:55Z</dcterms:created>
  <dcterms:modified xsi:type="dcterms:W3CDTF">2022-02-04T06:37:12Z</dcterms:modified>
  <cp:category/>
  <cp:version/>
  <cp:contentType/>
  <cp:contentStatus/>
</cp:coreProperties>
</file>