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/>
  <bookViews>
    <workbookView xWindow="0" yWindow="0" windowWidth="25200" windowHeight="11685" activeTab="0"/>
  </bookViews>
  <sheets>
    <sheet name="Rekapitulace stavby" sheetId="1" r:id="rId1"/>
    <sheet name="1976-1 - IO 01-Vodovod" sheetId="2" r:id="rId2"/>
    <sheet name="1976-2 - IO 02-Kanalizace" sheetId="3" r:id="rId3"/>
  </sheets>
  <definedNames>
    <definedName name="_xlnm._FilterDatabase" localSheetId="1" hidden="1">'1976-1 - IO 01-Vodovod'!$C$127:$K$360</definedName>
    <definedName name="_xlnm._FilterDatabase" localSheetId="2" hidden="1">'1976-2 - IO 02-Kanalizace'!$C$125:$K$318</definedName>
    <definedName name="_xlnm.Print_Area" localSheetId="1">'1976-1 - IO 01-Vodovod'!$B$80:$J$361</definedName>
    <definedName name="_xlnm.Print_Area" localSheetId="2">'1976-2 - IO 02-Kanalizace'!$B$112:$J$319</definedName>
    <definedName name="_xlnm.Print_Area" localSheetId="0">'Rekapitulace stavby'!$B$81:$AP$98</definedName>
    <definedName name="_xlnm.Print_Titles" localSheetId="0">'Rekapitulace stavby'!$92:$92</definedName>
    <definedName name="_xlnm.Print_Titles" localSheetId="1">'1976-1 - IO 01-Vodovod'!$127:$127</definedName>
    <definedName name="_xlnm.Print_Titles" localSheetId="2">'1976-2 - IO 02-Kanalizace'!$125:$125</definedName>
  </definedNames>
  <calcPr calcId="191029"/>
</workbook>
</file>

<file path=xl/sharedStrings.xml><?xml version="1.0" encoding="utf-8"?>
<sst xmlns="http://schemas.openxmlformats.org/spreadsheetml/2006/main" count="5219" uniqueCount="930">
  <si>
    <t>Export Komplet</t>
  </si>
  <si>
    <t/>
  </si>
  <si>
    <t>2.0</t>
  </si>
  <si>
    <t>False</t>
  </si>
  <si>
    <t>{320891b1-195c-4595-b363-5db8c8b37e05}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</si>
  <si>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</si>
  <si>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</si>
  <si>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</si>
  <si>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</si>
  <si>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</si>
  <si>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</si>
  <si>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</si>
  <si>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</si>
  <si>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1976</t>
  </si>
  <si>
    <t>Stavba:</t>
  </si>
  <si>
    <t>0,1</t>
  </si>
  <si>
    <t>KSO:</t>
  </si>
  <si>
    <t>CC-CZ:</t>
  </si>
  <si>
    <t>1</t>
  </si>
  <si>
    <t>Místo:</t>
  </si>
  <si>
    <t>Mladá Boleslav</t>
  </si>
  <si>
    <t>Datum:</t>
  </si>
  <si>
    <t>4. 12. 2019</t>
  </si>
  <si>
    <t>10</t>
  </si>
  <si>
    <t>CZ-CPV:</t>
  </si>
  <si>
    <t>45231300-8</t>
  </si>
  <si>
    <t>100</t>
  </si>
  <si>
    <t>Zadavatel:</t>
  </si>
  <si>
    <t>IČ:</t>
  </si>
  <si>
    <t>46356983</t>
  </si>
  <si>
    <t>Vodovody a kanalizace Mladá Boleslav, a.s.</t>
  </si>
  <si>
    <t>DIČ:</t>
  </si>
  <si>
    <t>CZ46356983</t>
  </si>
  <si>
    <t>Zhotovitel:</t>
  </si>
  <si>
    <t xml:space="preserve"> </t>
  </si>
  <si>
    <t>Projektant:</t>
  </si>
  <si>
    <t>49297945</t>
  </si>
  <si>
    <t>Ing. Petr Čepický</t>
  </si>
  <si>
    <t>CZ7003153432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</si>
  <si>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</si>
  <si>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</si>
  <si>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</si>
  <si>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</si>
  <si>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</si>
  <si>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</si>
  <si>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</si>
  <si>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</si>
  <si>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</si>
  <si>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</si>
  <si>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</si>
  <si>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</si>
  <si>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</si>
  <si>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</si>
  <si>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</si>
  <si>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</si>
  <si>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</si>
  <si>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</si>
  <si>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</si>
  <si>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</si>
  <si>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</si>
  <si>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</si>
  <si>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</si>
  <si>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</si>
  <si>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</si>
  <si>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</si>
  <si>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</si>
  <si>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</si>
  <si>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</si>
  <si>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</si>
  <si>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</si>
  <si>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</si>
  <si>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</si>
  <si>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</si>
  <si>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</si>
  <si>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</si>
  <si>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</si>
  <si>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</si>
  <si>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</si>
  <si>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</si>
  <si>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</si>
  <si>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</si>
  <si>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</si>
  <si>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</si>
  <si>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</si>
  <si>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</si>
  <si>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</si>
  <si>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</si>
  <si>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1976-1</t>
  </si>
  <si>
    <t>IO 01-Vodovod</t>
  </si>
  <si>
    <t>ING</t>
  </si>
  <si>
    <t>{81e347f0-f28c-4d5a-8e52-468eb361d443}</t>
  </si>
  <si>
    <t>827 13 22</t>
  </si>
  <si>
    <t>2</t>
  </si>
  <si>
    <t>1976-2</t>
  </si>
  <si>
    <t>IO 02-Kanalizace</t>
  </si>
  <si>
    <t>{f325ed55-3f64-4dce-9732-68ef54bd6f0a}</t>
  </si>
  <si>
    <t>827 21 52</t>
  </si>
  <si>
    <t>DEL100_CEL</t>
  </si>
  <si>
    <t>279</t>
  </si>
  <si>
    <t>DEL100_D4</t>
  </si>
  <si>
    <t>3,3</t>
  </si>
  <si>
    <t>KRYCÍ LIST SOUPISU PRACÍ</t>
  </si>
  <si>
    <t>DEL100_Ž1</t>
  </si>
  <si>
    <t>254,5</t>
  </si>
  <si>
    <t>DEL3250_CEL</t>
  </si>
  <si>
    <t>10,5</t>
  </si>
  <si>
    <t>DEL3250_D4</t>
  </si>
  <si>
    <t>DEL3250_Ž1</t>
  </si>
  <si>
    <t>Objekt:</t>
  </si>
  <si>
    <t>DLAŽ_D4_VEN</t>
  </si>
  <si>
    <t>454,1</t>
  </si>
  <si>
    <t>1976-1 - IO 01-Vodovod</t>
  </si>
  <si>
    <t>DLAŽ_D4_ZPĚT</t>
  </si>
  <si>
    <t>6,27</t>
  </si>
  <si>
    <t>CHRAN_D160_VÝK</t>
  </si>
  <si>
    <t>12</t>
  </si>
  <si>
    <t>22221</t>
  </si>
  <si>
    <t>KUB100_CEL</t>
  </si>
  <si>
    <t>376,452</t>
  </si>
  <si>
    <t>KUB100_D4</t>
  </si>
  <si>
    <t>5,2</t>
  </si>
  <si>
    <t>CZ-CPA:</t>
  </si>
  <si>
    <t>42.21.12</t>
  </si>
  <si>
    <t>KUB100_Ž1</t>
  </si>
  <si>
    <t>371,252</t>
  </si>
  <si>
    <t>KUB3250_D4</t>
  </si>
  <si>
    <t>KUB3250_Ž1</t>
  </si>
  <si>
    <t>12,592</t>
  </si>
  <si>
    <t>OBRUBA_SIL_ZPĚT</t>
  </si>
  <si>
    <t>1,9</t>
  </si>
  <si>
    <t>OBSYP_CE</t>
  </si>
  <si>
    <t>92,058</t>
  </si>
  <si>
    <t>ODSTRPODK_CE</t>
  </si>
  <si>
    <t>ODSTRPODK_D4</t>
  </si>
  <si>
    <t>2,97</t>
  </si>
  <si>
    <t>PAŽCELK2</t>
  </si>
  <si>
    <t>867,921</t>
  </si>
  <si>
    <t>PAŽPŘÍLOŽ2</t>
  </si>
  <si>
    <t>694,337</t>
  </si>
  <si>
    <t>PAŽZÁTAŽ2</t>
  </si>
  <si>
    <t>173,584</t>
  </si>
  <si>
    <t>PROVIZ_ROZV63</t>
  </si>
  <si>
    <t>179</t>
  </si>
  <si>
    <t>PRUMHL</t>
  </si>
  <si>
    <t>1,499</t>
  </si>
  <si>
    <t>PŘESUN_HMT</t>
  </si>
  <si>
    <t>12,994</t>
  </si>
  <si>
    <t>VYKOP_CE</t>
  </si>
  <si>
    <t>232,772</t>
  </si>
  <si>
    <t>VYKOP_N</t>
  </si>
  <si>
    <t>VYKOP_Z</t>
  </si>
  <si>
    <t>VYKOP3</t>
  </si>
  <si>
    <t>139,663</t>
  </si>
  <si>
    <t>VYKOP4</t>
  </si>
  <si>
    <t>93,109</t>
  </si>
  <si>
    <t>VYTLAČ_N</t>
  </si>
  <si>
    <t>VYTLAČ_Z</t>
  </si>
  <si>
    <t>134,073</t>
  </si>
  <si>
    <t>ZAJKAB3</t>
  </si>
  <si>
    <t>12,6</t>
  </si>
  <si>
    <t>ZAJPOTR200</t>
  </si>
  <si>
    <t>56,2</t>
  </si>
  <si>
    <t>ZAJPOTR500</t>
  </si>
  <si>
    <t>1,8</t>
  </si>
  <si>
    <t>ZASYP_Z</t>
  </si>
  <si>
    <t>98,699</t>
  </si>
  <si>
    <t>RUČNÍ_SONDY</t>
  </si>
  <si>
    <t>ZASYP_PROVIZ</t>
  </si>
  <si>
    <t>142,725</t>
  </si>
  <si>
    <t>ZASYP_S2</t>
  </si>
  <si>
    <t>13,212</t>
  </si>
  <si>
    <t>DEL100_D4V</t>
  </si>
  <si>
    <t>21,2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</si>
  <si>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</si>
  <si>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</si>
  <si>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</si>
  <si>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</si>
  <si>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</si>
  <si>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</si>
  <si>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</si>
  <si>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</si>
  <si>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</si>
  <si>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</si>
  <si>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</si>
  <si>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</si>
  <si>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900 - Ostatní práce a konstrukce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</si>
  <si>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</si>
  <si>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</si>
  <si>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</si>
  <si>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</si>
  <si>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</si>
  <si>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</si>
  <si>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</si>
  <si>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</si>
  <si>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</si>
  <si>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</si>
  <si>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</si>
  <si>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</si>
  <si>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</si>
  <si>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</si>
  <si>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</si>
  <si>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</si>
  <si>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</si>
  <si>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</si>
  <si>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</si>
  <si>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</si>
  <si>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</si>
  <si>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</si>
  <si>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</si>
  <si>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113106512</t>
  </si>
  <si>
    <t>Rozebrání dlažeb vozovek z velkých kostek s ložem ze živice strojně pl přes 200 m2</t>
  </si>
  <si>
    <t>m2</t>
  </si>
  <si>
    <t>4</t>
  </si>
  <si>
    <t>964406189</t>
  </si>
  <si>
    <t>VV</t>
  </si>
  <si>
    <t>"délka DN100 dlažba žulová-velká kostka-D4" (6,50-3,2)</t>
  </si>
  <si>
    <t>"délka DN100 živice-místní komunikace-Ž1" 272,5+3,2-21,2</t>
  </si>
  <si>
    <t>"délka DN100 dlažba žulová-velká kostka-D4V" 21,2</t>
  </si>
  <si>
    <t>Mezisoučet</t>
  </si>
  <si>
    <t>3</t>
  </si>
  <si>
    <t>"délka D3250 dlažba  žulová-velká kostka-D4 (d32+d40+d50)" 0</t>
  </si>
  <si>
    <t>"délka D3250 živice-místní komunikace-Ž1 (d32+d40+d50)" 7,5+2,0+1,0</t>
  </si>
  <si>
    <t>"zákl.objem ze SW pod.prof. DN100 dlažba žulová-velká kostka-D4" 5,2</t>
  </si>
  <si>
    <t>"zákl.objem ze SW pod.prof. DN100-Ž1 - zemina nad rušenou S2 (st. km 0,015.3-0,052.0)" 410,46+5,04-(57,46-(0,6*0,6*(52,0-15,3)))</t>
  </si>
  <si>
    <t>"zákl.objem přípojky" DEL3250_D4*PRUMHL*0,8</t>
  </si>
  <si>
    <t>"zákl.objem přípojky" DEL3250_Ž1*PRUMHL*0,8</t>
  </si>
  <si>
    <t>KUB3250_CEL</t>
  </si>
  <si>
    <t>"průměrná hloubka výk." (KUB100_CEL/0,9)/DEL100_CEL</t>
  </si>
  <si>
    <t>DLAŽ_D4_VEN+DLAŽ_D4_ZPĚT</t>
  </si>
  <si>
    <t>113107325</t>
  </si>
  <si>
    <t>-730176865</t>
  </si>
  <si>
    <t>(DEL100_D4*0,9)+(DEL3250_D4*0,8)</t>
  </si>
  <si>
    <t>113154123</t>
  </si>
  <si>
    <t>Frézování živičného krytu tl 50 mm pruh š 1 m pl do 500 m2 bez překážek v trase</t>
  </si>
  <si>
    <t>1235911712</t>
  </si>
  <si>
    <t>ODSTRŽ1_RÝH</t>
  </si>
  <si>
    <t>113202111</t>
  </si>
  <si>
    <t>Vytrhání obrub krajníků obrubníků stojatých</t>
  </si>
  <si>
    <t>m</t>
  </si>
  <si>
    <t>128545648</t>
  </si>
  <si>
    <t>"silniční obruby v rekonstruované částI" 0,9+2*0,5</t>
  </si>
  <si>
    <t>5</t>
  </si>
  <si>
    <t>115101201</t>
  </si>
  <si>
    <t>Čerpání vody na dopravní výšku do 10 m průměrný přítok do 500 l/min</t>
  </si>
  <si>
    <t>hod</t>
  </si>
  <si>
    <t>1584626639</t>
  </si>
  <si>
    <t>"průměrná rychlost pokládky 12m/den" (DEL100_CEL+DEL3250_CEL)/12*8</t>
  </si>
  <si>
    <t>115101301</t>
  </si>
  <si>
    <t>Pohotovost čerpací soupravy pro dopravní výšku do 10 m přítok do 500 l/min</t>
  </si>
  <si>
    <t>den</t>
  </si>
  <si>
    <t>-662981756</t>
  </si>
  <si>
    <t>"průměrná rychlost pokládky 12m/den" (DEL100_CEL+DEL3250_CEL)/12</t>
  </si>
  <si>
    <t>119001401</t>
  </si>
  <si>
    <t>Dočasné zajištění potrubí ocelového nebo litinového DN do 200 mm</t>
  </si>
  <si>
    <t>854547581</t>
  </si>
  <si>
    <t>"příčné křížení + podélné vedení plynovodu" (18*0,9)+40,0</t>
  </si>
  <si>
    <t>8</t>
  </si>
  <si>
    <t>119001412</t>
  </si>
  <si>
    <t>Dočasné zajištění potrubí betonového, ŽB nebo kameninového DN do 500 mm</t>
  </si>
  <si>
    <t>1920596129</t>
  </si>
  <si>
    <t>2*0,9</t>
  </si>
  <si>
    <t>9</t>
  </si>
  <si>
    <t>119001421</t>
  </si>
  <si>
    <t>Dočasné zajištění kabelů a kabelových tratí ze 3 volně ložených kabelů</t>
  </si>
  <si>
    <t>1756739622</t>
  </si>
  <si>
    <t>14*0,9</t>
  </si>
  <si>
    <t>132212112</t>
  </si>
  <si>
    <t>Hloubení rýh š do 800 mm v nesoudržných horninách třídy těžitelnosti I, skupiny 3 ručně</t>
  </si>
  <si>
    <t>m3</t>
  </si>
  <si>
    <t>167423475</t>
  </si>
  <si>
    <t>"ručně kopane sondy pro zajištění přesné polohy plynovodu" 10,0</t>
  </si>
  <si>
    <t>132254204</t>
  </si>
  <si>
    <t>Hloubení zapažených rýh š do 2000 mm v hornině třídy těžitelnosti I, skupiny 3 objem do 500 m3</t>
  </si>
  <si>
    <t>-1052727464</t>
  </si>
  <si>
    <t>VYK_D4</t>
  </si>
  <si>
    <t>"výkop m3 v dlažbě žulové-D4" ((KUB100_D4)-((DEL100_D4)*0,9*0,65))+((KUB3250_D4)-((DEL3250_D4)*0,8*0,65))</t>
  </si>
  <si>
    <t>VYK_Ž1</t>
  </si>
  <si>
    <t>"výkop m3 v živici-Ž1" ((KUB100_Ž1)-((DEL100_Ž1)*0,9*0,65))+((KUB3250_Ž1)-((DEL3250_Ž1)*0,8*0,65))</t>
  </si>
  <si>
    <t>"výkop v nezpevněném N1, N2" 0</t>
  </si>
  <si>
    <t>VYKOP_Z+VYKOP_N</t>
  </si>
  <si>
    <t>VYKOP_CE*0,60</t>
  </si>
  <si>
    <t>132354204</t>
  </si>
  <si>
    <t>Hloubení zapažených rýh š do 2000 mm v hornině třídy těžitelnosti II, skupiny 4 objem do 500 m3</t>
  </si>
  <si>
    <t>1190133684</t>
  </si>
  <si>
    <t>VYKOP_CE*0,40</t>
  </si>
  <si>
    <t>139001101</t>
  </si>
  <si>
    <t>Příplatek za ztížení vykopávky v blízkosti podzemního vedení</t>
  </si>
  <si>
    <t>377976381</t>
  </si>
  <si>
    <t>"křížení do DN200" (ZAJPOTR200*(0,5+0,2+0,3)*(0,5+0,2+0,5))</t>
  </si>
  <si>
    <t>"křížení do DN500" ZAJPOTR500*(0,5+0,5+0,3)*(0,5+0,5+0,5)</t>
  </si>
  <si>
    <t>"křížení kabelů" ZAJKAB3*(1,0+1,0)*PRUMHL</t>
  </si>
  <si>
    <t>Součet</t>
  </si>
  <si>
    <t>151101101</t>
  </si>
  <si>
    <t>Zřízení příložného pažení a rozepření stěn rýh hl do 2 m</t>
  </si>
  <si>
    <t>1569392660</t>
  </si>
  <si>
    <t>(DEL100_CEL+DEL3250_CEL)*PRUMHL*2</t>
  </si>
  <si>
    <t>151101111</t>
  </si>
  <si>
    <t>Odstranění příložného pažení a rozepření stěn rýh hl do 2 m</t>
  </si>
  <si>
    <t>-140840885</t>
  </si>
  <si>
    <t>18</t>
  </si>
  <si>
    <t>162211311</t>
  </si>
  <si>
    <t>Vodorovné přemístění výkopku z horniny třídy těžitelnosti I, skupiny 1 až 3 stavebním kolečkem do 10 m</t>
  </si>
  <si>
    <t>20</t>
  </si>
  <si>
    <t>162751117.R</t>
  </si>
  <si>
    <t>Vodorovné přemístěn zeminy z horniny třídy těžitelnosti I, skupiny 1 až 3 a sutií na skládku dle výběru zhotovitele s uložením a poplatky</t>
  </si>
  <si>
    <t>-148889772</t>
  </si>
  <si>
    <t>"vytlačený objem L-P-O" (DEL100_CEL*0,467)+(DEL3250_CEL*0,360)</t>
  </si>
  <si>
    <t>"vytlačený objem L-P-O v nezpevněném" 0</t>
  </si>
  <si>
    <t>ODVOZ13</t>
  </si>
  <si>
    <t>((VYKOP_Z+VYTLAČ_N)*((VYKOP3)/(VYKOP3+VYKOP4)))</t>
  </si>
  <si>
    <t>162751137.R</t>
  </si>
  <si>
    <t>Vodorovné přemístěn zeminy z horniny třídy těžitelnosti II, skupiny 4 až 5 a sutií na skládku dle výběru zhotovitele s uložením a poplatky</t>
  </si>
  <si>
    <t>-1200436229</t>
  </si>
  <si>
    <t>ODVOZ45</t>
  </si>
  <si>
    <t>((VYKOP_Z+VYTLAČ_N)*((VYKOP4)/(VYKOP3+VYKOP4)))</t>
  </si>
  <si>
    <t>174151101</t>
  </si>
  <si>
    <t>Zásyp jam, šachet rýh nebo kolem objektů sypaninou se zhutněním</t>
  </si>
  <si>
    <t>-716417653</t>
  </si>
  <si>
    <t>"zásyp ve zpev." (VYKOP_Z-VYTLAČ_Z)</t>
  </si>
  <si>
    <t>ZASYP_N</t>
  </si>
  <si>
    <t>"zásyp v nezpev" (VYKOP_N-VYTLAČ_N)</t>
  </si>
  <si>
    <t>"zásyp rušené části stoky S2 ve st. km: 0,015.3-0,052.0, ostatní část v IO 02" (0,6*0,6*(52,0-15,3))</t>
  </si>
  <si>
    <t>"provizorní zýsyp horní části rýhy od pláně 650-100 mm" 0,55*(DEL100_CEL*0,9+DEL3250_CEL*0,8)</t>
  </si>
  <si>
    <t>ZASYP_CE</t>
  </si>
  <si>
    <t>M</t>
  </si>
  <si>
    <t>t</t>
  </si>
  <si>
    <t>-1686103456</t>
  </si>
  <si>
    <t>(ZASYP_Z+ZASYP_PROVIZ+ZASYP_S2)*2,0</t>
  </si>
  <si>
    <t>175151101</t>
  </si>
  <si>
    <t>Obsypání potrubí strojně sypaninou bez prohození, uloženou do 3 m</t>
  </si>
  <si>
    <t>-722886799</t>
  </si>
  <si>
    <t>(DEL100_CEL*0,321)+(DEL3250_CEL*0,238)</t>
  </si>
  <si>
    <t>58337310</t>
  </si>
  <si>
    <t>štěrkopísek frakce 0/4</t>
  </si>
  <si>
    <t>190096745</t>
  </si>
  <si>
    <t>OBSYP_CE*2,0</t>
  </si>
  <si>
    <t>Svislé a kompletní konstrukce</t>
  </si>
  <si>
    <t>1055999042</t>
  </si>
  <si>
    <t>BOUR_ZD_600</t>
  </si>
  <si>
    <t>Vodorovné konstrukce</t>
  </si>
  <si>
    <t>451572111</t>
  </si>
  <si>
    <t>Lože pod potrubí otevřený výkop z kameniva drobného těženého</t>
  </si>
  <si>
    <t>-996389117</t>
  </si>
  <si>
    <t>LOŽE_CE</t>
  </si>
  <si>
    <t>(DEL100_CEL*0,135)+(DEL3250_CEL*0,120)</t>
  </si>
  <si>
    <t>452313151</t>
  </si>
  <si>
    <t>Podkladní bloky z betonu prostého tř. C 20/25 otevřený výkop</t>
  </si>
  <si>
    <t>1544215143</t>
  </si>
  <si>
    <t>0,17+0,17+1,00+0,0+0,19+0,18</t>
  </si>
  <si>
    <t>452353101</t>
  </si>
  <si>
    <t>Bednění podkladních bloků otevřený výkop</t>
  </si>
  <si>
    <t>-1211308868</t>
  </si>
  <si>
    <t>"(švýk + švýk + b/2) * h * počet"   (0,9+0,9+(0,40/2))*0,17*1</t>
  </si>
  <si>
    <t>"(švýk + švýk + b/2) * h * počet"   (0,9+0,9+(0,60/2))*0,23*1</t>
  </si>
  <si>
    <t>"(švýk + švýk + b/2) * h * počet"   (0,9+0,9+(0,80/2))*0,35*1</t>
  </si>
  <si>
    <t>"(švýk + švýk + b/2) * h * počet"   (0,9+0,9+(0,60/2))*0,58*1</t>
  </si>
  <si>
    <t>"(švýk + švýk) * h * počet"   (0,9+0,9)*0,65*1</t>
  </si>
  <si>
    <t>Komunikace pozemní</t>
  </si>
  <si>
    <t>564751111</t>
  </si>
  <si>
    <t>Podklad z kameniva hrubého drceného vel. 32-63 mm tl 150 mm</t>
  </si>
  <si>
    <t>-236323373</t>
  </si>
  <si>
    <t>564831111</t>
  </si>
  <si>
    <t>-1667987586</t>
  </si>
  <si>
    <t>-2128289101</t>
  </si>
  <si>
    <t>-226540283</t>
  </si>
  <si>
    <t>591111111</t>
  </si>
  <si>
    <t>578641756</t>
  </si>
  <si>
    <t>Trubní vedení</t>
  </si>
  <si>
    <t>851261131</t>
  </si>
  <si>
    <t>Montáž potrubí z trub litinových hrdlových s integrovaným těsněním otevřený výkop DN 100</t>
  </si>
  <si>
    <t>-1620846278</t>
  </si>
  <si>
    <t>55254081</t>
  </si>
  <si>
    <t>trouba vodovodní litinová hrdlová hrdlová Zn+Al povlak Class 100 K9 dl 6m DN 100</t>
  </si>
  <si>
    <t>-421676616</t>
  </si>
  <si>
    <t>857242122</t>
  </si>
  <si>
    <t>Montáž litinových tvarovek jednoosých přírubových otevřený výkop DN 80</t>
  </si>
  <si>
    <t>kus</t>
  </si>
  <si>
    <t>714643969</t>
  </si>
  <si>
    <t>505008020016</t>
  </si>
  <si>
    <t>KOLENO PATNÍ PŘÍRUBOVÉ DLOUHÉ 80</t>
  </si>
  <si>
    <t>ks</t>
  </si>
  <si>
    <t>-2111472682</t>
  </si>
  <si>
    <t>55253892</t>
  </si>
  <si>
    <t>tvarovka přírubová s hrdlem z tvárné litiny,práškový epoxid tl 250µm EU-kus dl 130mm DN 80</t>
  </si>
  <si>
    <t>-505094353</t>
  </si>
  <si>
    <t>857261131</t>
  </si>
  <si>
    <t>Montáž litinových tvarovek jednoosých hrdlových otevřený výkop s integrovaným těsněním DN 100</t>
  </si>
  <si>
    <t>-18949378</t>
  </si>
  <si>
    <t>286709405224.R</t>
  </si>
  <si>
    <t>spojka redukovaná WAGA 3107 Plus 709405220 d 84-105 x d 104-132 DN 100 x 80 PN 16</t>
  </si>
  <si>
    <t>-1991805573</t>
  </si>
  <si>
    <t>PAM.NEB10MN.1</t>
  </si>
  <si>
    <t>přesuvka hrdlová včetně příslušenství U EXPRESS DN 100mm</t>
  </si>
  <si>
    <t>331672490</t>
  </si>
  <si>
    <t>55253490</t>
  </si>
  <si>
    <t>tvarovka přírubová litinová s hladkým koncem,práškový epoxid tl 250µm F-kus DN 100</t>
  </si>
  <si>
    <t>1114709038</t>
  </si>
  <si>
    <t>55253905</t>
  </si>
  <si>
    <t>koleno hrdlové z tvárné litiny,práškový epoxid tl 250µm MMK-kus DN 100-11,25°</t>
  </si>
  <si>
    <t>133563703</t>
  </si>
  <si>
    <t>55253917</t>
  </si>
  <si>
    <t>koleno hrdlové z tvárné litiny,práškový epoxid tl 250µm MMK-kus DN 100-22,5°</t>
  </si>
  <si>
    <t>-1497339093</t>
  </si>
  <si>
    <t>55253941</t>
  </si>
  <si>
    <t>koleno hrdlové z tvárné litiny,práškový epoxid tl 250µm MMK-kus DN 100-45°</t>
  </si>
  <si>
    <t>-2090706415</t>
  </si>
  <si>
    <t>857262122</t>
  </si>
  <si>
    <t>Montáž litinových tvarovek jednoosých přírubových otevřený výkop DN 100</t>
  </si>
  <si>
    <t>-1186433947</t>
  </si>
  <si>
    <t>55253612.R</t>
  </si>
  <si>
    <t>přechod přírubový,práškový epoxid tl 250µm FFR-kus litinový dl 200mm DN 100/80</t>
  </si>
  <si>
    <t>-1583785700</t>
  </si>
  <si>
    <t>857264122</t>
  </si>
  <si>
    <t>Montáž litinových tvarovek odbočných přírubových otevřený výkop DN 100</t>
  </si>
  <si>
    <t>1037753676</t>
  </si>
  <si>
    <t>55253592</t>
  </si>
  <si>
    <t>kříž přírubový litinový PN10/16 TT-kus DN 100/100</t>
  </si>
  <si>
    <t>-354664813</t>
  </si>
  <si>
    <t>52</t>
  </si>
  <si>
    <t>871161211</t>
  </si>
  <si>
    <t>Montáž potrubí z PE100 SDR 11 otevřený výkop svařovaných elektrotvarovkou D 32 x 3,0 mm</t>
  </si>
  <si>
    <t>-535453287</t>
  </si>
  <si>
    <t>DEL3250_CEL-3,0</t>
  </si>
  <si>
    <t>28613524</t>
  </si>
  <si>
    <t>potrubí třívrstvé PE100 RC SDR11 32x3,0 dl 12m</t>
  </si>
  <si>
    <t>234737114</t>
  </si>
  <si>
    <t>871171211</t>
  </si>
  <si>
    <t>Montáž potrubí z PE100 SDR 11 otevřený výkop svařovaných elektrotvarovkou D 40 x 3,7 mm</t>
  </si>
  <si>
    <t>-1214622006</t>
  </si>
  <si>
    <t>28613525</t>
  </si>
  <si>
    <t>potrubí třívrstvé PE100 RC SDR11 40x3,70 dl 12m</t>
  </si>
  <si>
    <t>1393571195</t>
  </si>
  <si>
    <t>871181211</t>
  </si>
  <si>
    <t>Montáž potrubí z PE100 SDR 11 otevřený výkop svařovaných elektrotvarovkou D 50 x 4,6 mm</t>
  </si>
  <si>
    <t>-841020198</t>
  </si>
  <si>
    <t>28613526</t>
  </si>
  <si>
    <t>potrubí třívrstvé PE100 RC SDR11 50x4,60 dl 12m</t>
  </si>
  <si>
    <t>-1618800368</t>
  </si>
  <si>
    <t>871321151</t>
  </si>
  <si>
    <t>Montáž potrubí z PE100 SDR 17 otevřený výkop svařovaných na tupo D 160 x 9,5 mm</t>
  </si>
  <si>
    <t>1461140577</t>
  </si>
  <si>
    <t>"chránička násuvná" 4,0*3</t>
  </si>
  <si>
    <t>28613132</t>
  </si>
  <si>
    <t>potrubí vodovodní PE100 PN 10 SDR17 6m 12m 160x9,5mm</t>
  </si>
  <si>
    <t>1498189740</t>
  </si>
  <si>
    <t>"chránička násuvná" CHRAN_D160_VÝK</t>
  </si>
  <si>
    <t>877181101</t>
  </si>
  <si>
    <t>Montáž elektrospojek na vodovodním potrubí z PE trub d 50</t>
  </si>
  <si>
    <t>1816787326</t>
  </si>
  <si>
    <t>286612071.R</t>
  </si>
  <si>
    <t>elektroredukce 612071 MR d50/d40 SDR11 Frialen</t>
  </si>
  <si>
    <t>-1812588894</t>
  </si>
  <si>
    <t>891163111</t>
  </si>
  <si>
    <t>Montáž vodovodního ventilu hlavního pro přípojky DN 25</t>
  </si>
  <si>
    <t>-1298017179</t>
  </si>
  <si>
    <t>5.8.32114</t>
  </si>
  <si>
    <t>AVK PROFI-ISI šoupátko 5.8 litinové, přímé, závit - přechodka na PE, připojovací rozměry 32 x  11”</t>
  </si>
  <si>
    <t>-1328966449</t>
  </si>
  <si>
    <t>64</t>
  </si>
  <si>
    <t>891173111</t>
  </si>
  <si>
    <t>Montáž vodovodního ventilu hlavního pro přípojky DN 32</t>
  </si>
  <si>
    <t>1120700780</t>
  </si>
  <si>
    <t>5.8.40114</t>
  </si>
  <si>
    <t>AVK PROFI-ISI šoupátko 5.8 litinové, přímé, závit - přechodka na PE, připojovací rozměry 40 x  11”</t>
  </si>
  <si>
    <t>1666877685</t>
  </si>
  <si>
    <t>7.7.3.1050</t>
  </si>
  <si>
    <t>AVK zemní teleskopická souprava 7.7 , přípojková, rozsah 1,05-1,75 m</t>
  </si>
  <si>
    <t>360581144</t>
  </si>
  <si>
    <t>891241112</t>
  </si>
  <si>
    <t>Montáž vodovodních šoupátek otevřený výkop DN 80</t>
  </si>
  <si>
    <t>-316222404</t>
  </si>
  <si>
    <t>4227818044.R</t>
  </si>
  <si>
    <t>šoupě EKOplus přírubové krátké DN 80 PN16</t>
  </si>
  <si>
    <t>1571746585</t>
  </si>
  <si>
    <t>422122522.R</t>
  </si>
  <si>
    <t>souprava zemní teleskopická PATENTplus-1,2-1,8 DN 80</t>
  </si>
  <si>
    <t>-721895611</t>
  </si>
  <si>
    <t>891247111</t>
  </si>
  <si>
    <t>Montáž hydrantů podzemních DN 80</t>
  </si>
  <si>
    <t>1435657372</t>
  </si>
  <si>
    <t>12.1.2.801500</t>
  </si>
  <si>
    <t>AVK hydrant podzemní Hvězda 12.1.2, jednoduše jištěný, DN 80, 1500 mm</t>
  </si>
  <si>
    <t>-74424281</t>
  </si>
  <si>
    <t>12.21</t>
  </si>
  <si>
    <t>AVK hydrantová drenáž k podzem. hydrantu 80/60</t>
  </si>
  <si>
    <t>-2141604458</t>
  </si>
  <si>
    <t>891261112</t>
  </si>
  <si>
    <t>Montáž vodovodních šoupátek otevřený výkop DN 100</t>
  </si>
  <si>
    <t>-921615492</t>
  </si>
  <si>
    <t>4227818054.R</t>
  </si>
  <si>
    <t>šoupě EKOplus přírubové krátké DN 100 PN16</t>
  </si>
  <si>
    <t>-1657556892</t>
  </si>
  <si>
    <t>422122523.R</t>
  </si>
  <si>
    <t>souprava zemní teleskopická PATENTplus-1,2-1,8 DN 100-150</t>
  </si>
  <si>
    <t>1517107574</t>
  </si>
  <si>
    <t>891269111</t>
  </si>
  <si>
    <t>Montáž navrtávacích pasů na potrubí z jakýchkoli trub DN 100</t>
  </si>
  <si>
    <t>2144790549</t>
  </si>
  <si>
    <t>335010005416</t>
  </si>
  <si>
    <t>PAS NAVRTÁVACÍ HACOM 100-5/4~~</t>
  </si>
  <si>
    <t>368216883</t>
  </si>
  <si>
    <t>892271111</t>
  </si>
  <si>
    <t>Tlaková zkouška vodou potrubí DN 100 nebo 125</t>
  </si>
  <si>
    <t>118651822</t>
  </si>
  <si>
    <t>892273122</t>
  </si>
  <si>
    <t>Proplach a dezinfekce vodovodního potrubí DN od 80 do 125</t>
  </si>
  <si>
    <t>1668038371</t>
  </si>
  <si>
    <t>DEL100_CEL+PROVIZ_ROZV63</t>
  </si>
  <si>
    <t>80</t>
  </si>
  <si>
    <t>892372111</t>
  </si>
  <si>
    <t>Zabezpečení konců potrubí DN do 300 při tlakových zkouškách vodou</t>
  </si>
  <si>
    <t>-924038969</t>
  </si>
  <si>
    <t>2*2</t>
  </si>
  <si>
    <t>899401111</t>
  </si>
  <si>
    <t>Osazení poklopů litinových ventilových</t>
  </si>
  <si>
    <t>1743240563</t>
  </si>
  <si>
    <t>899401112</t>
  </si>
  <si>
    <t>Osazení poklopů litinových šoupátkových</t>
  </si>
  <si>
    <t>-762140163</t>
  </si>
  <si>
    <t>7.2.8.</t>
  </si>
  <si>
    <t>EURO plovoucí uliční poklop, hranatý, 7.2.8 MB-voda</t>
  </si>
  <si>
    <t>-1170623972</t>
  </si>
  <si>
    <t>899401113</t>
  </si>
  <si>
    <t>Osazení poklopů litinových hydrantových</t>
  </si>
  <si>
    <t>-36828875</t>
  </si>
  <si>
    <t>7.2.17.</t>
  </si>
  <si>
    <t>AVK podkladová deska hydrantová 7.2.17</t>
  </si>
  <si>
    <t>-2036478612</t>
  </si>
  <si>
    <t>7.2.7</t>
  </si>
  <si>
    <t>Uliční poklop litinový AVK Klasik, hydrantový, 7.2.7</t>
  </si>
  <si>
    <t>-1357865572</t>
  </si>
  <si>
    <t>899722113</t>
  </si>
  <si>
    <t>Krytí potrubí z plastů výstražnou fólií z PVC 34cm</t>
  </si>
  <si>
    <t>-85253642</t>
  </si>
  <si>
    <t>"výstražná folie" DEL100_CEL+DEL3250_CEL</t>
  </si>
  <si>
    <t>899913141</t>
  </si>
  <si>
    <t>Uzavírací manžeta chráničky potrubí DN 100 x 150</t>
  </si>
  <si>
    <t>-444869698</t>
  </si>
  <si>
    <t>3*2</t>
  </si>
  <si>
    <t>8999901.R</t>
  </si>
  <si>
    <t>Propojení stávající vodovodní přípojky na nově napojovanou</t>
  </si>
  <si>
    <t>-222489945</t>
  </si>
  <si>
    <t>8999902.R</t>
  </si>
  <si>
    <t>Těsnící a spojovací materiál nerez dle specifikace</t>
  </si>
  <si>
    <t>-1893953472</t>
  </si>
  <si>
    <t>8999903.R</t>
  </si>
  <si>
    <t>Rušení stávající vodovodu v případě dotčení v rýze nebo mimo rýhu</t>
  </si>
  <si>
    <t>54637057</t>
  </si>
  <si>
    <t>Ostatní konstrukce a práce, bourání</t>
  </si>
  <si>
    <t>916131213</t>
  </si>
  <si>
    <t>Osazení silničního obrubníku betonového stojatého s boční opěrou do lože z betonu prostého</t>
  </si>
  <si>
    <t>1852843094</t>
  </si>
  <si>
    <t>979024443</t>
  </si>
  <si>
    <t>Očištění vybouraných obrubníků a krajníků silničních</t>
  </si>
  <si>
    <t>850897538</t>
  </si>
  <si>
    <t>979071111</t>
  </si>
  <si>
    <t>Očištění dlažebních kostek velkých s původním spárováním kamenivem těženým</t>
  </si>
  <si>
    <t>-553430574</t>
  </si>
  <si>
    <t>900</t>
  </si>
  <si>
    <t>Ostatní práce a konstrukce</t>
  </si>
  <si>
    <t>kpl</t>
  </si>
  <si>
    <t>1285020496</t>
  </si>
  <si>
    <t>1635839950</t>
  </si>
  <si>
    <t>1162439030</t>
  </si>
  <si>
    <t>1061808583</t>
  </si>
  <si>
    <t>1051505605</t>
  </si>
  <si>
    <t>Provizorní propojení 1 přípojky na provozorní rozvod vody po dobu výstavby, čl.2.45-TP v.1.9</t>
  </si>
  <si>
    <t>601813967</t>
  </si>
  <si>
    <t>Zkoušky zhutnění pláně statickou zatěžovací deskou po 50m, čl.2.1.2 a čl.3.1.4-TP v.1.9</t>
  </si>
  <si>
    <t>-201150844</t>
  </si>
  <si>
    <t>(DEL100_CEL+DEL3250_CEL)/50,0</t>
  </si>
  <si>
    <t>Rozbor pitné vody dle vyhl.č.376/200 Sb., čl.2.1.3-TP v.1.9</t>
  </si>
  <si>
    <t>-1592696311</t>
  </si>
  <si>
    <t>"1ks/1 provizorní potrubí; 2ks/DN100" (1*2)+2</t>
  </si>
  <si>
    <t>1142394355</t>
  </si>
  <si>
    <t>997</t>
  </si>
  <si>
    <t>Přesun sutě</t>
  </si>
  <si>
    <t>-2129276537</t>
  </si>
  <si>
    <t>998</t>
  </si>
  <si>
    <t>Přesun hmot</t>
  </si>
  <si>
    <t>998273102</t>
  </si>
  <si>
    <t>Přesun hmot pro trubní vedení z trub litinových otevřený výkop</t>
  </si>
  <si>
    <t>244160472</t>
  </si>
  <si>
    <t>"přesun hmot z oddílu 8-Trubní vedení" 12,985+0,009</t>
  </si>
  <si>
    <t>Práce a dodávky M</t>
  </si>
  <si>
    <t>23-M</t>
  </si>
  <si>
    <t>Montáže potrubí</t>
  </si>
  <si>
    <t>230040006</t>
  </si>
  <si>
    <t>Montáž trubní díly závitové DN 1"</t>
  </si>
  <si>
    <t>149057724</t>
  </si>
  <si>
    <t>2.1.100.3432</t>
  </si>
  <si>
    <t>Isiflo spojka přímá, speciální rozměr, typ 100, rozměr 34x32</t>
  </si>
  <si>
    <t>256</t>
  </si>
  <si>
    <t>1350788601</t>
  </si>
  <si>
    <t>230040007</t>
  </si>
  <si>
    <t>Montáž trubní díly závitové DN 1 1/4"</t>
  </si>
  <si>
    <t>-2058278848</t>
  </si>
  <si>
    <t>2.1.100.4240</t>
  </si>
  <si>
    <t>Isiflo spojka přímá, speciální rozměr, typ 100, rozměr 42x40</t>
  </si>
  <si>
    <t>42284655</t>
  </si>
  <si>
    <t>230040008</t>
  </si>
  <si>
    <t>Montáž trubní díly závitové DN 1 1/2"</t>
  </si>
  <si>
    <t>1460159539</t>
  </si>
  <si>
    <t>2.1.100.4950</t>
  </si>
  <si>
    <t>Isiflo spojka přímá, speciální rozměr, typ 100, rozměr 49x50</t>
  </si>
  <si>
    <t>1132897780</t>
  </si>
  <si>
    <t>VRN</t>
  </si>
  <si>
    <t>Vedlejší rozpočtové náklady</t>
  </si>
  <si>
    <t>VRN3</t>
  </si>
  <si>
    <t>Zařízení staveniště</t>
  </si>
  <si>
    <t>1024</t>
  </si>
  <si>
    <t>486764004</t>
  </si>
  <si>
    <t>932805516</t>
  </si>
  <si>
    <t>DEL150_D4</t>
  </si>
  <si>
    <t>3,88</t>
  </si>
  <si>
    <t>DEL400_D4</t>
  </si>
  <si>
    <t>20,7</t>
  </si>
  <si>
    <t>DEL600_D4</t>
  </si>
  <si>
    <t>215,712</t>
  </si>
  <si>
    <t>KUB_ŠAD4</t>
  </si>
  <si>
    <t>77,76</t>
  </si>
  <si>
    <t>KUB150_D4</t>
  </si>
  <si>
    <t>5,238</t>
  </si>
  <si>
    <t>KUB400_D4</t>
  </si>
  <si>
    <t>35,628</t>
  </si>
  <si>
    <t>1976-2 - IO 02-Kanalizace</t>
  </si>
  <si>
    <t>KUB600_D4</t>
  </si>
  <si>
    <t>59,95</t>
  </si>
  <si>
    <t>15,515</t>
  </si>
  <si>
    <t>22231</t>
  </si>
  <si>
    <t>90,732</t>
  </si>
  <si>
    <t>71,008</t>
  </si>
  <si>
    <t>56,806</t>
  </si>
  <si>
    <t>14,202</t>
  </si>
  <si>
    <t>1,434</t>
  </si>
  <si>
    <t>20,091</t>
  </si>
  <si>
    <t>130,455</t>
  </si>
  <si>
    <t>28,497</t>
  </si>
  <si>
    <t>16,3</t>
  </si>
  <si>
    <t>32,6</t>
  </si>
  <si>
    <t>101,958</t>
  </si>
  <si>
    <t>VYKOP_S1_1</t>
  </si>
  <si>
    <t>SANACE_S1_1</t>
  </si>
  <si>
    <t>118,642</t>
  </si>
  <si>
    <t>65,458</t>
  </si>
  <si>
    <t xml:space="preserve">      900 - Ostatní práce a konstrukce dle TP-verze 1.9</t>
  </si>
  <si>
    <t>113106212</t>
  </si>
  <si>
    <t>Rozebrání dlažeb vozovek z velkých kostek s ložem ze živice strojně pl přes 50 do 200 m2</t>
  </si>
  <si>
    <t>-957145392</t>
  </si>
  <si>
    <t>"délka DN400 dlažba žulová-velká kostka-D4" 16,3+4,4</t>
  </si>
  <si>
    <t>"délka DN600-rušená stoka S2 dlažba žulová-velká kostka-D4, zbytek délky součástí vodovodu" 52,0</t>
  </si>
  <si>
    <t>"délka DN150-přípojky-dlažba žulová-velká kostka-D4" 0,85+1,0+1,02+1,01</t>
  </si>
  <si>
    <t>"zákl.objem ze SW pod.prof. DN400 dlažba žulová-velká kostka-D4" 28,5+(1,2*(1,05+0,3)*4,4)</t>
  </si>
  <si>
    <t>"zákl.objem ze SW pod.prof. DN600-rušená stoka S2 do st. km 0,0153 dlažba žulová-velká kostka-D4" 78,67-(0,6*0,6*52,0)</t>
  </si>
  <si>
    <t>"zákl.objem přípojky DN150-D4" DEL150_D4*0,9*1,5</t>
  </si>
  <si>
    <t>"průměrná hloubka výk." (KUB400_D4/1,2)/DEL400_D4</t>
  </si>
  <si>
    <t>"zákl.objem pro RŠ 10 ks na stoce-D4" ((((0,6+2*0,3)+(2*0,8))^2)-(1,2*1,2))*(1,05+0,3+1,14+0,3+3,06-1,0+1,0+0,3+0,5+0,3+0,5+0,3+3,80-1,0+1,0+0,3+0,3)</t>
  </si>
  <si>
    <t>509395279</t>
  </si>
  <si>
    <t>113154263</t>
  </si>
  <si>
    <t>Frézování živičného krytu tl 50 mm pruh š 2 m pl do 1000 m2 s překážkami v trase</t>
  </si>
  <si>
    <t>495029579</t>
  </si>
  <si>
    <t>"dlažeb. kostky překryté živicí" ODSTRPODK_D4</t>
  </si>
  <si>
    <t>1497339393</t>
  </si>
  <si>
    <t>"silniční obruby v rekonstruované částI" 1,0</t>
  </si>
  <si>
    <t>1634399989</t>
  </si>
  <si>
    <t>"průměrná rychlost pokládky 12m/den" (DEL400_D4+DEL150_D4)/12*8</t>
  </si>
  <si>
    <t>1380771580</t>
  </si>
  <si>
    <t>"průměrná rychlost pokládky 12m/den" (DEL400_D4+DEL150_D4)/12</t>
  </si>
  <si>
    <t>322893906</t>
  </si>
  <si>
    <t>"souběh s vodovodem DN100 a plynovodem DN100" 16,3+16,3</t>
  </si>
  <si>
    <t>-313070043</t>
  </si>
  <si>
    <t>"souběh se sdělovacími kabely" 16,3</t>
  </si>
  <si>
    <t>132212212</t>
  </si>
  <si>
    <t>Hloubení rýh š do 2000 mm v nesoudržných horninách třídy těžitelnosti I, skupiny 3 ručně</t>
  </si>
  <si>
    <t>-1786635490</t>
  </si>
  <si>
    <t>"zemní práce na stoce S1-1 u šachty 9770 v prostoru mezi domy čp.114 a čp.180" 10,0*2,0*1,0</t>
  </si>
  <si>
    <t>74816484</t>
  </si>
  <si>
    <t>"výkop m3 v dlažbě žulové-D4" ((KUB400_D4)-((DEL400_D4)*1,2*0,65))+((KUB150_D4)-((DEL150_D4)*0,9*0,65))</t>
  </si>
  <si>
    <t>KUB_ŠAD4-(((2,8*2,8)-(2,8*1,2))*0,65*10)</t>
  </si>
  <si>
    <t>KUB600_D4-(0,9*0,65)</t>
  </si>
  <si>
    <t>471109439</t>
  </si>
  <si>
    <t>1205985463</t>
  </si>
  <si>
    <t>1963721538</t>
  </si>
  <si>
    <t>DEL400_D4*PRUMHL*2</t>
  </si>
  <si>
    <t>DEL150_D4*1,5*2</t>
  </si>
  <si>
    <t>-767817872</t>
  </si>
  <si>
    <t>35905580</t>
  </si>
  <si>
    <t>Vodorovné přemístěn zeminy z horniny a sutií na skládku dle výběru zhotovitele s uložením a poplatky</t>
  </si>
  <si>
    <t>-712082860</t>
  </si>
  <si>
    <t>"vytlačený objem L-P-O" (DEL400_D4*1,243)+(DEL150_D4*0,713)</t>
  </si>
  <si>
    <t>ODVOZ</t>
  </si>
  <si>
    <t>VYKOP_Z+VYTLAČ_N</t>
  </si>
  <si>
    <t>905315014</t>
  </si>
  <si>
    <t>"provizorní zásyp horní části rýhy od pláně 650-100 mm" 0,55*DLAŽ_D4_VEN</t>
  </si>
  <si>
    <t>"zásyp rušené části stoky S2 do st. km: 0,015.3, ostatní část v IO 01" KUB600_D4+(0,6*0,6*15,3)</t>
  </si>
  <si>
    <t>ZASYP_S1_1</t>
  </si>
  <si>
    <t>"výkop na stoce S1-1" VYKOP_S1_1</t>
  </si>
  <si>
    <t>794451086</t>
  </si>
  <si>
    <t>622272352</t>
  </si>
  <si>
    <t>(DEL400_D4*0,674)+(DEL150_D4*0,403)</t>
  </si>
  <si>
    <t>-118919928</t>
  </si>
  <si>
    <t>1706747148</t>
  </si>
  <si>
    <t>-100859889</t>
  </si>
  <si>
    <t>BOUR_ŠACH</t>
  </si>
  <si>
    <t>"bourání šachet" ((1,2*1,2)-(0,6*0,6))*(1,05+0,3+1,14+0,3+3,06-1,0+1,0+0,3+0,5+0,3+0,5+0,3+3,80-1,0+1,0+0,3+0,3)</t>
  </si>
  <si>
    <t>359901111</t>
  </si>
  <si>
    <t>1537374099</t>
  </si>
  <si>
    <t>"stoka S1-1 před sanací a po sanaci" 10,85*2</t>
  </si>
  <si>
    <t>359901211</t>
  </si>
  <si>
    <t>115908044</t>
  </si>
  <si>
    <t>-1813559709</t>
  </si>
  <si>
    <t>(DEL400_D4*0,120)+(DEL150_D4*0,09)</t>
  </si>
  <si>
    <t>452312131</t>
  </si>
  <si>
    <t>Sedlové lože z betonu prostého tř. C 12/15 otevřený výkop</t>
  </si>
  <si>
    <t>1792120145</t>
  </si>
  <si>
    <t>BETSEDLO_CE</t>
  </si>
  <si>
    <t>(DEL400_D4*0,264)+(DEL150_D4*0,174)</t>
  </si>
  <si>
    <t>-1975836092</t>
  </si>
  <si>
    <t>831312121</t>
  </si>
  <si>
    <t>Montáž potrubí z trub kameninových hrdlových s integrovaným těsněním výkop sklon do 20 % DN 150</t>
  </si>
  <si>
    <t>1990989941</t>
  </si>
  <si>
    <t>"přepojení přípojek do stoky 700/1000" DEL150_D4</t>
  </si>
  <si>
    <t>59710675</t>
  </si>
  <si>
    <t>trouba kameninová glazovaná DN 150 dl 1,50m spojovací systém F</t>
  </si>
  <si>
    <t>1192398929</t>
  </si>
  <si>
    <t>831312193</t>
  </si>
  <si>
    <t>Příplatek k montáži kameninového potrubí za napojení dvou dříků trub pomocí převlečné manžety DN 150</t>
  </si>
  <si>
    <t>-42429233</t>
  </si>
  <si>
    <t>"přepojení stáv. přípojek do stoky 700/1000" 4</t>
  </si>
  <si>
    <t>59713313</t>
  </si>
  <si>
    <t>manžeta převlečná pro normální zatížení DN 150 průměr 175-200 š 150mm</t>
  </si>
  <si>
    <t>-681166257</t>
  </si>
  <si>
    <t>597133404.R</t>
  </si>
  <si>
    <t>Vyrovnávací kroužky k převlečné manžetě DN 150 4-32mm</t>
  </si>
  <si>
    <t>1958220275</t>
  </si>
  <si>
    <t>4*2</t>
  </si>
  <si>
    <t>831392121</t>
  </si>
  <si>
    <t>Montáž potrubí z trub kameninových hrdlových s integrovaným těsněním výkop sklon do 20 % DN 400</t>
  </si>
  <si>
    <t>592690758</t>
  </si>
  <si>
    <t>59710706</t>
  </si>
  <si>
    <t>trouba kameninová glazovaná DN 400 dl 2,50m spojovací systém C Třída 200</t>
  </si>
  <si>
    <t>-1787343390</t>
  </si>
  <si>
    <t>59713347</t>
  </si>
  <si>
    <t>P kroužky třída pevnosti 200 DN 400</t>
  </si>
  <si>
    <t>43072639</t>
  </si>
  <si>
    <t>"nahrazení originálního těsnění pro zkrácení trub DN400" 3</t>
  </si>
  <si>
    <t>831392193</t>
  </si>
  <si>
    <t>Příplatek k montáži kameninového potrubí za napojení dvou dříků trub pomocí převlečné manžety DN 400</t>
  </si>
  <si>
    <t>-1389469298</t>
  </si>
  <si>
    <t>"propojení se stáv. DN400" 3</t>
  </si>
  <si>
    <t>59713321.R</t>
  </si>
  <si>
    <t>manžeta převlečná DN 400 D 460-490 š 190mm tř 200</t>
  </si>
  <si>
    <t>1176879679</t>
  </si>
  <si>
    <t>597133407.R</t>
  </si>
  <si>
    <t>Vyrovnávací kroužky k převlečné manžetě DN 400 4-32mm</t>
  </si>
  <si>
    <t>1010950162</t>
  </si>
  <si>
    <t>2*3</t>
  </si>
  <si>
    <t>59710944</t>
  </si>
  <si>
    <t>koleno kameninové glazované DN 150 15° spojovací systém F</t>
  </si>
  <si>
    <t>-1561178154</t>
  </si>
  <si>
    <t>837372221</t>
  </si>
  <si>
    <t>Montáž kameninových tvarovek jednoosých s integrovaným těsněním otevřený výkop DN 300</t>
  </si>
  <si>
    <t>-1267253856</t>
  </si>
  <si>
    <t>59710849.R</t>
  </si>
  <si>
    <t>trouba kameninová glazovaná zkrácená DN 300 dl 60(75)cm třída 200 spojovací systém C</t>
  </si>
  <si>
    <t>1742444293</t>
  </si>
  <si>
    <t>59710879.R</t>
  </si>
  <si>
    <t>trouba kameninová glazovaná zkrácená bez hrdla DN 300 dl 60(75)cm třída 200 spojovací systém C</t>
  </si>
  <si>
    <t>-692423697</t>
  </si>
  <si>
    <t>837392221</t>
  </si>
  <si>
    <t>Montáž kameninových tvarovek jednoosých s integrovaným těsněním otevřený výkop DN 400</t>
  </si>
  <si>
    <t>717053402</t>
  </si>
  <si>
    <t>59710855.R</t>
  </si>
  <si>
    <t>trouba kameninová glazovaná zkrácená DN 400 dl 60(75)cm třída 200 spojovací systém C</t>
  </si>
  <si>
    <t>1971194527</t>
  </si>
  <si>
    <t>59710885.R</t>
  </si>
  <si>
    <t>trouba kameninová glazovaná zkrácená bez hrdla DN 400 dl 60(75)cm třída 200 spojovací systém C</t>
  </si>
  <si>
    <t>-462977489</t>
  </si>
  <si>
    <t>892392121</t>
  </si>
  <si>
    <t>Tlaková zkouška vzduchem potrubí DN 400 těsnícím vakem ucpávkovým</t>
  </si>
  <si>
    <t>úsek</t>
  </si>
  <si>
    <t>1782509629</t>
  </si>
  <si>
    <t>892492121</t>
  </si>
  <si>
    <t>Tlaková zkouška vzduchem potrubí DN 1000 těsnícím vakem ucpávkovým</t>
  </si>
  <si>
    <t>-1708200423</t>
  </si>
  <si>
    <t>"zkouška šachet" 1</t>
  </si>
  <si>
    <t>894411131</t>
  </si>
  <si>
    <t>Zřízení šachet kanalizačních z betonových dílců na potrubí DN nad 300 do 400 dno beton tř. C 25/30</t>
  </si>
  <si>
    <t>-62513887</t>
  </si>
  <si>
    <t>59224338.R</t>
  </si>
  <si>
    <t>dno betonové šachty kanalizační TBZ-Q PERF400-885 XF4</t>
  </si>
  <si>
    <t>-827031034</t>
  </si>
  <si>
    <t>592243162.R</t>
  </si>
  <si>
    <t>deska betonová zákrytová TZK-Q.1 200/120 T integr. poklop XF4</t>
  </si>
  <si>
    <t>-1388605370</t>
  </si>
  <si>
    <t>899103211</t>
  </si>
  <si>
    <t>Demontáž poklopů litinových nebo ocelových včetně rámů hmotnosti přes 100 do 150 kg</t>
  </si>
  <si>
    <t>-1925014525</t>
  </si>
  <si>
    <t>899104112</t>
  </si>
  <si>
    <t>Osazení poklopů litinových nebo ocelových včetně rámů pro třídu zatížení D400, E600</t>
  </si>
  <si>
    <t>-2069739162</t>
  </si>
  <si>
    <t>552410142.R</t>
  </si>
  <si>
    <t>poklop šachtový třída D 400, kruhový rám 785, vstup 600 mm, GU s ventilací</t>
  </si>
  <si>
    <t>-1632647685</t>
  </si>
  <si>
    <t>383362885</t>
  </si>
  <si>
    <t>899623151</t>
  </si>
  <si>
    <t>Obetonování potrubí nebo zdiva stok betonem prostým tř. C 16/20 otevřený výkop</t>
  </si>
  <si>
    <t>-1437293317</t>
  </si>
  <si>
    <t>"obetonování manžetového spoje DN150" ((0,9*(0,15+0,25)*1,0)-(0,15*0,15*3,14/4))*3</t>
  </si>
  <si>
    <t>"obetonování tvarovek DN150-koleno 15°, redukce" 4*((0,25+0,30+0,25)*0,9*(0,15+0,25))</t>
  </si>
  <si>
    <t>"obetonování manžetového spoje DN400" ((1,05*(0,40+0,25)*1,0)-(0,4*0,4*3,14/4))*3</t>
  </si>
  <si>
    <t>"obetonování manžetového spoje DN400/ZD 600" ((1,05*(0,60+0,30)*1,0)-(0,6*0,6*3,14/4))*3</t>
  </si>
  <si>
    <t>-1591918920</t>
  </si>
  <si>
    <t>DEL400_D4+DEL150_D4</t>
  </si>
  <si>
    <t>89999700.R</t>
  </si>
  <si>
    <t>-572696506</t>
  </si>
  <si>
    <t>"stoka S1-1 navazující na potrubí KT DN400" 10,0</t>
  </si>
  <si>
    <t>89999710.R</t>
  </si>
  <si>
    <t>-987731613</t>
  </si>
  <si>
    <t>89999711.R</t>
  </si>
  <si>
    <t>1233603658</t>
  </si>
  <si>
    <t>592243163.R</t>
  </si>
  <si>
    <t>deska betonová zákrytová TZK-Q.1 200/120-PLNÁ XF4</t>
  </si>
  <si>
    <t>-497580282</t>
  </si>
  <si>
    <t>55241032.R</t>
  </si>
  <si>
    <t>D+M poklop šachtový třída D400, kruhový KORUM 600 Safety-čtvercový rám-bez ventilace, s bezpečnostní západkou "Anti theft" a se zámkem</t>
  </si>
  <si>
    <t>-170141765</t>
  </si>
  <si>
    <t>89999712.R</t>
  </si>
  <si>
    <t>580854260</t>
  </si>
  <si>
    <t>977151126</t>
  </si>
  <si>
    <t>Jádrové vrty diamantovými korunkami do D 225 mm do stavebních materiálů</t>
  </si>
  <si>
    <t>1769218855</t>
  </si>
  <si>
    <t>"přepojení nových přípojek DN250 do stoky 700/1000" 4*0,2</t>
  </si>
  <si>
    <t>597118329.R</t>
  </si>
  <si>
    <t>napojovací kameninový element C DN150, spojovací systém F, spoj L-pryžový 200mm</t>
  </si>
  <si>
    <t>-1710619106</t>
  </si>
  <si>
    <t>985232112.R</t>
  </si>
  <si>
    <t>Hloubkové spárování zdiva maltou Ergelit-SBM, S100 spára hl do 80 mm dl do 12 m/m2 včetně vyčištění spár</t>
  </si>
  <si>
    <t>856060341</t>
  </si>
  <si>
    <t>Ostatní práce a konstrukce dle TP-verze 1.9</t>
  </si>
  <si>
    <t>-283377456</t>
  </si>
  <si>
    <t>756748341</t>
  </si>
  <si>
    <t>-1974174592</t>
  </si>
  <si>
    <t>2027615849</t>
  </si>
  <si>
    <t>-1342788458</t>
  </si>
  <si>
    <t>98241108</t>
  </si>
  <si>
    <t>(DEL150_D4+DEL400_D4)/50,0</t>
  </si>
  <si>
    <t>998275101</t>
  </si>
  <si>
    <t>Přesun hmot pro trubní vedení z trub kameninových otevřený výkop</t>
  </si>
  <si>
    <t>-539641320</t>
  </si>
  <si>
    <t>"přesun hmot z oddílu 8-Trubní vedení" 20,091</t>
  </si>
  <si>
    <t>"bourání stoky S2 mezi st. km 0,015.3-0,052.0"( 52,0-15,3)*((1,0*1,2)-(0,6*0,8))</t>
  </si>
  <si>
    <t>"dlažeb. kostky překryté živicí" ((DEL100_Ž1-21,2)*1,0+(DEL3250_Ž1*1,0))</t>
  </si>
  <si>
    <t>"zhutněný provizorní povrch komunik. v šířce rýhy " DLAŽ_D4_VEN</t>
  </si>
  <si>
    <t>Vytýčení stavby oprávněným geodetem</t>
  </si>
  <si>
    <t xml:space="preserve">Zaměření stavby - průběžné se zasíláním objednateli, závěrečné podle směrnice objednatele </t>
  </si>
  <si>
    <t>dokumentace skutečného provedení</t>
  </si>
  <si>
    <t>Zkouška průchodnosti volným nástrojek potrubí DN 100 nebo 125</t>
  </si>
  <si>
    <t>Naložení vybouraných kostek a odvoz na skládku vlastníka do 5 km</t>
  </si>
  <si>
    <t>Provizorní rozvod vody, vč. propojení na stávající řad, čl.2.45-TP v.1.9</t>
  </si>
  <si>
    <t>DEL400_D4*1,2</t>
  </si>
  <si>
    <t>DEL150_D4*0,9</t>
  </si>
  <si>
    <t>"okolo revizních šachet" ((2,8*2,8)-(1,0*1,0))*10</t>
  </si>
  <si>
    <t>DEL600_D4*1,2</t>
  </si>
  <si>
    <t>Pasportizace přilehlých objektů, vč. monitoringu, čl.1.11-TP v1.9, platí i pro práce na kanalizaci ( IO-02 )</t>
  </si>
  <si>
    <t>Vyhledávání skryté šachty podle kamerového záznamu z inspekce kanalizace</t>
  </si>
  <si>
    <t>DLAŽ_D4_VEN  239* 0,417 t/m2</t>
  </si>
  <si>
    <t>Fotodokumentace stavby</t>
  </si>
  <si>
    <t>Osazení informačního panelu ( dodá objednatel )</t>
  </si>
  <si>
    <t>Oplocení staveniště  a zajištění výkopových rýh dle TP 1,9</t>
  </si>
  <si>
    <t>Vytyčení podzemních sítí a zařízení, přijmutí rizik a zvláštních opatření</t>
  </si>
  <si>
    <t>D+M vyrovnávacího betonového věnce pod poklop se světlostí 600x600 mm, tloušťky stěny 200 mm, výšky do 500 mm z maltové směsi Ergelit-superfix dle popisu v TZ, včetně bednění</t>
  </si>
  <si>
    <t>D+M vyrovnávacího betonového věnce pod poklop se světlostí 600x600 mm, tloušťky stěny 200 mm, výšky do 1000 mm z maltové směsi Ergelit-superfix dle popisu v TZ, včetně bednění</t>
  </si>
  <si>
    <t>894414211</t>
  </si>
  <si>
    <t>Osazení železobotonových dílců pro šachty - desek zákrytových</t>
  </si>
  <si>
    <t>"spárování stoky S1-1" rozv.šířka 1,6*10,0</t>
  </si>
  <si>
    <t>TV inspekce potrubí před předáním včetně záznamu na DVD - TP 1.9 odstavec 3.1.2</t>
  </si>
  <si>
    <t>Vyčištění stoky tlako-sacím vozem</t>
  </si>
  <si>
    <t>Vrchní vrstva komunikace ze  štěrkodrtě ŠD 0-32  tl 100 mm se zhutněním</t>
  </si>
  <si>
    <t>D+M sanace stropu zděné stoky S1-1 600/600, demontáž a likvidace původního zastropení z kamenných kvádrů , dodávka a osazení zastropení žb. prefa desek dle popisu v TZ, v ceně je i návrh prefa desek a výrobní dokumentace</t>
  </si>
  <si>
    <t>suť beton</t>
  </si>
  <si>
    <t>Naložení, odvoz a uložení sutě na skládku s oprávněním ukládat odpady, včetně poplatku za skládku</t>
  </si>
  <si>
    <t>asfalt</t>
  </si>
  <si>
    <t>DLAŽ_D4_VEN  159,13* 0,417 t/m2</t>
  </si>
  <si>
    <t>113107161</t>
  </si>
  <si>
    <t>Odstranění podkladu z kameniva drceného tl do 100 mm strojně pl přes 50 do 200 m2, kamenivo bude využito zpětně na stavbě</t>
  </si>
  <si>
    <t>řad A v celé délce dlažba pod živicí nebo dlažba - stoka S2 (DEL100_Ž1+DEL100_D4V-36,7)*1,0</t>
  </si>
  <si>
    <t>Odstranění podkladu z kameniva drceného tl 500 mm strojně pl do 50 m2, kamenivo bude využito zpětně na stavbě</t>
  </si>
  <si>
    <t>Naložení, odvoz, uložení na meziskládku dodavatele, znovu naložení a odvoz nastavbu kameniva z původní komunikace ke zpětnému využití</t>
  </si>
  <si>
    <t>kamenivo podkladní</t>
  </si>
  <si>
    <t>Doklady k předání díla ve trojím vyhotovení + CD</t>
  </si>
  <si>
    <t xml:space="preserve">Oplocení staveniště  a zajištění výkopových rýh </t>
  </si>
  <si>
    <t>Zkoušky zhutnění pláně statickou zatěžovací deskou po 50m</t>
  </si>
  <si>
    <t>Dokumentace skutečného provedení</t>
  </si>
  <si>
    <t>(DEL400_D4*1,2)+(DEL600_D4*1,2)+(DEL150_D4*0,9)+( ((2,8*2,8)-(1*1))*10)</t>
  </si>
  <si>
    <t>rušená šachta X1 … 2,8*4*2,5</t>
  </si>
  <si>
    <t>rušená šachta X3 … 2,8*4*1</t>
  </si>
  <si>
    <t>"tam a zpět " VYKOP_S1_1*2</t>
  </si>
  <si>
    <t>Nezávadný zásypový materiál zhotovitele vhodný k hutnění, včetně dopravy na stavbu</t>
  </si>
  <si>
    <t>"bourání stoky S2" 15,3*((1,0*1,2)-(0,6*0,8))</t>
  </si>
  <si>
    <t>Bourání stoky kompletní z kameniny DN 400</t>
  </si>
  <si>
    <t>"bourání stoky S1" 10,0*((1,0*1,2)-(0,6*0,8))</t>
  </si>
  <si>
    <t>Bourání stoky kompletní nebo vybourání otvorů ze zdiva smíšeného plochy do 4 m2</t>
  </si>
  <si>
    <t xml:space="preserve">Bourání konstrukcí z betonu </t>
  </si>
  <si>
    <t>"stoka S1 úsek 3500-9770" 50,0</t>
  </si>
  <si>
    <t>10,85+50</t>
  </si>
  <si>
    <t>89999300.R</t>
  </si>
  <si>
    <t xml:space="preserve">kde je ? </t>
  </si>
  <si>
    <t>-1611818747</t>
  </si>
  <si>
    <t>Sanace "C"-lokální utěsnění spoje kameninové potrubí  DN300 a zděná stoka S1-1 dle specifikace TZ str. 2-17</t>
  </si>
  <si>
    <t>D+M vyrovnávacího betonového věnce C30/37 pod desku betonovou zákrytovou TZK-Q.1 200/120-PLNÁ  dle popisu v TZ, profil 300x300xmm</t>
  </si>
  <si>
    <t>Soubor ručně kopaných sond pro identifikaci polohy podzem. zařízení, čl.1.12-TP v.1.9</t>
  </si>
  <si>
    <t>Naložení vybourané kamenné dlažbykostek a odvoz na skládku vlastníka do 5 km</t>
  </si>
  <si>
    <t>Průzkumné práce - hledání skrytých šachet, průzkum přepojovaných kanalizačních přípojek</t>
  </si>
  <si>
    <t>Projednání DIO komunikace II.a III. třídy , platí i pro práce na kanalizaci ( IO-02 )</t>
  </si>
  <si>
    <t>Zajištění DIO komunikace II.a III. třídy instalací a udržováním dopravního značení, platí i pro práce na kanalizaci ( IO-02 )</t>
  </si>
  <si>
    <t>"řad A v celé délce dlažba pod živicí nebo dlažba - stoka S2" (DEL100_Ž1+DEL100_D4V)*1,0</t>
  </si>
  <si>
    <t>Podklad ze štěrkodrtě ŠD tl. 2x150 mm</t>
  </si>
  <si>
    <t>"dlažba zpět" DLAŽ_D4_ZPĚT 6,27*(0,9+2*0,5)</t>
  </si>
  <si>
    <t>Podklad ze štěrku fr. 32-63 tl 150 mm</t>
  </si>
  <si>
    <t>Kladení dlažby z kostek velkých z kamene do lože z DDK fr.2-4 mm tl 50 mm</t>
  </si>
  <si>
    <t>"dlažba zpět" DLAŽ_D4_ZPĚT 6,27*0,9</t>
  </si>
  <si>
    <t>Montáž potrubí z PE100 SDR 17 otevřený výkop svařovaných na tupo D 250 x 14,8 mm</t>
  </si>
  <si>
    <t>CHRAN_D250_VÝK</t>
  </si>
  <si>
    <t>"chránička souběhu s potrubím plynovodu" 26 m</t>
  </si>
  <si>
    <t>potrubí vodovodní PE100 PN 10 SDR17 6m 12m 250 x 14,8 mm</t>
  </si>
  <si>
    <t>Příplatek k montáži potrubí z trub litinových hrdlových DN 100 za umístění v chráničce z PE potrubí 250 x 14,8 mm, v ceně započítány kluzné objímky RACI typ A/B výšky 36 mm v počtu 0,7 ks/m</t>
  </si>
  <si>
    <t xml:space="preserve">Dodávka a osazení uzavíracích manžet na chráničku - materiál EPDM a nerezový pásek, D chráničky 250 mm, D potrubí 118 mm. </t>
  </si>
  <si>
    <t>MB Vodkova, oprava vodovodu a kanalizace</t>
  </si>
  <si>
    <t>geometrický plán pro zřízení služebnosti inženýrské sítě ve 4 vyhotoveních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</si>
</sst>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theme="1" tint="0.34999001026153564"/>
      <name val="Arial CE"/>
      <family val="2"/>
    </font>
    <font>
      <b/>
      <sz val="14"/>
      <color theme="1" tint="0.34999001026153564"/>
      <name val="Arial CE"/>
      <family val="2"/>
    </font>
    <font>
      <sz val="10"/>
      <color theme="1" tint="0.34999001026153564"/>
      <name val="Arial CE"/>
      <family val="2"/>
    </font>
    <font>
      <sz val="9"/>
      <color theme="1" tint="0.34999001026153564"/>
      <name val="Arial CE"/>
      <family val="2"/>
    </font>
    <font>
      <b/>
      <sz val="12"/>
      <color theme="1" tint="0.34999001026153564"/>
      <name val="Arial CE"/>
      <family val="2"/>
    </font>
    <font>
      <sz val="12"/>
      <color theme="1" tint="0.34999001026153564"/>
      <name val="Arial CE"/>
      <family val="2"/>
    </font>
    <font>
      <i/>
      <sz val="9"/>
      <color theme="1" tint="0.34999001026153564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0" fillId="0" borderId="0" xfId="0" applyFont="1" applyAlignment="1">
      <alignment vertical="center"/>
    </xf>
    <xf numFmtId="4" fontId="21" fillId="0" borderId="21" xfId="0" applyNumberFormat="1" applyFont="1" applyFill="1" applyBorder="1" applyAlignment="1" applyProtection="1">
      <alignment vertical="center"/>
      <protection locked="0"/>
    </xf>
    <xf numFmtId="4" fontId="35" fillId="0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Protection="1">
      <protection/>
    </xf>
    <xf numFmtId="0" fontId="38" fillId="0" borderId="0" xfId="0" applyFont="1" applyFill="1" applyProtection="1">
      <protection/>
    </xf>
    <xf numFmtId="0" fontId="14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0" fillId="0" borderId="1" xfId="0" applyFill="1" applyBorder="1" applyProtection="1">
      <protection/>
    </xf>
    <xf numFmtId="0" fontId="38" fillId="0" borderId="2" xfId="0" applyFont="1" applyFill="1" applyBorder="1" applyProtection="1">
      <protection/>
    </xf>
    <xf numFmtId="0" fontId="0" fillId="0" borderId="2" xfId="0" applyFill="1" applyBorder="1" applyProtection="1">
      <protection/>
    </xf>
    <xf numFmtId="0" fontId="0" fillId="0" borderId="3" xfId="0" applyBorder="1" applyProtection="1">
      <protection/>
    </xf>
    <xf numFmtId="0" fontId="0" fillId="0" borderId="3" xfId="0" applyFill="1" applyBorder="1" applyProtection="1"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165" fontId="3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Fill="1" applyBorder="1" applyAlignment="1" applyProtection="1">
      <alignment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3" fontId="23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4" fontId="2" fillId="0" borderId="0" xfId="0" applyNumberFormat="1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5" fillId="0" borderId="6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horizontal="right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4" fontId="5" fillId="0" borderId="7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18" fillId="0" borderId="4" xfId="0" applyFont="1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38" fillId="0" borderId="9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38" fillId="0" borderId="2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39" fillId="0" borderId="0" xfId="0" applyFont="1" applyFill="1" applyAlignment="1" applyProtection="1">
      <alignment horizontal="left" vertical="center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3" fillId="0" borderId="0" xfId="0" applyNumberFormat="1" applyFont="1" applyFill="1" applyAlignment="1" applyProtection="1">
      <alignment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Fill="1" applyBorder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left"/>
      <protection/>
    </xf>
    <xf numFmtId="4" fontId="8" fillId="0" borderId="0" xfId="0" applyNumberFormat="1" applyFont="1" applyFill="1" applyAlignment="1" applyProtection="1">
      <alignment/>
      <protection/>
    </xf>
    <xf numFmtId="0" fontId="41" fillId="0" borderId="21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49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1" fillId="0" borderId="21" xfId="0" applyFont="1" applyFill="1" applyBorder="1" applyAlignment="1" applyProtection="1">
      <alignment horizontal="left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4" fontId="21" fillId="0" borderId="21" xfId="0" applyNumberFormat="1" applyFont="1" applyFill="1" applyBorder="1" applyAlignment="1" applyProtection="1">
      <alignment vertical="center"/>
      <protection/>
    </xf>
    <xf numFmtId="167" fontId="21" fillId="0" borderId="21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167" fontId="10" fillId="0" borderId="0" xfId="0" applyNumberFormat="1" applyFont="1" applyFill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167" fontId="11" fillId="0" borderId="0" xfId="0" applyNumberFormat="1" applyFont="1" applyFill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/>
      <protection/>
    </xf>
    <xf numFmtId="167" fontId="12" fillId="0" borderId="0" xfId="0" applyNumberFormat="1" applyFont="1" applyFill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44" fillId="0" borderId="21" xfId="0" applyFont="1" applyFill="1" applyBorder="1" applyAlignment="1" applyProtection="1">
      <alignment horizontal="center" vertical="center"/>
      <protection/>
    </xf>
    <xf numFmtId="0" fontId="35" fillId="0" borderId="21" xfId="0" applyFont="1" applyFill="1" applyBorder="1" applyAlignment="1" applyProtection="1">
      <alignment horizontal="center" vertical="center"/>
      <protection/>
    </xf>
    <xf numFmtId="49" fontId="35" fillId="0" borderId="21" xfId="0" applyNumberFormat="1" applyFont="1" applyFill="1" applyBorder="1" applyAlignment="1" applyProtection="1">
      <alignment horizontal="left" vertical="center" wrapText="1"/>
      <protection/>
    </xf>
    <xf numFmtId="0" fontId="35" fillId="0" borderId="21" xfId="0" applyFont="1" applyFill="1" applyBorder="1" applyAlignment="1" applyProtection="1">
      <alignment horizontal="left" vertical="center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167" fontId="35" fillId="0" borderId="21" xfId="0" applyNumberFormat="1" applyFont="1" applyFill="1" applyBorder="1" applyAlignment="1" applyProtection="1">
      <alignment vertical="center"/>
      <protection/>
    </xf>
    <xf numFmtId="0" fontId="36" fillId="0" borderId="21" xfId="0" applyFont="1" applyFill="1" applyBorder="1" applyAlignment="1" applyProtection="1">
      <alignment vertical="center"/>
      <protection/>
    </xf>
    <xf numFmtId="0" fontId="36" fillId="0" borderId="3" xfId="0" applyFont="1" applyBorder="1" applyAlignment="1" applyProtection="1">
      <alignment vertical="center"/>
      <protection/>
    </xf>
    <xf numFmtId="0" fontId="35" fillId="0" borderId="17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66" fontId="22" fillId="0" borderId="0" xfId="0" applyNumberFormat="1" applyFont="1" applyFill="1" applyBorder="1" applyAlignment="1" applyProtection="1">
      <alignment vertical="center"/>
      <protection/>
    </xf>
    <xf numFmtId="166" fontId="22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36" fillId="0" borderId="3" xfId="0" applyFont="1" applyFill="1" applyBorder="1" applyAlignment="1" applyProtection="1">
      <alignment vertical="center"/>
      <protection/>
    </xf>
    <xf numFmtId="0" fontId="35" fillId="0" borderId="17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5" borderId="21" xfId="0" applyFont="1" applyFill="1" applyBorder="1" applyAlignment="1" applyProtection="1">
      <alignment horizontal="left" vertical="center" wrapText="1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166" fontId="32" fillId="0" borderId="10" xfId="0" applyNumberFormat="1" applyFont="1" applyFill="1" applyBorder="1" applyAlignment="1" applyProtection="1">
      <alignment/>
      <protection/>
    </xf>
    <xf numFmtId="166" fontId="32" fillId="0" borderId="11" xfId="0" applyNumberFormat="1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/>
      <protection/>
    </xf>
    <xf numFmtId="166" fontId="9" fillId="0" borderId="12" xfId="0" applyNumberFormat="1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horizontal="left" vertical="center" wrapText="1"/>
      <protection/>
    </xf>
    <xf numFmtId="0" fontId="38" fillId="0" borderId="0" xfId="0" applyFont="1" applyFill="1" applyAlignment="1" applyProtection="1">
      <alignment vertical="center"/>
      <protection/>
    </xf>
    <xf numFmtId="167" fontId="38" fillId="0" borderId="0" xfId="0" applyNumberFormat="1" applyFont="1" applyFill="1" applyAlignment="1" applyProtection="1">
      <alignment vertical="center"/>
      <protection/>
    </xf>
    <xf numFmtId="0" fontId="41" fillId="0" borderId="21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/>
    </xf>
    <xf numFmtId="166" fontId="10" fillId="0" borderId="0" xfId="0" applyNumberFormat="1" applyFont="1" applyFill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64">
      <selection activeCell="A64" sqref="A1:XFD1048576"/>
    </sheetView>
  </sheetViews>
  <sheetFormatPr defaultColWidth="9.140625" defaultRowHeight="12"/>
  <cols>
    <col min="1" max="1" width="8.28125" style="75" customWidth="1"/>
    <col min="2" max="2" width="1.7109375" style="75" customWidth="1"/>
    <col min="3" max="3" width="4.140625" style="75" customWidth="1"/>
    <col min="4" max="33" width="2.7109375" style="75" customWidth="1"/>
    <col min="34" max="34" width="3.28125" style="75" customWidth="1"/>
    <col min="35" max="35" width="31.7109375" style="75" customWidth="1"/>
    <col min="36" max="37" width="2.421875" style="75" customWidth="1"/>
    <col min="38" max="38" width="8.28125" style="75" customWidth="1"/>
    <col min="39" max="39" width="3.28125" style="75" customWidth="1"/>
    <col min="40" max="40" width="13.28125" style="75" customWidth="1"/>
    <col min="41" max="41" width="7.421875" style="75" customWidth="1"/>
    <col min="42" max="42" width="4.140625" style="75" customWidth="1"/>
    <col min="43" max="43" width="15.7109375" style="75" hidden="1" customWidth="1"/>
    <col min="44" max="44" width="13.7109375" style="75" customWidth="1"/>
    <col min="45" max="47" width="25.8515625" style="75" hidden="1" customWidth="1"/>
    <col min="48" max="49" width="21.7109375" style="75" hidden="1" customWidth="1"/>
    <col min="50" max="51" width="25.00390625" style="75" hidden="1" customWidth="1"/>
    <col min="52" max="52" width="21.7109375" style="75" hidden="1" customWidth="1"/>
    <col min="53" max="53" width="19.140625" style="75" hidden="1" customWidth="1"/>
    <col min="54" max="54" width="25.00390625" style="75" hidden="1" customWidth="1"/>
    <col min="55" max="55" width="21.7109375" style="75" hidden="1" customWidth="1"/>
    <col min="56" max="56" width="19.140625" style="75" hidden="1" customWidth="1"/>
    <col min="57" max="57" width="66.421875" style="75" customWidth="1"/>
    <col min="58" max="70" width="9.28125" style="75" customWidth="1"/>
    <col min="71" max="91" width="9.28125" style="75" hidden="1" customWidth="1"/>
    <col min="92" max="16384" width="9.28125" style="75" customWidth="1"/>
  </cols>
  <sheetData>
    <row r="1" spans="1:74" ht="12">
      <c r="A1" s="4" t="s">
        <v>0</v>
      </c>
      <c r="AZ1" s="4" t="s">
        <v>1</v>
      </c>
      <c r="BA1" s="4" t="s">
        <v>2</v>
      </c>
      <c r="BB1" s="4" t="s">
        <v>1</v>
      </c>
      <c r="BT1" s="4" t="s">
        <v>3</v>
      </c>
      <c r="BU1" s="4" t="s">
        <v>3</v>
      </c>
      <c r="BV1" s="4" t="s">
        <v>4</v>
      </c>
    </row>
    <row r="2" spans="44:72" ht="36.95" customHeight="1">
      <c r="AR2" s="82" t="s">
        <v>5</v>
      </c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S2" s="5" t="s">
        <v>6</v>
      </c>
      <c r="BT2" s="5" t="s">
        <v>7</v>
      </c>
    </row>
    <row r="3" spans="2:72" ht="6.9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/>
      <c r="BS3" s="5" t="s">
        <v>6</v>
      </c>
      <c r="BT3" s="5" t="s">
        <v>8</v>
      </c>
    </row>
    <row r="4" spans="2:71" ht="24.95" customHeight="1">
      <c r="B4" s="8"/>
      <c r="D4" s="9" t="s">
        <v>9</v>
      </c>
      <c r="AR4" s="8"/>
      <c r="AS4" s="10" t="s">
        <v>10</v>
      </c>
      <c r="BS4" s="5" t="s">
        <v>11</v>
      </c>
    </row>
    <row r="5" spans="2:71" ht="12" customHeight="1">
      <c r="B5" s="8"/>
      <c r="D5" s="11" t="s">
        <v>12</v>
      </c>
      <c r="K5" s="110" t="s">
        <v>13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R5" s="8"/>
      <c r="BS5" s="5" t="s">
        <v>6</v>
      </c>
    </row>
    <row r="6" spans="2:71" ht="36.95" customHeight="1">
      <c r="B6" s="8"/>
      <c r="D6" s="12" t="s">
        <v>14</v>
      </c>
      <c r="K6" s="111" t="s">
        <v>928</v>
      </c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R6" s="8"/>
      <c r="BS6" s="5" t="s">
        <v>15</v>
      </c>
    </row>
    <row r="7" spans="2:71" ht="12" customHeight="1">
      <c r="B7" s="8"/>
      <c r="D7" s="13" t="s">
        <v>16</v>
      </c>
      <c r="K7" s="74" t="s">
        <v>1</v>
      </c>
      <c r="AK7" s="13" t="s">
        <v>17</v>
      </c>
      <c r="AN7" s="74" t="s">
        <v>1</v>
      </c>
      <c r="AR7" s="8"/>
      <c r="BS7" s="5" t="s">
        <v>18</v>
      </c>
    </row>
    <row r="8" spans="2:71" ht="12" customHeight="1">
      <c r="B8" s="8"/>
      <c r="D8" s="13" t="s">
        <v>19</v>
      </c>
      <c r="K8" s="74" t="s">
        <v>20</v>
      </c>
      <c r="AK8" s="13" t="s">
        <v>21</v>
      </c>
      <c r="AN8" s="74" t="s">
        <v>22</v>
      </c>
      <c r="AR8" s="8"/>
      <c r="BS8" s="5" t="s">
        <v>23</v>
      </c>
    </row>
    <row r="9" spans="2:71" ht="29.25" customHeight="1">
      <c r="B9" s="8"/>
      <c r="D9" s="11" t="s">
        <v>24</v>
      </c>
      <c r="K9" s="14" t="s">
        <v>25</v>
      </c>
      <c r="AR9" s="8"/>
      <c r="BS9" s="5" t="s">
        <v>26</v>
      </c>
    </row>
    <row r="10" spans="2:71" ht="12" customHeight="1">
      <c r="B10" s="8"/>
      <c r="D10" s="13" t="s">
        <v>27</v>
      </c>
      <c r="AK10" s="13" t="s">
        <v>28</v>
      </c>
      <c r="AN10" s="74" t="s">
        <v>29</v>
      </c>
      <c r="AR10" s="8"/>
      <c r="BS10" s="5" t="s">
        <v>15</v>
      </c>
    </row>
    <row r="11" spans="2:71" ht="18.4" customHeight="1">
      <c r="B11" s="8"/>
      <c r="E11" s="74" t="s">
        <v>30</v>
      </c>
      <c r="AK11" s="13" t="s">
        <v>31</v>
      </c>
      <c r="AN11" s="74" t="s">
        <v>32</v>
      </c>
      <c r="AR11" s="8"/>
      <c r="BS11" s="5" t="s">
        <v>15</v>
      </c>
    </row>
    <row r="12" spans="2:71" ht="6.95" customHeight="1">
      <c r="B12" s="8"/>
      <c r="AR12" s="8"/>
      <c r="BS12" s="5" t="s">
        <v>15</v>
      </c>
    </row>
    <row r="13" spans="2:71" ht="12" customHeight="1">
      <c r="B13" s="8"/>
      <c r="D13" s="13" t="s">
        <v>33</v>
      </c>
      <c r="AK13" s="13" t="s">
        <v>28</v>
      </c>
      <c r="AN13" s="74" t="s">
        <v>1</v>
      </c>
      <c r="AR13" s="8"/>
      <c r="BS13" s="5" t="s">
        <v>15</v>
      </c>
    </row>
    <row r="14" spans="2:71" ht="12.75">
      <c r="B14" s="8"/>
      <c r="E14" s="74" t="s">
        <v>34</v>
      </c>
      <c r="AK14" s="13" t="s">
        <v>31</v>
      </c>
      <c r="AN14" s="74" t="s">
        <v>1</v>
      </c>
      <c r="AR14" s="8"/>
      <c r="BS14" s="5" t="s">
        <v>15</v>
      </c>
    </row>
    <row r="15" spans="2:71" ht="6.95" customHeight="1">
      <c r="B15" s="8"/>
      <c r="AR15" s="8"/>
      <c r="BS15" s="5" t="s">
        <v>3</v>
      </c>
    </row>
    <row r="16" spans="2:71" ht="12" customHeight="1">
      <c r="B16" s="8"/>
      <c r="D16" s="13" t="s">
        <v>35</v>
      </c>
      <c r="AK16" s="13" t="s">
        <v>28</v>
      </c>
      <c r="AN16" s="74" t="s">
        <v>36</v>
      </c>
      <c r="AR16" s="8"/>
      <c r="BS16" s="5" t="s">
        <v>3</v>
      </c>
    </row>
    <row r="17" spans="2:71" ht="18.4" customHeight="1">
      <c r="B17" s="8"/>
      <c r="E17" s="74" t="s">
        <v>37</v>
      </c>
      <c r="AK17" s="13" t="s">
        <v>31</v>
      </c>
      <c r="AN17" s="74" t="s">
        <v>38</v>
      </c>
      <c r="AR17" s="8"/>
      <c r="BS17" s="5" t="s">
        <v>39</v>
      </c>
    </row>
    <row r="18" spans="2:71" ht="6.95" customHeight="1">
      <c r="B18" s="8"/>
      <c r="AR18" s="8"/>
      <c r="BS18" s="5" t="s">
        <v>6</v>
      </c>
    </row>
    <row r="19" spans="2:71" ht="12" customHeight="1">
      <c r="B19" s="8"/>
      <c r="D19" s="13" t="s">
        <v>40</v>
      </c>
      <c r="AK19" s="13" t="s">
        <v>28</v>
      </c>
      <c r="AN19" s="74" t="s">
        <v>36</v>
      </c>
      <c r="AR19" s="8"/>
      <c r="BS19" s="5" t="s">
        <v>6</v>
      </c>
    </row>
    <row r="20" spans="2:71" ht="18.4" customHeight="1">
      <c r="B20" s="8"/>
      <c r="E20" s="74" t="s">
        <v>37</v>
      </c>
      <c r="AK20" s="13" t="s">
        <v>31</v>
      </c>
      <c r="AN20" s="74" t="s">
        <v>38</v>
      </c>
      <c r="AR20" s="8"/>
      <c r="BS20" s="5" t="s">
        <v>39</v>
      </c>
    </row>
    <row r="21" spans="2:44" ht="6.95" customHeight="1">
      <c r="B21" s="8"/>
      <c r="AR21" s="8"/>
    </row>
    <row r="22" spans="2:44" ht="12" customHeight="1">
      <c r="B22" s="8"/>
      <c r="D22" s="13" t="s">
        <v>41</v>
      </c>
      <c r="AR22" s="8"/>
    </row>
    <row r="23" spans="2:44" ht="16.5" customHeight="1">
      <c r="B23" s="8"/>
      <c r="E23" s="112" t="s">
        <v>1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R23" s="8"/>
    </row>
    <row r="24" spans="2:44" ht="6.95" customHeight="1">
      <c r="B24" s="8"/>
      <c r="AR24" s="8"/>
    </row>
    <row r="25" spans="2:44" ht="6.95" customHeight="1">
      <c r="B25" s="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R25" s="8"/>
    </row>
    <row r="26" spans="1:57" s="1" customFormat="1" ht="25.9" customHeight="1">
      <c r="A26" s="71"/>
      <c r="B26" s="16"/>
      <c r="C26" s="71"/>
      <c r="D26" s="17" t="s">
        <v>42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113">
        <f>ROUND(AG94,2)</f>
        <v>0</v>
      </c>
      <c r="AL26" s="114"/>
      <c r="AM26" s="114"/>
      <c r="AN26" s="114"/>
      <c r="AO26" s="114"/>
      <c r="AP26" s="71"/>
      <c r="AQ26" s="71"/>
      <c r="AR26" s="16"/>
      <c r="BE26" s="71"/>
    </row>
    <row r="27" spans="1:57" s="1" customFormat="1" ht="6.95" customHeight="1">
      <c r="A27" s="71"/>
      <c r="B27" s="16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6"/>
      <c r="BE27" s="71"/>
    </row>
    <row r="28" spans="1:57" s="1" customFormat="1" ht="12.75">
      <c r="A28" s="71"/>
      <c r="B28" s="16"/>
      <c r="C28" s="71"/>
      <c r="D28" s="71"/>
      <c r="E28" s="71"/>
      <c r="F28" s="71"/>
      <c r="G28" s="71"/>
      <c r="H28" s="71"/>
      <c r="I28" s="71"/>
      <c r="J28" s="71"/>
      <c r="K28" s="71"/>
      <c r="L28" s="115" t="s">
        <v>43</v>
      </c>
      <c r="M28" s="115"/>
      <c r="N28" s="115"/>
      <c r="O28" s="115"/>
      <c r="P28" s="115"/>
      <c r="Q28" s="71"/>
      <c r="R28" s="71"/>
      <c r="S28" s="71"/>
      <c r="T28" s="71"/>
      <c r="U28" s="71"/>
      <c r="V28" s="71"/>
      <c r="W28" s="115" t="s">
        <v>44</v>
      </c>
      <c r="X28" s="115"/>
      <c r="Y28" s="115"/>
      <c r="Z28" s="115"/>
      <c r="AA28" s="115"/>
      <c r="AB28" s="115"/>
      <c r="AC28" s="115"/>
      <c r="AD28" s="115"/>
      <c r="AE28" s="115"/>
      <c r="AF28" s="71"/>
      <c r="AG28" s="71"/>
      <c r="AH28" s="71"/>
      <c r="AI28" s="71"/>
      <c r="AJ28" s="71"/>
      <c r="AK28" s="115" t="s">
        <v>45</v>
      </c>
      <c r="AL28" s="115"/>
      <c r="AM28" s="115"/>
      <c r="AN28" s="115"/>
      <c r="AO28" s="115"/>
      <c r="AP28" s="71"/>
      <c r="AQ28" s="71"/>
      <c r="AR28" s="16"/>
      <c r="BE28" s="71"/>
    </row>
    <row r="29" spans="2:44" s="77" customFormat="1" ht="14.45" customHeight="1">
      <c r="B29" s="18"/>
      <c r="D29" s="13" t="s">
        <v>46</v>
      </c>
      <c r="F29" s="13" t="s">
        <v>47</v>
      </c>
      <c r="L29" s="105">
        <v>0.21</v>
      </c>
      <c r="M29" s="104"/>
      <c r="N29" s="104"/>
      <c r="O29" s="104"/>
      <c r="P29" s="104"/>
      <c r="W29" s="103">
        <f>ROUND(AZ94,2)</f>
        <v>0</v>
      </c>
      <c r="X29" s="104"/>
      <c r="Y29" s="104"/>
      <c r="Z29" s="104"/>
      <c r="AA29" s="104"/>
      <c r="AB29" s="104"/>
      <c r="AC29" s="104"/>
      <c r="AD29" s="104"/>
      <c r="AE29" s="104"/>
      <c r="AK29" s="103">
        <f>ROUND(AV94,2)</f>
        <v>0</v>
      </c>
      <c r="AL29" s="104"/>
      <c r="AM29" s="104"/>
      <c r="AN29" s="104"/>
      <c r="AO29" s="104"/>
      <c r="AR29" s="18"/>
    </row>
    <row r="30" spans="2:44" s="77" customFormat="1" ht="14.45" customHeight="1">
      <c r="B30" s="18"/>
      <c r="F30" s="13" t="s">
        <v>48</v>
      </c>
      <c r="L30" s="105">
        <v>0.15</v>
      </c>
      <c r="M30" s="104"/>
      <c r="N30" s="104"/>
      <c r="O30" s="104"/>
      <c r="P30" s="104"/>
      <c r="W30" s="103">
        <f>ROUND(BA94,2)</f>
        <v>0</v>
      </c>
      <c r="X30" s="104"/>
      <c r="Y30" s="104"/>
      <c r="Z30" s="104"/>
      <c r="AA30" s="104"/>
      <c r="AB30" s="104"/>
      <c r="AC30" s="104"/>
      <c r="AD30" s="104"/>
      <c r="AE30" s="104"/>
      <c r="AK30" s="103">
        <f>ROUND(AW94,2)</f>
        <v>0</v>
      </c>
      <c r="AL30" s="104"/>
      <c r="AM30" s="104"/>
      <c r="AN30" s="104"/>
      <c r="AO30" s="104"/>
      <c r="AR30" s="18"/>
    </row>
    <row r="31" spans="2:44" s="77" customFormat="1" ht="14.45" customHeight="1" hidden="1">
      <c r="B31" s="18"/>
      <c r="F31" s="13" t="s">
        <v>49</v>
      </c>
      <c r="L31" s="105">
        <v>0.21</v>
      </c>
      <c r="M31" s="104"/>
      <c r="N31" s="104"/>
      <c r="O31" s="104"/>
      <c r="P31" s="104"/>
      <c r="W31" s="103">
        <f>ROUND(BB94,2)</f>
        <v>0</v>
      </c>
      <c r="X31" s="104"/>
      <c r="Y31" s="104"/>
      <c r="Z31" s="104"/>
      <c r="AA31" s="104"/>
      <c r="AB31" s="104"/>
      <c r="AC31" s="104"/>
      <c r="AD31" s="104"/>
      <c r="AE31" s="104"/>
      <c r="AK31" s="103">
        <v>0</v>
      </c>
      <c r="AL31" s="104"/>
      <c r="AM31" s="104"/>
      <c r="AN31" s="104"/>
      <c r="AO31" s="104"/>
      <c r="AR31" s="18"/>
    </row>
    <row r="32" spans="2:44" s="77" customFormat="1" ht="14.45" customHeight="1" hidden="1">
      <c r="B32" s="18"/>
      <c r="F32" s="13" t="s">
        <v>50</v>
      </c>
      <c r="L32" s="105">
        <v>0.15</v>
      </c>
      <c r="M32" s="104"/>
      <c r="N32" s="104"/>
      <c r="O32" s="104"/>
      <c r="P32" s="104"/>
      <c r="W32" s="103">
        <f>ROUND(BC94,2)</f>
        <v>0</v>
      </c>
      <c r="X32" s="104"/>
      <c r="Y32" s="104"/>
      <c r="Z32" s="104"/>
      <c r="AA32" s="104"/>
      <c r="AB32" s="104"/>
      <c r="AC32" s="104"/>
      <c r="AD32" s="104"/>
      <c r="AE32" s="104"/>
      <c r="AK32" s="103">
        <v>0</v>
      </c>
      <c r="AL32" s="104"/>
      <c r="AM32" s="104"/>
      <c r="AN32" s="104"/>
      <c r="AO32" s="104"/>
      <c r="AR32" s="18"/>
    </row>
    <row r="33" spans="2:44" s="77" customFormat="1" ht="14.45" customHeight="1" hidden="1">
      <c r="B33" s="18"/>
      <c r="F33" s="13" t="s">
        <v>51</v>
      </c>
      <c r="L33" s="105">
        <v>0</v>
      </c>
      <c r="M33" s="104"/>
      <c r="N33" s="104"/>
      <c r="O33" s="104"/>
      <c r="P33" s="104"/>
      <c r="W33" s="103">
        <f>ROUND(BD94,2)</f>
        <v>0</v>
      </c>
      <c r="X33" s="104"/>
      <c r="Y33" s="104"/>
      <c r="Z33" s="104"/>
      <c r="AA33" s="104"/>
      <c r="AB33" s="104"/>
      <c r="AC33" s="104"/>
      <c r="AD33" s="104"/>
      <c r="AE33" s="104"/>
      <c r="AK33" s="103">
        <v>0</v>
      </c>
      <c r="AL33" s="104"/>
      <c r="AM33" s="104"/>
      <c r="AN33" s="104"/>
      <c r="AO33" s="104"/>
      <c r="AR33" s="18"/>
    </row>
    <row r="34" spans="1:57" s="1" customFormat="1" ht="6.95" customHeight="1">
      <c r="A34" s="71"/>
      <c r="B34" s="16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16"/>
      <c r="BE34" s="71"/>
    </row>
    <row r="35" spans="1:57" s="1" customFormat="1" ht="25.9" customHeight="1">
      <c r="A35" s="71"/>
      <c r="B35" s="16"/>
      <c r="C35" s="19"/>
      <c r="D35" s="20" t="s">
        <v>52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21" t="s">
        <v>53</v>
      </c>
      <c r="U35" s="78"/>
      <c r="V35" s="78"/>
      <c r="W35" s="78"/>
      <c r="X35" s="106" t="s">
        <v>54</v>
      </c>
      <c r="Y35" s="107"/>
      <c r="Z35" s="107"/>
      <c r="AA35" s="107"/>
      <c r="AB35" s="107"/>
      <c r="AC35" s="78"/>
      <c r="AD35" s="78"/>
      <c r="AE35" s="78"/>
      <c r="AF35" s="78"/>
      <c r="AG35" s="78"/>
      <c r="AH35" s="78"/>
      <c r="AI35" s="78"/>
      <c r="AJ35" s="78"/>
      <c r="AK35" s="108">
        <f>SUM(AK26:AK33)</f>
        <v>0</v>
      </c>
      <c r="AL35" s="107"/>
      <c r="AM35" s="107"/>
      <c r="AN35" s="107"/>
      <c r="AO35" s="109"/>
      <c r="AP35" s="19"/>
      <c r="AQ35" s="19"/>
      <c r="AR35" s="16"/>
      <c r="BE35" s="71"/>
    </row>
    <row r="36" spans="1:57" s="1" customFormat="1" ht="6.95" customHeight="1">
      <c r="A36" s="71"/>
      <c r="B36" s="16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16"/>
      <c r="BE36" s="71"/>
    </row>
    <row r="37" spans="1:57" s="1" customFormat="1" ht="14.45" customHeight="1">
      <c r="A37" s="71"/>
      <c r="B37" s="16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16"/>
      <c r="BE37" s="71"/>
    </row>
    <row r="38" spans="2:44" ht="14.45" customHeight="1">
      <c r="B38" s="8"/>
      <c r="AR38" s="8"/>
    </row>
    <row r="39" spans="2:44" ht="14.45" customHeight="1">
      <c r="B39" s="8"/>
      <c r="AR39" s="8"/>
    </row>
    <row r="40" spans="2:44" ht="14.45" customHeight="1">
      <c r="B40" s="8"/>
      <c r="AR40" s="8"/>
    </row>
    <row r="41" spans="2:44" ht="14.45" customHeight="1">
      <c r="B41" s="8"/>
      <c r="AR41" s="8"/>
    </row>
    <row r="42" spans="2:44" ht="14.45" customHeight="1">
      <c r="B42" s="8"/>
      <c r="AR42" s="8"/>
    </row>
    <row r="43" spans="2:44" ht="14.45" customHeight="1">
      <c r="B43" s="8"/>
      <c r="AR43" s="8"/>
    </row>
    <row r="44" spans="2:44" ht="14.45" customHeight="1">
      <c r="B44" s="8"/>
      <c r="AR44" s="8"/>
    </row>
    <row r="45" spans="2:44" ht="14.45" customHeight="1">
      <c r="B45" s="8"/>
      <c r="AR45" s="8"/>
    </row>
    <row r="46" spans="2:44" ht="14.45" customHeight="1">
      <c r="B46" s="8"/>
      <c r="AR46" s="8"/>
    </row>
    <row r="47" spans="2:44" ht="14.45" customHeight="1">
      <c r="B47" s="8"/>
      <c r="AR47" s="8"/>
    </row>
    <row r="48" spans="2:44" ht="14.45" customHeight="1">
      <c r="B48" s="8"/>
      <c r="AR48" s="8"/>
    </row>
    <row r="49" spans="2:44" s="1" customFormat="1" ht="14.45" customHeight="1">
      <c r="B49" s="22"/>
      <c r="D49" s="23" t="s">
        <v>55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3" t="s">
        <v>56</v>
      </c>
      <c r="AI49" s="24"/>
      <c r="AJ49" s="24"/>
      <c r="AK49" s="24"/>
      <c r="AL49" s="24"/>
      <c r="AM49" s="24"/>
      <c r="AN49" s="24"/>
      <c r="AO49" s="24"/>
      <c r="AR49" s="22"/>
    </row>
    <row r="50" spans="2:44" ht="12">
      <c r="B50" s="8"/>
      <c r="AR50" s="8"/>
    </row>
    <row r="51" spans="2:44" ht="12">
      <c r="B51" s="8"/>
      <c r="AR51" s="8"/>
    </row>
    <row r="52" spans="2:44" ht="12">
      <c r="B52" s="8"/>
      <c r="AR52" s="8"/>
    </row>
    <row r="53" spans="2:44" ht="12">
      <c r="B53" s="8"/>
      <c r="AR53" s="8"/>
    </row>
    <row r="54" spans="2:44" ht="12">
      <c r="B54" s="8"/>
      <c r="AR54" s="8"/>
    </row>
    <row r="55" spans="2:44" ht="12">
      <c r="B55" s="8"/>
      <c r="AR55" s="8"/>
    </row>
    <row r="56" spans="2:44" ht="12">
      <c r="B56" s="8"/>
      <c r="AR56" s="8"/>
    </row>
    <row r="57" spans="2:44" ht="12">
      <c r="B57" s="8"/>
      <c r="AR57" s="8"/>
    </row>
    <row r="58" spans="2:44" ht="12">
      <c r="B58" s="8"/>
      <c r="AR58" s="8"/>
    </row>
    <row r="59" spans="2:44" ht="12">
      <c r="B59" s="8"/>
      <c r="AR59" s="8"/>
    </row>
    <row r="60" spans="1:57" s="1" customFormat="1" ht="12.75">
      <c r="A60" s="71"/>
      <c r="B60" s="16"/>
      <c r="C60" s="71"/>
      <c r="D60" s="25" t="s">
        <v>57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25" t="s">
        <v>58</v>
      </c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25" t="s">
        <v>57</v>
      </c>
      <c r="AI60" s="76"/>
      <c r="AJ60" s="76"/>
      <c r="AK60" s="76"/>
      <c r="AL60" s="76"/>
      <c r="AM60" s="25" t="s">
        <v>58</v>
      </c>
      <c r="AN60" s="76"/>
      <c r="AO60" s="76"/>
      <c r="AP60" s="71"/>
      <c r="AQ60" s="71"/>
      <c r="AR60" s="16"/>
      <c r="BE60" s="71"/>
    </row>
    <row r="61" spans="2:44" ht="12">
      <c r="B61" s="8"/>
      <c r="AR61" s="8"/>
    </row>
    <row r="62" spans="2:44" ht="12">
      <c r="B62" s="8"/>
      <c r="AR62" s="8"/>
    </row>
    <row r="63" spans="2:44" ht="12">
      <c r="B63" s="8"/>
      <c r="AR63" s="8"/>
    </row>
    <row r="64" spans="1:57" s="1" customFormat="1" ht="12.75">
      <c r="A64" s="71"/>
      <c r="B64" s="16"/>
      <c r="C64" s="71"/>
      <c r="D64" s="23" t="s">
        <v>59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3" t="s">
        <v>60</v>
      </c>
      <c r="AI64" s="26"/>
      <c r="AJ64" s="26"/>
      <c r="AK64" s="26"/>
      <c r="AL64" s="26"/>
      <c r="AM64" s="26"/>
      <c r="AN64" s="26"/>
      <c r="AO64" s="26"/>
      <c r="AP64" s="71"/>
      <c r="AQ64" s="71"/>
      <c r="AR64" s="16"/>
      <c r="BE64" s="71"/>
    </row>
    <row r="65" spans="2:44" ht="12">
      <c r="B65" s="8"/>
      <c r="AR65" s="8"/>
    </row>
    <row r="66" spans="2:44" ht="12">
      <c r="B66" s="8"/>
      <c r="AR66" s="8"/>
    </row>
    <row r="67" spans="2:44" ht="12">
      <c r="B67" s="8"/>
      <c r="AR67" s="8"/>
    </row>
    <row r="68" spans="2:44" ht="12">
      <c r="B68" s="8"/>
      <c r="AR68" s="8"/>
    </row>
    <row r="69" spans="2:44" ht="12">
      <c r="B69" s="8"/>
      <c r="AR69" s="8"/>
    </row>
    <row r="70" spans="2:44" ht="12">
      <c r="B70" s="8"/>
      <c r="AR70" s="8"/>
    </row>
    <row r="71" spans="2:44" ht="12">
      <c r="B71" s="8"/>
      <c r="AR71" s="8"/>
    </row>
    <row r="72" spans="2:44" ht="12">
      <c r="B72" s="8"/>
      <c r="AR72" s="8"/>
    </row>
    <row r="73" spans="2:44" ht="12">
      <c r="B73" s="8"/>
      <c r="AR73" s="8"/>
    </row>
    <row r="74" spans="2:44" ht="12">
      <c r="B74" s="8"/>
      <c r="AR74" s="8"/>
    </row>
    <row r="75" spans="1:57" s="1" customFormat="1" ht="12.75">
      <c r="A75" s="71"/>
      <c r="B75" s="16"/>
      <c r="C75" s="71"/>
      <c r="D75" s="25" t="s">
        <v>57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25" t="s">
        <v>58</v>
      </c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25" t="s">
        <v>57</v>
      </c>
      <c r="AI75" s="76"/>
      <c r="AJ75" s="76"/>
      <c r="AK75" s="76"/>
      <c r="AL75" s="76"/>
      <c r="AM75" s="25" t="s">
        <v>58</v>
      </c>
      <c r="AN75" s="76"/>
      <c r="AO75" s="76"/>
      <c r="AP75" s="71"/>
      <c r="AQ75" s="71"/>
      <c r="AR75" s="16"/>
      <c r="BE75" s="71"/>
    </row>
    <row r="76" spans="1:57" s="1" customFormat="1" ht="12">
      <c r="A76" s="71"/>
      <c r="B76" s="16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16"/>
      <c r="BE76" s="71"/>
    </row>
    <row r="77" spans="1:57" s="1" customFormat="1" ht="6.95" customHeight="1">
      <c r="A77" s="71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16"/>
      <c r="BE77" s="71"/>
    </row>
    <row r="81" spans="1:57" s="1" customFormat="1" ht="6.95" customHeight="1">
      <c r="A81" s="71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16"/>
      <c r="BE81" s="71"/>
    </row>
    <row r="82" spans="1:57" s="1" customFormat="1" ht="24.95" customHeight="1">
      <c r="A82" s="71"/>
      <c r="B82" s="16"/>
      <c r="C82" s="9" t="s">
        <v>61</v>
      </c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16"/>
      <c r="BE82" s="71"/>
    </row>
    <row r="83" spans="1:57" s="1" customFormat="1" ht="6.95" customHeight="1">
      <c r="A83" s="71"/>
      <c r="B83" s="16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16"/>
      <c r="BE83" s="71"/>
    </row>
    <row r="84" spans="2:44" s="79" customFormat="1" ht="12" customHeight="1">
      <c r="B84" s="31"/>
      <c r="C84" s="13" t="s">
        <v>12</v>
      </c>
      <c r="L84" s="79" t="str">
        <f>K5</f>
        <v>1976</v>
      </c>
      <c r="AR84" s="31"/>
    </row>
    <row r="85" spans="2:44" s="81" customFormat="1" ht="36.95" customHeight="1">
      <c r="B85" s="32"/>
      <c r="C85" s="33" t="s">
        <v>14</v>
      </c>
      <c r="L85" s="94" t="str">
        <f>K6</f>
        <v>MB Vodkova, oprava vodovodu a kanalizace</v>
      </c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R85" s="32"/>
    </row>
    <row r="86" spans="1:57" s="1" customFormat="1" ht="6.95" customHeight="1">
      <c r="A86" s="71"/>
      <c r="B86" s="16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16"/>
      <c r="BE86" s="71"/>
    </row>
    <row r="87" spans="1:57" s="1" customFormat="1" ht="12" customHeight="1">
      <c r="A87" s="71"/>
      <c r="B87" s="16"/>
      <c r="C87" s="13" t="s">
        <v>19</v>
      </c>
      <c r="D87" s="71"/>
      <c r="E87" s="71"/>
      <c r="F87" s="71"/>
      <c r="G87" s="71"/>
      <c r="H87" s="71"/>
      <c r="I87" s="71"/>
      <c r="J87" s="71"/>
      <c r="K87" s="71"/>
      <c r="L87" s="34" t="str">
        <f>IF(K8="","",K8)</f>
        <v>Mladá Boleslav</v>
      </c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13" t="s">
        <v>21</v>
      </c>
      <c r="AJ87" s="71"/>
      <c r="AK87" s="71"/>
      <c r="AL87" s="71"/>
      <c r="AM87" s="96"/>
      <c r="AN87" s="96"/>
      <c r="AO87" s="71"/>
      <c r="AP87" s="71"/>
      <c r="AQ87" s="71"/>
      <c r="AR87" s="16"/>
      <c r="BE87" s="71"/>
    </row>
    <row r="88" spans="1:57" s="1" customFormat="1" ht="6.95" customHeight="1">
      <c r="A88" s="71"/>
      <c r="B88" s="16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16"/>
      <c r="BE88" s="71"/>
    </row>
    <row r="89" spans="1:57" s="1" customFormat="1" ht="15.2" customHeight="1">
      <c r="A89" s="71"/>
      <c r="B89" s="16"/>
      <c r="C89" s="13" t="s">
        <v>27</v>
      </c>
      <c r="D89" s="71"/>
      <c r="E89" s="71"/>
      <c r="F89" s="71"/>
      <c r="G89" s="71"/>
      <c r="H89" s="71"/>
      <c r="I89" s="71"/>
      <c r="J89" s="71"/>
      <c r="K89" s="71"/>
      <c r="L89" s="79" t="str">
        <f>IF(E11="","",E11)</f>
        <v>Vodovody a kanalizace Mladá Boleslav, a.s.</v>
      </c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13" t="s">
        <v>35</v>
      </c>
      <c r="AJ89" s="71"/>
      <c r="AK89" s="71"/>
      <c r="AL89" s="71"/>
      <c r="AM89" s="97" t="str">
        <f>IF(E17="","",E17)</f>
        <v>Ing. Petr Čepický</v>
      </c>
      <c r="AN89" s="98"/>
      <c r="AO89" s="98"/>
      <c r="AP89" s="98"/>
      <c r="AQ89" s="71"/>
      <c r="AR89" s="16"/>
      <c r="AS89" s="99" t="s">
        <v>62</v>
      </c>
      <c r="AT89" s="100"/>
      <c r="AU89" s="35"/>
      <c r="AV89" s="35"/>
      <c r="AW89" s="35"/>
      <c r="AX89" s="35"/>
      <c r="AY89" s="35"/>
      <c r="AZ89" s="35"/>
      <c r="BA89" s="35"/>
      <c r="BB89" s="35"/>
      <c r="BC89" s="35"/>
      <c r="BD89" s="36"/>
      <c r="BE89" s="71"/>
    </row>
    <row r="90" spans="1:57" s="1" customFormat="1" ht="15.2" customHeight="1">
      <c r="A90" s="71"/>
      <c r="B90" s="16"/>
      <c r="C90" s="13" t="s">
        <v>33</v>
      </c>
      <c r="D90" s="71"/>
      <c r="E90" s="71"/>
      <c r="F90" s="71"/>
      <c r="G90" s="71"/>
      <c r="H90" s="71"/>
      <c r="I90" s="71"/>
      <c r="J90" s="71"/>
      <c r="K90" s="71"/>
      <c r="L90" s="79" t="str">
        <f>IF(E14="","",E14)</f>
        <v xml:space="preserve"> </v>
      </c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13" t="s">
        <v>40</v>
      </c>
      <c r="AJ90" s="71"/>
      <c r="AK90" s="71"/>
      <c r="AL90" s="71"/>
      <c r="AM90" s="97" t="str">
        <f>IF(E20="","",E20)</f>
        <v>Ing. Petr Čepický</v>
      </c>
      <c r="AN90" s="98"/>
      <c r="AO90" s="98"/>
      <c r="AP90" s="98"/>
      <c r="AQ90" s="71"/>
      <c r="AR90" s="16"/>
      <c r="AS90" s="101"/>
      <c r="AT90" s="102"/>
      <c r="AU90" s="37"/>
      <c r="AV90" s="37"/>
      <c r="AW90" s="37"/>
      <c r="AX90" s="37"/>
      <c r="AY90" s="37"/>
      <c r="AZ90" s="37"/>
      <c r="BA90" s="37"/>
      <c r="BB90" s="37"/>
      <c r="BC90" s="37"/>
      <c r="BD90" s="38"/>
      <c r="BE90" s="71"/>
    </row>
    <row r="91" spans="1:57" s="1" customFormat="1" ht="10.9" customHeight="1">
      <c r="A91" s="71"/>
      <c r="B91" s="16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16"/>
      <c r="AS91" s="101"/>
      <c r="AT91" s="102"/>
      <c r="AU91" s="37"/>
      <c r="AV91" s="37"/>
      <c r="AW91" s="37"/>
      <c r="AX91" s="37"/>
      <c r="AY91" s="37"/>
      <c r="AZ91" s="37"/>
      <c r="BA91" s="37"/>
      <c r="BB91" s="37"/>
      <c r="BC91" s="37"/>
      <c r="BD91" s="38"/>
      <c r="BE91" s="71"/>
    </row>
    <row r="92" spans="1:57" s="1" customFormat="1" ht="29.25" customHeight="1">
      <c r="A92" s="71"/>
      <c r="B92" s="16"/>
      <c r="C92" s="89" t="s">
        <v>63</v>
      </c>
      <c r="D92" s="90"/>
      <c r="E92" s="90"/>
      <c r="F92" s="90"/>
      <c r="G92" s="90"/>
      <c r="H92" s="39"/>
      <c r="I92" s="91" t="s">
        <v>64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2" t="s">
        <v>65</v>
      </c>
      <c r="AH92" s="90"/>
      <c r="AI92" s="90"/>
      <c r="AJ92" s="90"/>
      <c r="AK92" s="90"/>
      <c r="AL92" s="90"/>
      <c r="AM92" s="90"/>
      <c r="AN92" s="91" t="s">
        <v>66</v>
      </c>
      <c r="AO92" s="90"/>
      <c r="AP92" s="93"/>
      <c r="AQ92" s="40" t="s">
        <v>67</v>
      </c>
      <c r="AR92" s="16"/>
      <c r="AS92" s="41" t="s">
        <v>68</v>
      </c>
      <c r="AT92" s="42" t="s">
        <v>69</v>
      </c>
      <c r="AU92" s="42" t="s">
        <v>70</v>
      </c>
      <c r="AV92" s="42" t="s">
        <v>71</v>
      </c>
      <c r="AW92" s="42" t="s">
        <v>72</v>
      </c>
      <c r="AX92" s="42" t="s">
        <v>73</v>
      </c>
      <c r="AY92" s="42" t="s">
        <v>74</v>
      </c>
      <c r="AZ92" s="42" t="s">
        <v>75</v>
      </c>
      <c r="BA92" s="42" t="s">
        <v>76</v>
      </c>
      <c r="BB92" s="42" t="s">
        <v>77</v>
      </c>
      <c r="BC92" s="42" t="s">
        <v>78</v>
      </c>
      <c r="BD92" s="43" t="s">
        <v>79</v>
      </c>
      <c r="BE92" s="71"/>
    </row>
    <row r="93" spans="1:57" s="1" customFormat="1" ht="10.9" customHeight="1">
      <c r="A93" s="71"/>
      <c r="B93" s="16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16"/>
      <c r="AS93" s="4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6"/>
      <c r="BE93" s="71"/>
    </row>
    <row r="94" spans="2:90" s="2" customFormat="1" ht="32.45" customHeight="1">
      <c r="B94" s="47"/>
      <c r="C94" s="48" t="s">
        <v>80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87">
        <f>ROUND(SUM(AG95:AG96),2)</f>
        <v>0</v>
      </c>
      <c r="AH94" s="87"/>
      <c r="AI94" s="87"/>
      <c r="AJ94" s="87"/>
      <c r="AK94" s="87"/>
      <c r="AL94" s="87"/>
      <c r="AM94" s="87"/>
      <c r="AN94" s="88">
        <f>SUM(AG94,AT94)</f>
        <v>0</v>
      </c>
      <c r="AO94" s="88"/>
      <c r="AP94" s="88"/>
      <c r="AQ94" s="50" t="s">
        <v>1</v>
      </c>
      <c r="AR94" s="47"/>
      <c r="AS94" s="51">
        <f>ROUND(SUM(AS95:AS96),2)</f>
        <v>0</v>
      </c>
      <c r="AT94" s="52">
        <f>ROUND(SUM(AV94:AW94),2)</f>
        <v>0</v>
      </c>
      <c r="AU94" s="53" t="e">
        <f>ROUND(SUM(AU95:AU96),5)</f>
        <v>#REF!</v>
      </c>
      <c r="AV94" s="52">
        <f>ROUND(AZ94*L29,2)</f>
        <v>0</v>
      </c>
      <c r="AW94" s="52">
        <f>ROUND(BA94*L30,2)</f>
        <v>0</v>
      </c>
      <c r="AX94" s="52">
        <f>ROUND(BB94*L29,2)</f>
        <v>0</v>
      </c>
      <c r="AY94" s="52">
        <f>ROUND(BC94*L30,2)</f>
        <v>0</v>
      </c>
      <c r="AZ94" s="52">
        <f>ROUND(SUM(AZ95:AZ96),2)</f>
        <v>0</v>
      </c>
      <c r="BA94" s="52">
        <f>ROUND(SUM(BA95:BA96),2)</f>
        <v>0</v>
      </c>
      <c r="BB94" s="52">
        <f>ROUND(SUM(BB95:BB96),2)</f>
        <v>0</v>
      </c>
      <c r="BC94" s="52">
        <f>ROUND(SUM(BC95:BC96),2)</f>
        <v>0</v>
      </c>
      <c r="BD94" s="54">
        <f>ROUND(SUM(BD95:BD96),2)</f>
        <v>0</v>
      </c>
      <c r="BS94" s="55" t="s">
        <v>81</v>
      </c>
      <c r="BT94" s="55" t="s">
        <v>82</v>
      </c>
      <c r="BU94" s="56" t="s">
        <v>83</v>
      </c>
      <c r="BV94" s="55" t="s">
        <v>84</v>
      </c>
      <c r="BW94" s="55" t="s">
        <v>4</v>
      </c>
      <c r="BX94" s="55" t="s">
        <v>85</v>
      </c>
      <c r="CL94" s="55" t="s">
        <v>1</v>
      </c>
    </row>
    <row r="95" spans="1:91" s="3" customFormat="1" ht="16.5" customHeight="1">
      <c r="A95" s="57" t="s">
        <v>86</v>
      </c>
      <c r="B95" s="58"/>
      <c r="C95" s="59"/>
      <c r="D95" s="86" t="s">
        <v>87</v>
      </c>
      <c r="E95" s="86"/>
      <c r="F95" s="86"/>
      <c r="G95" s="86"/>
      <c r="H95" s="86"/>
      <c r="I95" s="80"/>
      <c r="J95" s="86" t="s">
        <v>88</v>
      </c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4">
        <f>'1976-1 - IO 01-Vodovod'!J30</f>
        <v>0</v>
      </c>
      <c r="AH95" s="85"/>
      <c r="AI95" s="85"/>
      <c r="AJ95" s="85"/>
      <c r="AK95" s="85"/>
      <c r="AL95" s="85"/>
      <c r="AM95" s="85"/>
      <c r="AN95" s="84">
        <f>SUM(AG95,AT95)</f>
        <v>0</v>
      </c>
      <c r="AO95" s="85"/>
      <c r="AP95" s="85"/>
      <c r="AQ95" s="60" t="s">
        <v>89</v>
      </c>
      <c r="AR95" s="58"/>
      <c r="AS95" s="61">
        <v>0</v>
      </c>
      <c r="AT95" s="62">
        <f>ROUND(SUM(AV95:AW95),2)</f>
        <v>0</v>
      </c>
      <c r="AU95" s="63" t="e">
        <f>'1976-1 - IO 01-Vodovod'!P128</f>
        <v>#REF!</v>
      </c>
      <c r="AV95" s="62">
        <f>'1976-1 - IO 01-Vodovod'!J33</f>
        <v>0</v>
      </c>
      <c r="AW95" s="62">
        <f>'1976-1 - IO 01-Vodovod'!J34</f>
        <v>0</v>
      </c>
      <c r="AX95" s="62">
        <f>'1976-1 - IO 01-Vodovod'!J35</f>
        <v>0</v>
      </c>
      <c r="AY95" s="62">
        <f>'1976-1 - IO 01-Vodovod'!J36</f>
        <v>0</v>
      </c>
      <c r="AZ95" s="62">
        <f>'1976-1 - IO 01-Vodovod'!F33</f>
        <v>0</v>
      </c>
      <c r="BA95" s="62">
        <f>'1976-1 - IO 01-Vodovod'!F34</f>
        <v>0</v>
      </c>
      <c r="BB95" s="62">
        <f>'1976-1 - IO 01-Vodovod'!F35</f>
        <v>0</v>
      </c>
      <c r="BC95" s="62">
        <f>'1976-1 - IO 01-Vodovod'!F36</f>
        <v>0</v>
      </c>
      <c r="BD95" s="64">
        <f>'1976-1 - IO 01-Vodovod'!F37</f>
        <v>0</v>
      </c>
      <c r="BT95" s="65" t="s">
        <v>18</v>
      </c>
      <c r="BV95" s="65" t="s">
        <v>84</v>
      </c>
      <c r="BW95" s="65" t="s">
        <v>90</v>
      </c>
      <c r="BX95" s="65" t="s">
        <v>4</v>
      </c>
      <c r="CL95" s="65" t="s">
        <v>91</v>
      </c>
      <c r="CM95" s="65" t="s">
        <v>92</v>
      </c>
    </row>
    <row r="96" spans="1:91" s="3" customFormat="1" ht="16.5" customHeight="1">
      <c r="A96" s="57" t="s">
        <v>86</v>
      </c>
      <c r="B96" s="58"/>
      <c r="C96" s="59"/>
      <c r="D96" s="86" t="s">
        <v>93</v>
      </c>
      <c r="E96" s="86"/>
      <c r="F96" s="86"/>
      <c r="G96" s="86"/>
      <c r="H96" s="86"/>
      <c r="I96" s="80"/>
      <c r="J96" s="86" t="s">
        <v>94</v>
      </c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4">
        <f>'1976-2 - IO 02-Kanalizace'!J30</f>
        <v>0</v>
      </c>
      <c r="AH96" s="85"/>
      <c r="AI96" s="85"/>
      <c r="AJ96" s="85"/>
      <c r="AK96" s="85"/>
      <c r="AL96" s="85"/>
      <c r="AM96" s="85"/>
      <c r="AN96" s="84">
        <f>SUM(AG96,AT96)</f>
        <v>0</v>
      </c>
      <c r="AO96" s="85"/>
      <c r="AP96" s="85"/>
      <c r="AQ96" s="60" t="s">
        <v>89</v>
      </c>
      <c r="AR96" s="58"/>
      <c r="AS96" s="66">
        <v>0</v>
      </c>
      <c r="AT96" s="67">
        <f>ROUND(SUM(AV96:AW96),2)</f>
        <v>0</v>
      </c>
      <c r="AU96" s="68" t="e">
        <f>'1976-2 - IO 02-Kanalizace'!P126</f>
        <v>#REF!</v>
      </c>
      <c r="AV96" s="67">
        <f>'1976-2 - IO 02-Kanalizace'!J33</f>
        <v>0</v>
      </c>
      <c r="AW96" s="67">
        <f>'1976-2 - IO 02-Kanalizace'!J34</f>
        <v>0</v>
      </c>
      <c r="AX96" s="67">
        <f>'1976-2 - IO 02-Kanalizace'!J35</f>
        <v>0</v>
      </c>
      <c r="AY96" s="67">
        <f>'1976-2 - IO 02-Kanalizace'!J36</f>
        <v>0</v>
      </c>
      <c r="AZ96" s="67">
        <f>'1976-2 - IO 02-Kanalizace'!F33</f>
        <v>0</v>
      </c>
      <c r="BA96" s="67">
        <f>'1976-2 - IO 02-Kanalizace'!F34</f>
        <v>0</v>
      </c>
      <c r="BB96" s="67">
        <f>'1976-2 - IO 02-Kanalizace'!F35</f>
        <v>0</v>
      </c>
      <c r="BC96" s="67">
        <f>'1976-2 - IO 02-Kanalizace'!F36</f>
        <v>0</v>
      </c>
      <c r="BD96" s="69">
        <f>'1976-2 - IO 02-Kanalizace'!F37</f>
        <v>0</v>
      </c>
      <c r="BT96" s="65" t="s">
        <v>18</v>
      </c>
      <c r="BV96" s="65" t="s">
        <v>84</v>
      </c>
      <c r="BW96" s="65" t="s">
        <v>95</v>
      </c>
      <c r="BX96" s="65" t="s">
        <v>4</v>
      </c>
      <c r="CL96" s="65" t="s">
        <v>96</v>
      </c>
      <c r="CM96" s="65" t="s">
        <v>92</v>
      </c>
    </row>
    <row r="97" spans="1:57" s="1" customFormat="1" ht="30" customHeight="1">
      <c r="A97" s="71"/>
      <c r="B97" s="16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16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</row>
    <row r="98" spans="1:57" s="1" customFormat="1" ht="6.95" customHeight="1">
      <c r="A98" s="71"/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16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</row>
  </sheetData>
  <sheetProtection password="CC96" sheet="1" objects="1" scenarios="1"/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1976-1 - IO 01-Vodovod'!C2" display="/"/>
    <hyperlink ref="A96" location="'1976-2 - IO 02-Kanalizace'!C2" display="/"/>
  </hyperlink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61"/>
  <sheetViews>
    <sheetView showGridLines="0" zoomScale="85" zoomScaleNormal="85" workbookViewId="0" topLeftCell="B109">
      <selection activeCell="H131" sqref="H131:H360"/>
    </sheetView>
  </sheetViews>
  <sheetFormatPr defaultColWidth="9.140625" defaultRowHeight="12"/>
  <cols>
    <col min="1" max="1" width="8.28125" style="70" customWidth="1"/>
    <col min="2" max="2" width="1.7109375" style="116" customWidth="1"/>
    <col min="3" max="3" width="6.8515625" style="117" customWidth="1"/>
    <col min="4" max="4" width="4.28125" style="116" customWidth="1"/>
    <col min="5" max="5" width="17.140625" style="116" customWidth="1"/>
    <col min="6" max="6" width="50.8515625" style="116" customWidth="1"/>
    <col min="7" max="7" width="7.00390625" style="116" customWidth="1"/>
    <col min="8" max="8" width="20.140625" style="116" customWidth="1"/>
    <col min="9" max="9" width="11.421875" style="116" customWidth="1"/>
    <col min="10" max="10" width="20.140625" style="116" customWidth="1"/>
    <col min="11" max="11" width="20.140625" style="116" hidden="1" customWidth="1"/>
    <col min="12" max="12" width="9.28125" style="70" hidden="1" customWidth="1"/>
    <col min="13" max="13" width="10.8515625" style="70" hidden="1" customWidth="1"/>
    <col min="14" max="14" width="9.140625" style="70" hidden="1" customWidth="1"/>
    <col min="15" max="20" width="14.140625" style="70" hidden="1" customWidth="1"/>
    <col min="21" max="21" width="16.28125" style="70" customWidth="1"/>
    <col min="22" max="22" width="12.28125" style="70" customWidth="1"/>
    <col min="23" max="23" width="16.28125" style="70" customWidth="1"/>
    <col min="24" max="24" width="12.28125" style="70" customWidth="1"/>
    <col min="25" max="25" width="15.00390625" style="70" customWidth="1"/>
    <col min="26" max="26" width="11.00390625" style="70" customWidth="1"/>
    <col min="27" max="27" width="15.00390625" style="70" customWidth="1"/>
    <col min="28" max="28" width="16.28125" style="70" customWidth="1"/>
    <col min="29" max="29" width="11.00390625" style="70" customWidth="1"/>
    <col min="30" max="30" width="15.00390625" style="70" customWidth="1"/>
    <col min="31" max="31" width="16.28125" style="70" customWidth="1"/>
    <col min="32" max="43" width="9.28125" style="70" customWidth="1"/>
    <col min="44" max="65" width="9.28125" style="70" hidden="1" customWidth="1"/>
    <col min="66" max="16384" width="9.28125" style="70" customWidth="1"/>
  </cols>
  <sheetData>
    <row r="1" ht="12"/>
    <row r="2" spans="12:56" ht="36.95" customHeight="1">
      <c r="L2" s="118" t="s">
        <v>5</v>
      </c>
      <c r="M2" s="119"/>
      <c r="N2" s="119"/>
      <c r="O2" s="119"/>
      <c r="P2" s="119"/>
      <c r="Q2" s="119"/>
      <c r="R2" s="119"/>
      <c r="S2" s="119"/>
      <c r="T2" s="119"/>
      <c r="U2" s="119"/>
      <c r="V2" s="119"/>
      <c r="AT2" s="120" t="s">
        <v>90</v>
      </c>
      <c r="AZ2" s="121" t="s">
        <v>97</v>
      </c>
      <c r="BA2" s="121" t="s">
        <v>1</v>
      </c>
      <c r="BB2" s="121" t="s">
        <v>1</v>
      </c>
      <c r="BC2" s="121" t="s">
        <v>98</v>
      </c>
      <c r="BD2" s="121" t="s">
        <v>92</v>
      </c>
    </row>
    <row r="3" spans="2:56" ht="6.95" customHeight="1">
      <c r="B3" s="122"/>
      <c r="C3" s="123"/>
      <c r="D3" s="124"/>
      <c r="E3" s="124"/>
      <c r="F3" s="124"/>
      <c r="G3" s="124"/>
      <c r="H3" s="124"/>
      <c r="I3" s="124"/>
      <c r="J3" s="124"/>
      <c r="K3" s="124"/>
      <c r="L3" s="125"/>
      <c r="AT3" s="120" t="s">
        <v>92</v>
      </c>
      <c r="AZ3" s="121" t="s">
        <v>99</v>
      </c>
      <c r="BA3" s="121" t="s">
        <v>1</v>
      </c>
      <c r="BB3" s="121" t="s">
        <v>1</v>
      </c>
      <c r="BC3" s="121" t="s">
        <v>100</v>
      </c>
      <c r="BD3" s="121" t="s">
        <v>92</v>
      </c>
    </row>
    <row r="4" spans="2:56" ht="24.95" customHeight="1">
      <c r="B4" s="126"/>
      <c r="D4" s="127" t="s">
        <v>101</v>
      </c>
      <c r="L4" s="125"/>
      <c r="M4" s="128" t="s">
        <v>10</v>
      </c>
      <c r="AT4" s="120" t="s">
        <v>3</v>
      </c>
      <c r="AZ4" s="121" t="s">
        <v>102</v>
      </c>
      <c r="BA4" s="121" t="s">
        <v>1</v>
      </c>
      <c r="BB4" s="121" t="s">
        <v>1</v>
      </c>
      <c r="BC4" s="121" t="s">
        <v>103</v>
      </c>
      <c r="BD4" s="121" t="s">
        <v>92</v>
      </c>
    </row>
    <row r="5" spans="2:56" ht="6.95" customHeight="1">
      <c r="B5" s="126"/>
      <c r="L5" s="125"/>
      <c r="AZ5" s="121" t="s">
        <v>104</v>
      </c>
      <c r="BA5" s="121" t="s">
        <v>1</v>
      </c>
      <c r="BB5" s="121" t="s">
        <v>1</v>
      </c>
      <c r="BC5" s="121" t="s">
        <v>105</v>
      </c>
      <c r="BD5" s="121" t="s">
        <v>92</v>
      </c>
    </row>
    <row r="6" spans="2:56" ht="12" customHeight="1">
      <c r="B6" s="126"/>
      <c r="D6" s="129" t="s">
        <v>14</v>
      </c>
      <c r="L6" s="125"/>
      <c r="AZ6" s="121" t="s">
        <v>106</v>
      </c>
      <c r="BA6" s="121" t="s">
        <v>1</v>
      </c>
      <c r="BB6" s="121" t="s">
        <v>1</v>
      </c>
      <c r="BC6" s="121" t="s">
        <v>82</v>
      </c>
      <c r="BD6" s="121" t="s">
        <v>92</v>
      </c>
    </row>
    <row r="7" spans="2:56" ht="16.5" customHeight="1">
      <c r="B7" s="126"/>
      <c r="E7" s="130" t="str">
        <f>'Rekapitulace stavby'!K6</f>
        <v>MB Vodkova, oprava vodovodu a kanalizace</v>
      </c>
      <c r="F7" s="129"/>
      <c r="G7" s="129"/>
      <c r="I7" s="129"/>
      <c r="L7" s="125"/>
      <c r="AZ7" s="121" t="s">
        <v>107</v>
      </c>
      <c r="BA7" s="121" t="s">
        <v>1</v>
      </c>
      <c r="BB7" s="121" t="s">
        <v>1</v>
      </c>
      <c r="BC7" s="121" t="s">
        <v>105</v>
      </c>
      <c r="BD7" s="121" t="s">
        <v>92</v>
      </c>
    </row>
    <row r="8" spans="1:56" s="136" customFormat="1" ht="12" customHeight="1">
      <c r="A8" s="131"/>
      <c r="B8" s="132"/>
      <c r="C8" s="133"/>
      <c r="D8" s="129" t="s">
        <v>108</v>
      </c>
      <c r="E8" s="134"/>
      <c r="F8" s="134"/>
      <c r="G8" s="134"/>
      <c r="H8" s="134"/>
      <c r="I8" s="134"/>
      <c r="J8" s="134"/>
      <c r="K8" s="134"/>
      <c r="L8" s="135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Z8" s="121" t="s">
        <v>109</v>
      </c>
      <c r="BA8" s="121" t="s">
        <v>1</v>
      </c>
      <c r="BB8" s="121" t="s">
        <v>1</v>
      </c>
      <c r="BC8" s="121" t="s">
        <v>110</v>
      </c>
      <c r="BD8" s="121" t="s">
        <v>92</v>
      </c>
    </row>
    <row r="9" spans="1:56" s="136" customFormat="1" ht="16.5" customHeight="1">
      <c r="A9" s="131"/>
      <c r="B9" s="132"/>
      <c r="C9" s="133"/>
      <c r="D9" s="134"/>
      <c r="E9" s="137" t="s">
        <v>111</v>
      </c>
      <c r="F9" s="137"/>
      <c r="G9" s="134"/>
      <c r="H9" s="134"/>
      <c r="I9" s="134"/>
      <c r="J9" s="134"/>
      <c r="K9" s="134"/>
      <c r="L9" s="135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Z9" s="121" t="s">
        <v>112</v>
      </c>
      <c r="BA9" s="121" t="s">
        <v>1</v>
      </c>
      <c r="BB9" s="121" t="s">
        <v>1</v>
      </c>
      <c r="BC9" s="121" t="s">
        <v>113</v>
      </c>
      <c r="BD9" s="121" t="s">
        <v>92</v>
      </c>
    </row>
    <row r="10" spans="1:56" s="136" customFormat="1" ht="12">
      <c r="A10" s="131"/>
      <c r="B10" s="132"/>
      <c r="C10" s="133"/>
      <c r="D10" s="134"/>
      <c r="E10" s="134"/>
      <c r="F10" s="134"/>
      <c r="G10" s="134"/>
      <c r="H10" s="134"/>
      <c r="I10" s="134"/>
      <c r="J10" s="134"/>
      <c r="K10" s="134"/>
      <c r="L10" s="135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Z10" s="121" t="s">
        <v>114</v>
      </c>
      <c r="BA10" s="121" t="s">
        <v>1</v>
      </c>
      <c r="BB10" s="121" t="s">
        <v>1</v>
      </c>
      <c r="BC10" s="121" t="s">
        <v>115</v>
      </c>
      <c r="BD10" s="121" t="s">
        <v>92</v>
      </c>
    </row>
    <row r="11" spans="1:56" s="136" customFormat="1" ht="12" customHeight="1">
      <c r="A11" s="131"/>
      <c r="B11" s="132"/>
      <c r="C11" s="133"/>
      <c r="D11" s="129" t="s">
        <v>16</v>
      </c>
      <c r="E11" s="134"/>
      <c r="F11" s="138" t="s">
        <v>91</v>
      </c>
      <c r="G11" s="134"/>
      <c r="H11" s="129" t="s">
        <v>17</v>
      </c>
      <c r="I11" s="134"/>
      <c r="J11" s="138" t="s">
        <v>116</v>
      </c>
      <c r="K11" s="134"/>
      <c r="L11" s="135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Z11" s="121" t="s">
        <v>117</v>
      </c>
      <c r="BA11" s="121" t="s">
        <v>1</v>
      </c>
      <c r="BB11" s="121" t="s">
        <v>1</v>
      </c>
      <c r="BC11" s="121" t="s">
        <v>118</v>
      </c>
      <c r="BD11" s="121" t="s">
        <v>92</v>
      </c>
    </row>
    <row r="12" spans="1:56" s="136" customFormat="1" ht="12" customHeight="1">
      <c r="A12" s="131"/>
      <c r="B12" s="132"/>
      <c r="C12" s="133"/>
      <c r="D12" s="129" t="s">
        <v>19</v>
      </c>
      <c r="E12" s="134"/>
      <c r="F12" s="138" t="s">
        <v>20</v>
      </c>
      <c r="G12" s="134"/>
      <c r="H12" s="129" t="s">
        <v>21</v>
      </c>
      <c r="I12" s="134"/>
      <c r="J12" s="139"/>
      <c r="K12" s="134"/>
      <c r="L12" s="135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Z12" s="121" t="s">
        <v>119</v>
      </c>
      <c r="BA12" s="121" t="s">
        <v>1</v>
      </c>
      <c r="BB12" s="121" t="s">
        <v>1</v>
      </c>
      <c r="BC12" s="121" t="s">
        <v>120</v>
      </c>
      <c r="BD12" s="121" t="s">
        <v>92</v>
      </c>
    </row>
    <row r="13" spans="1:56" s="136" customFormat="1" ht="21.75" customHeight="1">
      <c r="A13" s="131"/>
      <c r="B13" s="132"/>
      <c r="C13" s="133"/>
      <c r="D13" s="140" t="s">
        <v>24</v>
      </c>
      <c r="E13" s="134"/>
      <c r="F13" s="141" t="s">
        <v>25</v>
      </c>
      <c r="G13" s="134"/>
      <c r="H13" s="140" t="s">
        <v>121</v>
      </c>
      <c r="I13" s="134"/>
      <c r="J13" s="141" t="s">
        <v>122</v>
      </c>
      <c r="K13" s="134"/>
      <c r="L13" s="135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Z13" s="121" t="s">
        <v>123</v>
      </c>
      <c r="BA13" s="121" t="s">
        <v>1</v>
      </c>
      <c r="BB13" s="121" t="s">
        <v>1</v>
      </c>
      <c r="BC13" s="121" t="s">
        <v>124</v>
      </c>
      <c r="BD13" s="121" t="s">
        <v>92</v>
      </c>
    </row>
    <row r="14" spans="1:56" s="136" customFormat="1" ht="12" customHeight="1">
      <c r="A14" s="131"/>
      <c r="B14" s="132"/>
      <c r="C14" s="133"/>
      <c r="D14" s="129" t="s">
        <v>27</v>
      </c>
      <c r="E14" s="134"/>
      <c r="F14" s="134"/>
      <c r="G14" s="134"/>
      <c r="H14" s="129" t="s">
        <v>28</v>
      </c>
      <c r="I14" s="134"/>
      <c r="J14" s="138" t="s">
        <v>29</v>
      </c>
      <c r="K14" s="134"/>
      <c r="L14" s="135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Z14" s="121" t="s">
        <v>125</v>
      </c>
      <c r="BA14" s="121" t="s">
        <v>1</v>
      </c>
      <c r="BB14" s="121" t="s">
        <v>1</v>
      </c>
      <c r="BC14" s="121" t="s">
        <v>82</v>
      </c>
      <c r="BD14" s="121" t="s">
        <v>92</v>
      </c>
    </row>
    <row r="15" spans="1:56" s="136" customFormat="1" ht="18" customHeight="1">
      <c r="A15" s="131"/>
      <c r="B15" s="132"/>
      <c r="C15" s="133"/>
      <c r="D15" s="134"/>
      <c r="E15" s="138" t="s">
        <v>30</v>
      </c>
      <c r="F15" s="134"/>
      <c r="G15" s="134"/>
      <c r="H15" s="129" t="s">
        <v>31</v>
      </c>
      <c r="I15" s="134"/>
      <c r="J15" s="138" t="s">
        <v>32</v>
      </c>
      <c r="K15" s="134"/>
      <c r="L15" s="135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Z15" s="121" t="s">
        <v>126</v>
      </c>
      <c r="BA15" s="121" t="s">
        <v>1</v>
      </c>
      <c r="BB15" s="121" t="s">
        <v>1</v>
      </c>
      <c r="BC15" s="121" t="s">
        <v>127</v>
      </c>
      <c r="BD15" s="121" t="s">
        <v>92</v>
      </c>
    </row>
    <row r="16" spans="1:56" s="136" customFormat="1" ht="6.95" customHeight="1">
      <c r="A16" s="131"/>
      <c r="B16" s="132"/>
      <c r="C16" s="133"/>
      <c r="D16" s="134"/>
      <c r="E16" s="134"/>
      <c r="F16" s="134"/>
      <c r="G16" s="134"/>
      <c r="H16" s="134"/>
      <c r="I16" s="134"/>
      <c r="J16" s="134"/>
      <c r="K16" s="134"/>
      <c r="L16" s="135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Z16" s="121" t="s">
        <v>128</v>
      </c>
      <c r="BA16" s="121" t="s">
        <v>1</v>
      </c>
      <c r="BB16" s="121" t="s">
        <v>1</v>
      </c>
      <c r="BC16" s="121" t="s">
        <v>129</v>
      </c>
      <c r="BD16" s="121" t="s">
        <v>92</v>
      </c>
    </row>
    <row r="17" spans="1:56" s="136" customFormat="1" ht="12" customHeight="1">
      <c r="A17" s="131"/>
      <c r="B17" s="132"/>
      <c r="C17" s="133"/>
      <c r="D17" s="129" t="s">
        <v>33</v>
      </c>
      <c r="E17" s="134"/>
      <c r="F17" s="134"/>
      <c r="G17" s="134"/>
      <c r="H17" s="129" t="s">
        <v>28</v>
      </c>
      <c r="I17" s="134"/>
      <c r="J17" s="138" t="str">
        <f>'Rekapitulace stavby'!AN13</f>
        <v/>
      </c>
      <c r="K17" s="134"/>
      <c r="L17" s="135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Z17" s="121" t="s">
        <v>130</v>
      </c>
      <c r="BA17" s="121" t="s">
        <v>1</v>
      </c>
      <c r="BB17" s="121" t="s">
        <v>1</v>
      </c>
      <c r="BC17" s="121" t="s">
        <v>131</v>
      </c>
      <c r="BD17" s="121" t="s">
        <v>92</v>
      </c>
    </row>
    <row r="18" spans="1:56" s="136" customFormat="1" ht="18" customHeight="1">
      <c r="A18" s="131"/>
      <c r="B18" s="132"/>
      <c r="C18" s="133"/>
      <c r="D18" s="134"/>
      <c r="E18" s="138" t="str">
        <f>'Rekapitulace stavby'!E14</f>
        <v xml:space="preserve"> </v>
      </c>
      <c r="F18" s="138"/>
      <c r="G18" s="138"/>
      <c r="H18" s="129" t="s">
        <v>31</v>
      </c>
      <c r="I18" s="138"/>
      <c r="J18" s="138" t="str">
        <f>'Rekapitulace stavby'!AN14</f>
        <v/>
      </c>
      <c r="K18" s="134"/>
      <c r="L18" s="135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Z18" s="121" t="s">
        <v>132</v>
      </c>
      <c r="BA18" s="121" t="s">
        <v>1</v>
      </c>
      <c r="BB18" s="121" t="s">
        <v>1</v>
      </c>
      <c r="BC18" s="121" t="s">
        <v>113</v>
      </c>
      <c r="BD18" s="121" t="s">
        <v>92</v>
      </c>
    </row>
    <row r="19" spans="1:56" s="136" customFormat="1" ht="6.95" customHeight="1">
      <c r="A19" s="131"/>
      <c r="B19" s="132"/>
      <c r="C19" s="133"/>
      <c r="D19" s="134"/>
      <c r="E19" s="134"/>
      <c r="F19" s="134"/>
      <c r="G19" s="134"/>
      <c r="H19" s="134"/>
      <c r="I19" s="134"/>
      <c r="J19" s="134"/>
      <c r="K19" s="134"/>
      <c r="L19" s="135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Z19" s="121" t="s">
        <v>133</v>
      </c>
      <c r="BA19" s="121" t="s">
        <v>1</v>
      </c>
      <c r="BB19" s="121" t="s">
        <v>1</v>
      </c>
      <c r="BC19" s="121" t="s">
        <v>134</v>
      </c>
      <c r="BD19" s="121" t="s">
        <v>92</v>
      </c>
    </row>
    <row r="20" spans="1:56" s="136" customFormat="1" ht="12" customHeight="1">
      <c r="A20" s="131"/>
      <c r="B20" s="132"/>
      <c r="C20" s="133"/>
      <c r="D20" s="129" t="s">
        <v>35</v>
      </c>
      <c r="E20" s="134"/>
      <c r="F20" s="134"/>
      <c r="G20" s="134"/>
      <c r="H20" s="129" t="s">
        <v>28</v>
      </c>
      <c r="I20" s="134"/>
      <c r="J20" s="138" t="s">
        <v>36</v>
      </c>
      <c r="K20" s="134"/>
      <c r="L20" s="135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Z20" s="121" t="s">
        <v>135</v>
      </c>
      <c r="BA20" s="121" t="s">
        <v>1</v>
      </c>
      <c r="BB20" s="121" t="s">
        <v>1</v>
      </c>
      <c r="BC20" s="121" t="s">
        <v>136</v>
      </c>
      <c r="BD20" s="121" t="s">
        <v>92</v>
      </c>
    </row>
    <row r="21" spans="1:56" s="136" customFormat="1" ht="18" customHeight="1">
      <c r="A21" s="131"/>
      <c r="B21" s="132"/>
      <c r="C21" s="133"/>
      <c r="D21" s="134"/>
      <c r="E21" s="138" t="s">
        <v>37</v>
      </c>
      <c r="F21" s="134"/>
      <c r="G21" s="134"/>
      <c r="H21" s="129" t="s">
        <v>31</v>
      </c>
      <c r="I21" s="134"/>
      <c r="J21" s="138" t="s">
        <v>38</v>
      </c>
      <c r="K21" s="134"/>
      <c r="L21" s="135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Z21" s="121" t="s">
        <v>137</v>
      </c>
      <c r="BA21" s="121" t="s">
        <v>1</v>
      </c>
      <c r="BB21" s="121" t="s">
        <v>1</v>
      </c>
      <c r="BC21" s="121" t="s">
        <v>138</v>
      </c>
      <c r="BD21" s="121" t="s">
        <v>92</v>
      </c>
    </row>
    <row r="22" spans="1:56" s="136" customFormat="1" ht="6.95" customHeight="1">
      <c r="A22" s="131"/>
      <c r="B22" s="132"/>
      <c r="C22" s="133"/>
      <c r="D22" s="134"/>
      <c r="E22" s="134"/>
      <c r="F22" s="134"/>
      <c r="G22" s="134"/>
      <c r="H22" s="134"/>
      <c r="I22" s="134"/>
      <c r="J22" s="134"/>
      <c r="K22" s="134"/>
      <c r="L22" s="135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Z22" s="121" t="s">
        <v>139</v>
      </c>
      <c r="BA22" s="121" t="s">
        <v>1</v>
      </c>
      <c r="BB22" s="121" t="s">
        <v>1</v>
      </c>
      <c r="BC22" s="121" t="s">
        <v>140</v>
      </c>
      <c r="BD22" s="121" t="s">
        <v>92</v>
      </c>
    </row>
    <row r="23" spans="1:56" s="136" customFormat="1" ht="12" customHeight="1">
      <c r="A23" s="131"/>
      <c r="B23" s="132"/>
      <c r="C23" s="133"/>
      <c r="D23" s="129" t="s">
        <v>40</v>
      </c>
      <c r="E23" s="134"/>
      <c r="F23" s="134"/>
      <c r="G23" s="134"/>
      <c r="H23" s="129" t="s">
        <v>28</v>
      </c>
      <c r="I23" s="134"/>
      <c r="J23" s="138" t="s">
        <v>36</v>
      </c>
      <c r="K23" s="134"/>
      <c r="L23" s="135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Z23" s="121" t="s">
        <v>141</v>
      </c>
      <c r="BA23" s="121" t="s">
        <v>1</v>
      </c>
      <c r="BB23" s="121" t="s">
        <v>1</v>
      </c>
      <c r="BC23" s="121" t="s">
        <v>142</v>
      </c>
      <c r="BD23" s="121" t="s">
        <v>92</v>
      </c>
    </row>
    <row r="24" spans="1:56" s="136" customFormat="1" ht="18" customHeight="1">
      <c r="A24" s="131"/>
      <c r="B24" s="132"/>
      <c r="C24" s="133"/>
      <c r="D24" s="134"/>
      <c r="E24" s="138" t="s">
        <v>37</v>
      </c>
      <c r="F24" s="134"/>
      <c r="G24" s="134"/>
      <c r="H24" s="129" t="s">
        <v>31</v>
      </c>
      <c r="I24" s="134"/>
      <c r="J24" s="138" t="s">
        <v>38</v>
      </c>
      <c r="K24" s="134"/>
      <c r="L24" s="135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Z24" s="121" t="s">
        <v>143</v>
      </c>
      <c r="BA24" s="121" t="s">
        <v>1</v>
      </c>
      <c r="BB24" s="121" t="s">
        <v>1</v>
      </c>
      <c r="BC24" s="121" t="s">
        <v>144</v>
      </c>
      <c r="BD24" s="121" t="s">
        <v>92</v>
      </c>
    </row>
    <row r="25" spans="1:56" s="136" customFormat="1" ht="6.95" customHeight="1">
      <c r="A25" s="131"/>
      <c r="B25" s="132"/>
      <c r="C25" s="133"/>
      <c r="D25" s="134"/>
      <c r="E25" s="134"/>
      <c r="F25" s="134"/>
      <c r="G25" s="134"/>
      <c r="H25" s="134"/>
      <c r="I25" s="134"/>
      <c r="J25" s="134"/>
      <c r="K25" s="134"/>
      <c r="L25" s="135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Z25" s="121" t="s">
        <v>145</v>
      </c>
      <c r="BA25" s="121" t="s">
        <v>1</v>
      </c>
      <c r="BB25" s="121" t="s">
        <v>1</v>
      </c>
      <c r="BC25" s="121" t="s">
        <v>146</v>
      </c>
      <c r="BD25" s="121" t="s">
        <v>92</v>
      </c>
    </row>
    <row r="26" spans="1:56" s="136" customFormat="1" ht="12" customHeight="1">
      <c r="A26" s="131"/>
      <c r="B26" s="132"/>
      <c r="C26" s="133"/>
      <c r="D26" s="129" t="s">
        <v>41</v>
      </c>
      <c r="E26" s="134"/>
      <c r="F26" s="134"/>
      <c r="G26" s="134"/>
      <c r="H26" s="134"/>
      <c r="I26" s="134"/>
      <c r="J26" s="134"/>
      <c r="K26" s="134"/>
      <c r="L26" s="135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Z26" s="121" t="s">
        <v>147</v>
      </c>
      <c r="BA26" s="121" t="s">
        <v>1</v>
      </c>
      <c r="BB26" s="121" t="s">
        <v>1</v>
      </c>
      <c r="BC26" s="121" t="s">
        <v>148</v>
      </c>
      <c r="BD26" s="121" t="s">
        <v>92</v>
      </c>
    </row>
    <row r="27" spans="1:56" s="148" customFormat="1" ht="16.5" customHeight="1">
      <c r="A27" s="142"/>
      <c r="B27" s="143"/>
      <c r="C27" s="144"/>
      <c r="D27" s="145"/>
      <c r="E27" s="146" t="s">
        <v>1</v>
      </c>
      <c r="F27" s="146"/>
      <c r="G27" s="146"/>
      <c r="H27" s="145"/>
      <c r="I27" s="146"/>
      <c r="J27" s="145"/>
      <c r="K27" s="145"/>
      <c r="L27" s="147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Z27" s="149" t="s">
        <v>149</v>
      </c>
      <c r="BA27" s="149" t="s">
        <v>1</v>
      </c>
      <c r="BB27" s="149" t="s">
        <v>1</v>
      </c>
      <c r="BC27" s="149" t="s">
        <v>82</v>
      </c>
      <c r="BD27" s="149" t="s">
        <v>92</v>
      </c>
    </row>
    <row r="28" spans="1:56" s="136" customFormat="1" ht="6.95" customHeight="1">
      <c r="A28" s="131"/>
      <c r="B28" s="132"/>
      <c r="C28" s="133"/>
      <c r="D28" s="134"/>
      <c r="E28" s="134"/>
      <c r="F28" s="134"/>
      <c r="G28" s="134"/>
      <c r="H28" s="134"/>
      <c r="I28" s="134"/>
      <c r="J28" s="134"/>
      <c r="K28" s="134"/>
      <c r="L28" s="135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Z28" s="121" t="s">
        <v>150</v>
      </c>
      <c r="BA28" s="121" t="s">
        <v>1</v>
      </c>
      <c r="BB28" s="121" t="s">
        <v>1</v>
      </c>
      <c r="BC28" s="121" t="s">
        <v>148</v>
      </c>
      <c r="BD28" s="121" t="s">
        <v>92</v>
      </c>
    </row>
    <row r="29" spans="1:56" s="136" customFormat="1" ht="6.95" customHeight="1">
      <c r="A29" s="131"/>
      <c r="B29" s="132"/>
      <c r="C29" s="133"/>
      <c r="D29" s="150"/>
      <c r="E29" s="150"/>
      <c r="F29" s="150"/>
      <c r="G29" s="150"/>
      <c r="H29" s="150"/>
      <c r="I29" s="150"/>
      <c r="J29" s="150"/>
      <c r="K29" s="150"/>
      <c r="L29" s="135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Z29" s="121" t="s">
        <v>151</v>
      </c>
      <c r="BA29" s="121" t="s">
        <v>1</v>
      </c>
      <c r="BB29" s="121" t="s">
        <v>1</v>
      </c>
      <c r="BC29" s="121" t="s">
        <v>152</v>
      </c>
      <c r="BD29" s="121" t="s">
        <v>92</v>
      </c>
    </row>
    <row r="30" spans="1:56" s="136" customFormat="1" ht="25.35" customHeight="1">
      <c r="A30" s="131"/>
      <c r="B30" s="132"/>
      <c r="C30" s="133"/>
      <c r="D30" s="151" t="s">
        <v>42</v>
      </c>
      <c r="E30" s="134"/>
      <c r="F30" s="134"/>
      <c r="G30" s="134"/>
      <c r="H30" s="134"/>
      <c r="I30" s="134"/>
      <c r="J30" s="152">
        <f>ROUND(J128,2)</f>
        <v>0</v>
      </c>
      <c r="K30" s="134"/>
      <c r="L30" s="135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Z30" s="121" t="s">
        <v>153</v>
      </c>
      <c r="BA30" s="121" t="s">
        <v>1</v>
      </c>
      <c r="BB30" s="121" t="s">
        <v>1</v>
      </c>
      <c r="BC30" s="121" t="s">
        <v>154</v>
      </c>
      <c r="BD30" s="121" t="s">
        <v>92</v>
      </c>
    </row>
    <row r="31" spans="1:56" s="136" customFormat="1" ht="6.95" customHeight="1">
      <c r="A31" s="131"/>
      <c r="B31" s="132"/>
      <c r="C31" s="133"/>
      <c r="D31" s="150"/>
      <c r="E31" s="150"/>
      <c r="F31" s="150"/>
      <c r="G31" s="150"/>
      <c r="H31" s="150"/>
      <c r="I31" s="150"/>
      <c r="J31" s="150"/>
      <c r="K31" s="150"/>
      <c r="L31" s="135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Z31" s="121" t="s">
        <v>155</v>
      </c>
      <c r="BA31" s="121" t="s">
        <v>1</v>
      </c>
      <c r="BB31" s="121" t="s">
        <v>1</v>
      </c>
      <c r="BC31" s="121" t="s">
        <v>82</v>
      </c>
      <c r="BD31" s="121" t="s">
        <v>92</v>
      </c>
    </row>
    <row r="32" spans="1:56" s="136" customFormat="1" ht="14.45" customHeight="1">
      <c r="A32" s="131"/>
      <c r="B32" s="132"/>
      <c r="C32" s="133"/>
      <c r="D32" s="134"/>
      <c r="E32" s="134"/>
      <c r="F32" s="153" t="s">
        <v>44</v>
      </c>
      <c r="G32" s="134"/>
      <c r="H32" s="153" t="s">
        <v>43</v>
      </c>
      <c r="I32" s="134"/>
      <c r="J32" s="153" t="s">
        <v>45</v>
      </c>
      <c r="K32" s="134"/>
      <c r="L32" s="135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Z32" s="121" t="s">
        <v>156</v>
      </c>
      <c r="BA32" s="121" t="s">
        <v>1</v>
      </c>
      <c r="BB32" s="121" t="s">
        <v>1</v>
      </c>
      <c r="BC32" s="121" t="s">
        <v>157</v>
      </c>
      <c r="BD32" s="121" t="s">
        <v>92</v>
      </c>
    </row>
    <row r="33" spans="1:56" s="136" customFormat="1" ht="14.45" customHeight="1">
      <c r="A33" s="131"/>
      <c r="B33" s="132"/>
      <c r="C33" s="133"/>
      <c r="D33" s="154" t="s">
        <v>46</v>
      </c>
      <c r="E33" s="129" t="s">
        <v>47</v>
      </c>
      <c r="F33" s="155">
        <f>ROUND((SUM(BE128:BE360)),2)</f>
        <v>0</v>
      </c>
      <c r="G33" s="134"/>
      <c r="H33" s="156">
        <v>0.21</v>
      </c>
      <c r="I33" s="134"/>
      <c r="J33" s="155">
        <f>ROUND(((SUM(BE128:BE360))*H33),2)</f>
        <v>0</v>
      </c>
      <c r="K33" s="134"/>
      <c r="L33" s="135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Z33" s="121" t="s">
        <v>158</v>
      </c>
      <c r="BA33" s="121" t="s">
        <v>1</v>
      </c>
      <c r="BB33" s="121" t="s">
        <v>1</v>
      </c>
      <c r="BC33" s="121" t="s">
        <v>159</v>
      </c>
      <c r="BD33" s="121" t="s">
        <v>92</v>
      </c>
    </row>
    <row r="34" spans="1:56" s="136" customFormat="1" ht="14.45" customHeight="1">
      <c r="A34" s="131"/>
      <c r="B34" s="132"/>
      <c r="C34" s="133"/>
      <c r="D34" s="134"/>
      <c r="E34" s="129" t="s">
        <v>48</v>
      </c>
      <c r="F34" s="155">
        <f>ROUND((SUM(BF128:BF360)),2)</f>
        <v>0</v>
      </c>
      <c r="G34" s="134"/>
      <c r="H34" s="156">
        <v>0.15</v>
      </c>
      <c r="I34" s="134"/>
      <c r="J34" s="155">
        <f>ROUND(((SUM(BF128:BF360))*H34),2)</f>
        <v>0</v>
      </c>
      <c r="K34" s="134"/>
      <c r="L34" s="135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Z34" s="121" t="s">
        <v>160</v>
      </c>
      <c r="BA34" s="121" t="s">
        <v>1</v>
      </c>
      <c r="BB34" s="121" t="s">
        <v>1</v>
      </c>
      <c r="BC34" s="121" t="s">
        <v>161</v>
      </c>
      <c r="BD34" s="121" t="s">
        <v>92</v>
      </c>
    </row>
    <row r="35" spans="1:56" s="136" customFormat="1" ht="14.45" customHeight="1" hidden="1">
      <c r="A35" s="131"/>
      <c r="B35" s="132"/>
      <c r="C35" s="133"/>
      <c r="D35" s="134"/>
      <c r="E35" s="129" t="s">
        <v>49</v>
      </c>
      <c r="F35" s="155">
        <f>ROUND((SUM(BG128:BG360)),2)</f>
        <v>0</v>
      </c>
      <c r="G35" s="134"/>
      <c r="H35" s="156">
        <v>0.21</v>
      </c>
      <c r="I35" s="134"/>
      <c r="J35" s="155">
        <f>0</f>
        <v>0</v>
      </c>
      <c r="K35" s="134"/>
      <c r="L35" s="135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Z35" s="121" t="s">
        <v>162</v>
      </c>
      <c r="BA35" s="121" t="s">
        <v>1</v>
      </c>
      <c r="BB35" s="121" t="s">
        <v>1</v>
      </c>
      <c r="BC35" s="121" t="s">
        <v>163</v>
      </c>
      <c r="BD35" s="121" t="s">
        <v>92</v>
      </c>
    </row>
    <row r="36" spans="1:56" s="136" customFormat="1" ht="14.45" customHeight="1" hidden="1">
      <c r="A36" s="131"/>
      <c r="B36" s="132"/>
      <c r="C36" s="133"/>
      <c r="D36" s="134"/>
      <c r="E36" s="129" t="s">
        <v>50</v>
      </c>
      <c r="F36" s="155">
        <f>ROUND((SUM(BH128:BH360)),2)</f>
        <v>0</v>
      </c>
      <c r="G36" s="134"/>
      <c r="H36" s="156">
        <v>0.15</v>
      </c>
      <c r="I36" s="134"/>
      <c r="J36" s="155">
        <f>0</f>
        <v>0</v>
      </c>
      <c r="K36" s="134"/>
      <c r="L36" s="135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Z36" s="121" t="s">
        <v>164</v>
      </c>
      <c r="BA36" s="121" t="s">
        <v>1</v>
      </c>
      <c r="BB36" s="121" t="s">
        <v>1</v>
      </c>
      <c r="BC36" s="121" t="s">
        <v>165</v>
      </c>
      <c r="BD36" s="121" t="s">
        <v>92</v>
      </c>
    </row>
    <row r="37" spans="1:56" s="136" customFormat="1" ht="14.45" customHeight="1" hidden="1">
      <c r="A37" s="131"/>
      <c r="B37" s="132"/>
      <c r="C37" s="133"/>
      <c r="D37" s="134"/>
      <c r="E37" s="129" t="s">
        <v>51</v>
      </c>
      <c r="F37" s="155">
        <f>ROUND((SUM(BI128:BI360)),2)</f>
        <v>0</v>
      </c>
      <c r="G37" s="134"/>
      <c r="H37" s="156">
        <v>0</v>
      </c>
      <c r="I37" s="134"/>
      <c r="J37" s="155">
        <f>0</f>
        <v>0</v>
      </c>
      <c r="K37" s="134"/>
      <c r="L37" s="135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Z37" s="121" t="s">
        <v>166</v>
      </c>
      <c r="BA37" s="121" t="s">
        <v>1</v>
      </c>
      <c r="BB37" s="121" t="s">
        <v>1</v>
      </c>
      <c r="BC37" s="121" t="s">
        <v>23</v>
      </c>
      <c r="BD37" s="121" t="s">
        <v>92</v>
      </c>
    </row>
    <row r="38" spans="1:56" s="136" customFormat="1" ht="6.95" customHeight="1">
      <c r="A38" s="131"/>
      <c r="B38" s="132"/>
      <c r="C38" s="133"/>
      <c r="D38" s="134"/>
      <c r="E38" s="134"/>
      <c r="F38" s="134"/>
      <c r="G38" s="134"/>
      <c r="H38" s="134"/>
      <c r="I38" s="134"/>
      <c r="J38" s="134"/>
      <c r="K38" s="134"/>
      <c r="L38" s="135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Z38" s="121" t="s">
        <v>167</v>
      </c>
      <c r="BA38" s="121" t="s">
        <v>1</v>
      </c>
      <c r="BB38" s="121" t="s">
        <v>1</v>
      </c>
      <c r="BC38" s="121" t="s">
        <v>168</v>
      </c>
      <c r="BD38" s="121" t="s">
        <v>92</v>
      </c>
    </row>
    <row r="39" spans="1:56" s="136" customFormat="1" ht="25.35" customHeight="1">
      <c r="A39" s="131"/>
      <c r="B39" s="132"/>
      <c r="C39" s="133"/>
      <c r="D39" s="157" t="s">
        <v>52</v>
      </c>
      <c r="E39" s="158"/>
      <c r="F39" s="158"/>
      <c r="G39" s="159" t="s">
        <v>53</v>
      </c>
      <c r="H39" s="158"/>
      <c r="I39" s="160" t="s">
        <v>54</v>
      </c>
      <c r="J39" s="161">
        <f>SUM(J30:J37)</f>
        <v>0</v>
      </c>
      <c r="K39" s="162"/>
      <c r="L39" s="135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Z39" s="121" t="s">
        <v>169</v>
      </c>
      <c r="BA39" s="121" t="s">
        <v>1</v>
      </c>
      <c r="BB39" s="121" t="s">
        <v>1</v>
      </c>
      <c r="BC39" s="121" t="s">
        <v>170</v>
      </c>
      <c r="BD39" s="121" t="s">
        <v>92</v>
      </c>
    </row>
    <row r="40" spans="1:56" s="136" customFormat="1" ht="14.45" customHeight="1">
      <c r="A40" s="131"/>
      <c r="B40" s="132"/>
      <c r="C40" s="133"/>
      <c r="D40" s="134"/>
      <c r="E40" s="134"/>
      <c r="F40" s="134"/>
      <c r="G40" s="134"/>
      <c r="H40" s="134"/>
      <c r="I40" s="134"/>
      <c r="J40" s="134"/>
      <c r="K40" s="134"/>
      <c r="L40" s="135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Z40" s="121" t="s">
        <v>171</v>
      </c>
      <c r="BA40" s="121" t="s">
        <v>1</v>
      </c>
      <c r="BB40" s="121" t="s">
        <v>1</v>
      </c>
      <c r="BC40" s="121" t="s">
        <v>172</v>
      </c>
      <c r="BD40" s="121" t="s">
        <v>92</v>
      </c>
    </row>
    <row r="41" spans="2:12" ht="14.45" customHeight="1">
      <c r="B41" s="126"/>
      <c r="L41" s="125"/>
    </row>
    <row r="42" spans="2:12" ht="14.45" customHeight="1">
      <c r="B42" s="126"/>
      <c r="L42" s="125"/>
    </row>
    <row r="43" spans="2:12" ht="14.45" customHeight="1">
      <c r="B43" s="126"/>
      <c r="L43" s="125"/>
    </row>
    <row r="44" spans="2:12" ht="14.45" customHeight="1">
      <c r="B44" s="126"/>
      <c r="L44" s="125"/>
    </row>
    <row r="45" spans="2:12" ht="14.45" customHeight="1">
      <c r="B45" s="126"/>
      <c r="L45" s="125"/>
    </row>
    <row r="46" spans="2:12" ht="14.45" customHeight="1">
      <c r="B46" s="126"/>
      <c r="L46" s="125"/>
    </row>
    <row r="47" spans="2:12" ht="14.45" customHeight="1">
      <c r="B47" s="126"/>
      <c r="L47" s="125"/>
    </row>
    <row r="48" spans="2:12" ht="14.45" customHeight="1">
      <c r="B48" s="126"/>
      <c r="L48" s="125"/>
    </row>
    <row r="49" spans="2:12" s="136" customFormat="1" ht="14.45" customHeight="1">
      <c r="B49" s="163"/>
      <c r="C49" s="133"/>
      <c r="D49" s="164" t="s">
        <v>55</v>
      </c>
      <c r="E49" s="165"/>
      <c r="F49" s="165"/>
      <c r="G49" s="164" t="s">
        <v>56</v>
      </c>
      <c r="H49" s="165"/>
      <c r="I49" s="165"/>
      <c r="J49" s="165"/>
      <c r="K49" s="165"/>
      <c r="L49" s="135"/>
    </row>
    <row r="50" spans="2:12" ht="12">
      <c r="B50" s="126"/>
      <c r="L50" s="125"/>
    </row>
    <row r="51" spans="2:12" ht="12">
      <c r="B51" s="126"/>
      <c r="L51" s="125"/>
    </row>
    <row r="52" spans="2:12" ht="12">
      <c r="B52" s="126"/>
      <c r="L52" s="125"/>
    </row>
    <row r="53" spans="2:12" ht="12">
      <c r="B53" s="126"/>
      <c r="L53" s="125"/>
    </row>
    <row r="54" spans="2:12" ht="12">
      <c r="B54" s="126"/>
      <c r="L54" s="125"/>
    </row>
    <row r="55" spans="2:12" ht="12">
      <c r="B55" s="126"/>
      <c r="L55" s="125"/>
    </row>
    <row r="56" spans="2:12" ht="12">
      <c r="B56" s="126"/>
      <c r="L56" s="125"/>
    </row>
    <row r="57" spans="2:12" ht="12">
      <c r="B57" s="126"/>
      <c r="L57" s="125"/>
    </row>
    <row r="58" spans="2:12" ht="12">
      <c r="B58" s="126"/>
      <c r="L58" s="125"/>
    </row>
    <row r="59" spans="2:12" ht="12">
      <c r="B59" s="126"/>
      <c r="L59" s="125"/>
    </row>
    <row r="60" spans="1:31" s="136" customFormat="1" ht="12.75">
      <c r="A60" s="131"/>
      <c r="B60" s="132"/>
      <c r="C60" s="133"/>
      <c r="D60" s="166" t="s">
        <v>57</v>
      </c>
      <c r="E60" s="167"/>
      <c r="F60" s="168" t="s">
        <v>58</v>
      </c>
      <c r="G60" s="166" t="s">
        <v>57</v>
      </c>
      <c r="H60" s="167"/>
      <c r="I60" s="167"/>
      <c r="J60" s="169" t="s">
        <v>58</v>
      </c>
      <c r="K60" s="167"/>
      <c r="L60" s="135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</row>
    <row r="61" spans="2:12" ht="12">
      <c r="B61" s="126"/>
      <c r="L61" s="125"/>
    </row>
    <row r="62" spans="2:12" ht="12">
      <c r="B62" s="126"/>
      <c r="L62" s="125"/>
    </row>
    <row r="63" spans="2:12" ht="12">
      <c r="B63" s="126"/>
      <c r="L63" s="125"/>
    </row>
    <row r="64" spans="1:31" s="136" customFormat="1" ht="12.75">
      <c r="A64" s="131"/>
      <c r="B64" s="132"/>
      <c r="C64" s="133"/>
      <c r="D64" s="164" t="s">
        <v>59</v>
      </c>
      <c r="E64" s="170"/>
      <c r="F64" s="170"/>
      <c r="G64" s="164" t="s">
        <v>60</v>
      </c>
      <c r="H64" s="170"/>
      <c r="I64" s="170"/>
      <c r="J64" s="170"/>
      <c r="K64" s="170"/>
      <c r="L64" s="135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</row>
    <row r="65" spans="2:12" ht="12">
      <c r="B65" s="126"/>
      <c r="L65" s="125"/>
    </row>
    <row r="66" spans="2:12" ht="12">
      <c r="B66" s="126"/>
      <c r="L66" s="125"/>
    </row>
    <row r="67" spans="2:12" ht="12">
      <c r="B67" s="126"/>
      <c r="L67" s="125"/>
    </row>
    <row r="68" spans="2:12" ht="12">
      <c r="B68" s="126"/>
      <c r="L68" s="125"/>
    </row>
    <row r="69" spans="2:12" ht="12">
      <c r="B69" s="126"/>
      <c r="L69" s="125"/>
    </row>
    <row r="70" spans="2:12" ht="12">
      <c r="B70" s="126"/>
      <c r="L70" s="125"/>
    </row>
    <row r="71" spans="2:12" ht="12">
      <c r="B71" s="126"/>
      <c r="L71" s="125"/>
    </row>
    <row r="72" spans="2:12" ht="12">
      <c r="B72" s="126"/>
      <c r="L72" s="125"/>
    </row>
    <row r="73" spans="2:12" ht="12">
      <c r="B73" s="126"/>
      <c r="L73" s="125"/>
    </row>
    <row r="74" spans="2:12" ht="12">
      <c r="B74" s="126"/>
      <c r="L74" s="125"/>
    </row>
    <row r="75" spans="1:31" s="136" customFormat="1" ht="12.75">
      <c r="A75" s="131"/>
      <c r="B75" s="132"/>
      <c r="C75" s="133"/>
      <c r="D75" s="166" t="s">
        <v>57</v>
      </c>
      <c r="E75" s="167"/>
      <c r="F75" s="168" t="s">
        <v>58</v>
      </c>
      <c r="G75" s="166" t="s">
        <v>57</v>
      </c>
      <c r="H75" s="167"/>
      <c r="I75" s="167"/>
      <c r="J75" s="169" t="s">
        <v>58</v>
      </c>
      <c r="K75" s="167"/>
      <c r="L75" s="135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</row>
    <row r="76" spans="1:31" s="136" customFormat="1" ht="14.45" customHeight="1">
      <c r="A76" s="131"/>
      <c r="B76" s="171"/>
      <c r="C76" s="172"/>
      <c r="D76" s="173"/>
      <c r="E76" s="173"/>
      <c r="F76" s="173"/>
      <c r="G76" s="173"/>
      <c r="H76" s="173"/>
      <c r="I76" s="173"/>
      <c r="J76" s="173"/>
      <c r="K76" s="173"/>
      <c r="L76" s="135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</row>
    <row r="80" spans="1:31" s="136" customFormat="1" ht="6.95" customHeight="1">
      <c r="A80" s="131"/>
      <c r="B80" s="174"/>
      <c r="C80" s="175"/>
      <c r="D80" s="176"/>
      <c r="E80" s="176"/>
      <c r="F80" s="176"/>
      <c r="G80" s="176"/>
      <c r="H80" s="176"/>
      <c r="I80" s="176"/>
      <c r="J80" s="176"/>
      <c r="K80" s="176"/>
      <c r="L80" s="135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</row>
    <row r="81" spans="1:31" s="136" customFormat="1" ht="24.95" customHeight="1">
      <c r="A81" s="131"/>
      <c r="B81" s="132"/>
      <c r="C81" s="177" t="s">
        <v>173</v>
      </c>
      <c r="D81" s="134"/>
      <c r="E81" s="134"/>
      <c r="F81" s="134"/>
      <c r="G81" s="134"/>
      <c r="H81" s="134"/>
      <c r="I81" s="134"/>
      <c r="J81" s="134"/>
      <c r="K81" s="134"/>
      <c r="L81" s="135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</row>
    <row r="82" spans="1:31" s="136" customFormat="1" ht="6.95" customHeight="1">
      <c r="A82" s="131"/>
      <c r="B82" s="132"/>
      <c r="C82" s="133"/>
      <c r="D82" s="134"/>
      <c r="E82" s="134"/>
      <c r="F82" s="134"/>
      <c r="G82" s="134"/>
      <c r="H82" s="134"/>
      <c r="I82" s="134"/>
      <c r="J82" s="134"/>
      <c r="K82" s="134"/>
      <c r="L82" s="135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</row>
    <row r="83" spans="1:31" s="136" customFormat="1" ht="12" customHeight="1">
      <c r="A83" s="131"/>
      <c r="B83" s="132"/>
      <c r="C83" s="178" t="s">
        <v>14</v>
      </c>
      <c r="D83" s="134"/>
      <c r="E83" s="134"/>
      <c r="F83" s="134"/>
      <c r="G83" s="134"/>
      <c r="H83" s="134"/>
      <c r="I83" s="134"/>
      <c r="J83" s="134"/>
      <c r="K83" s="134"/>
      <c r="L83" s="135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</row>
    <row r="84" spans="1:31" s="136" customFormat="1" ht="16.5" customHeight="1">
      <c r="A84" s="131"/>
      <c r="B84" s="132"/>
      <c r="C84" s="133"/>
      <c r="D84" s="134"/>
      <c r="E84" s="179" t="str">
        <f>E7</f>
        <v>MB Vodkova, oprava vodovodu a kanalizace</v>
      </c>
      <c r="F84" s="179"/>
      <c r="G84" s="129"/>
      <c r="H84" s="134"/>
      <c r="I84" s="129"/>
      <c r="J84" s="134"/>
      <c r="K84" s="134"/>
      <c r="L84" s="135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</row>
    <row r="85" spans="1:31" s="136" customFormat="1" ht="12" customHeight="1">
      <c r="A85" s="131"/>
      <c r="B85" s="132"/>
      <c r="C85" s="178" t="s">
        <v>108</v>
      </c>
      <c r="D85" s="134"/>
      <c r="E85" s="134"/>
      <c r="F85" s="134"/>
      <c r="G85" s="134"/>
      <c r="H85" s="134"/>
      <c r="I85" s="134"/>
      <c r="J85" s="134"/>
      <c r="K85" s="134"/>
      <c r="L85" s="135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</row>
    <row r="86" spans="1:31" s="136" customFormat="1" ht="16.5" customHeight="1">
      <c r="A86" s="131"/>
      <c r="B86" s="132"/>
      <c r="C86" s="133"/>
      <c r="D86" s="134"/>
      <c r="E86" s="137" t="str">
        <f>E9</f>
        <v>1976-1 - IO 01-Vodovod</v>
      </c>
      <c r="F86" s="137"/>
      <c r="G86" s="134"/>
      <c r="H86" s="134"/>
      <c r="I86" s="134"/>
      <c r="J86" s="134"/>
      <c r="K86" s="134"/>
      <c r="L86" s="135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</row>
    <row r="87" spans="1:31" s="136" customFormat="1" ht="6.95" customHeight="1">
      <c r="A87" s="131"/>
      <c r="B87" s="132"/>
      <c r="C87" s="133"/>
      <c r="D87" s="134"/>
      <c r="E87" s="134"/>
      <c r="F87" s="134"/>
      <c r="G87" s="134"/>
      <c r="H87" s="134"/>
      <c r="I87" s="134"/>
      <c r="J87" s="134"/>
      <c r="K87" s="134"/>
      <c r="L87" s="135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</row>
    <row r="88" spans="1:31" s="136" customFormat="1" ht="12" customHeight="1">
      <c r="A88" s="131"/>
      <c r="B88" s="132"/>
      <c r="C88" s="178" t="s">
        <v>19</v>
      </c>
      <c r="D88" s="134"/>
      <c r="E88" s="134"/>
      <c r="F88" s="138" t="str">
        <f>F12</f>
        <v>Mladá Boleslav</v>
      </c>
      <c r="G88" s="134"/>
      <c r="H88" s="129" t="s">
        <v>21</v>
      </c>
      <c r="I88" s="134"/>
      <c r="J88" s="139"/>
      <c r="K88" s="134"/>
      <c r="L88" s="135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</row>
    <row r="89" spans="1:31" s="136" customFormat="1" ht="6.95" customHeight="1">
      <c r="A89" s="131"/>
      <c r="B89" s="132"/>
      <c r="C89" s="133"/>
      <c r="D89" s="134"/>
      <c r="E89" s="134"/>
      <c r="F89" s="134"/>
      <c r="G89" s="134"/>
      <c r="H89" s="134"/>
      <c r="I89" s="134"/>
      <c r="J89" s="134"/>
      <c r="K89" s="134"/>
      <c r="L89" s="135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</row>
    <row r="90" spans="1:31" s="136" customFormat="1" ht="15.2" customHeight="1">
      <c r="A90" s="131"/>
      <c r="B90" s="132"/>
      <c r="C90" s="178" t="s">
        <v>27</v>
      </c>
      <c r="D90" s="134"/>
      <c r="E90" s="134"/>
      <c r="F90" s="138" t="str">
        <f>E15</f>
        <v>Vodovody a kanalizace Mladá Boleslav, a.s.</v>
      </c>
      <c r="G90" s="134"/>
      <c r="H90" s="129" t="s">
        <v>35</v>
      </c>
      <c r="I90" s="134"/>
      <c r="J90" s="146" t="str">
        <f>E21</f>
        <v>Ing. Petr Čepický</v>
      </c>
      <c r="K90" s="134"/>
      <c r="L90" s="135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</row>
    <row r="91" spans="1:31" s="136" customFormat="1" ht="15.2" customHeight="1">
      <c r="A91" s="131"/>
      <c r="B91" s="132"/>
      <c r="C91" s="178" t="s">
        <v>33</v>
      </c>
      <c r="D91" s="134"/>
      <c r="E91" s="134"/>
      <c r="F91" s="138" t="str">
        <f>IF(E18="","",E18)</f>
        <v xml:space="preserve"> </v>
      </c>
      <c r="G91" s="134"/>
      <c r="H91" s="129" t="s">
        <v>40</v>
      </c>
      <c r="I91" s="134"/>
      <c r="J91" s="146" t="str">
        <f>E24</f>
        <v>Ing. Petr Čepický</v>
      </c>
      <c r="K91" s="134"/>
      <c r="L91" s="135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</row>
    <row r="92" spans="1:31" s="136" customFormat="1" ht="10.35" customHeight="1">
      <c r="A92" s="131"/>
      <c r="B92" s="132"/>
      <c r="C92" s="133"/>
      <c r="D92" s="134"/>
      <c r="E92" s="134"/>
      <c r="F92" s="134"/>
      <c r="G92" s="134"/>
      <c r="H92" s="134"/>
      <c r="I92" s="134"/>
      <c r="J92" s="134"/>
      <c r="K92" s="134"/>
      <c r="L92" s="135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</row>
    <row r="93" spans="1:31" s="136" customFormat="1" ht="29.25" customHeight="1">
      <c r="A93" s="131"/>
      <c r="B93" s="132"/>
      <c r="C93" s="180" t="s">
        <v>174</v>
      </c>
      <c r="D93" s="134"/>
      <c r="E93" s="134"/>
      <c r="F93" s="134"/>
      <c r="G93" s="134"/>
      <c r="H93" s="134"/>
      <c r="I93" s="134"/>
      <c r="J93" s="181" t="s">
        <v>175</v>
      </c>
      <c r="K93" s="134"/>
      <c r="L93" s="135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</row>
    <row r="94" spans="1:31" s="136" customFormat="1" ht="10.35" customHeight="1">
      <c r="A94" s="131"/>
      <c r="B94" s="132"/>
      <c r="C94" s="133"/>
      <c r="D94" s="134"/>
      <c r="E94" s="134"/>
      <c r="F94" s="134"/>
      <c r="G94" s="134"/>
      <c r="H94" s="134"/>
      <c r="I94" s="134"/>
      <c r="J94" s="134"/>
      <c r="K94" s="134"/>
      <c r="L94" s="135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</row>
    <row r="95" spans="1:47" s="136" customFormat="1" ht="22.9" customHeight="1">
      <c r="A95" s="131"/>
      <c r="B95" s="132"/>
      <c r="C95" s="182" t="s">
        <v>176</v>
      </c>
      <c r="D95" s="134"/>
      <c r="E95" s="134"/>
      <c r="F95" s="134"/>
      <c r="G95" s="134"/>
      <c r="H95" s="134"/>
      <c r="I95" s="134"/>
      <c r="J95" s="152">
        <f>SUM(J96,J106,J108)</f>
        <v>0</v>
      </c>
      <c r="K95" s="134"/>
      <c r="L95" s="135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U95" s="120" t="s">
        <v>177</v>
      </c>
    </row>
    <row r="96" spans="2:12" s="183" customFormat="1" ht="24.95" customHeight="1">
      <c r="B96" s="184"/>
      <c r="C96" s="185"/>
      <c r="D96" s="186" t="s">
        <v>178</v>
      </c>
      <c r="E96" s="187"/>
      <c r="F96" s="187"/>
      <c r="G96" s="187"/>
      <c r="H96" s="187"/>
      <c r="I96" s="187"/>
      <c r="J96" s="188">
        <f>SUM(J97:J105)</f>
        <v>0</v>
      </c>
      <c r="K96" s="189"/>
      <c r="L96" s="190"/>
    </row>
    <row r="97" spans="2:12" s="191" customFormat="1" ht="19.9" customHeight="1">
      <c r="B97" s="192"/>
      <c r="C97" s="193"/>
      <c r="D97" s="194" t="s">
        <v>179</v>
      </c>
      <c r="E97" s="195"/>
      <c r="F97" s="195"/>
      <c r="G97" s="195"/>
      <c r="H97" s="195"/>
      <c r="I97" s="195"/>
      <c r="J97" s="196">
        <f>J130</f>
        <v>0</v>
      </c>
      <c r="K97" s="197"/>
      <c r="L97" s="198"/>
    </row>
    <row r="98" spans="2:12" s="191" customFormat="1" ht="19.9" customHeight="1">
      <c r="B98" s="192"/>
      <c r="C98" s="193"/>
      <c r="D98" s="194" t="s">
        <v>180</v>
      </c>
      <c r="E98" s="195"/>
      <c r="F98" s="195"/>
      <c r="G98" s="195"/>
      <c r="H98" s="195"/>
      <c r="I98" s="195"/>
      <c r="J98" s="196">
        <f>J210</f>
        <v>0</v>
      </c>
      <c r="K98" s="197"/>
      <c r="L98" s="198"/>
    </row>
    <row r="99" spans="2:12" s="191" customFormat="1" ht="19.9" customHeight="1">
      <c r="B99" s="192"/>
      <c r="C99" s="193"/>
      <c r="D99" s="194" t="s">
        <v>181</v>
      </c>
      <c r="E99" s="195"/>
      <c r="F99" s="195"/>
      <c r="G99" s="195"/>
      <c r="H99" s="195"/>
      <c r="I99" s="195"/>
      <c r="J99" s="196">
        <f>J213</f>
        <v>0</v>
      </c>
      <c r="K99" s="197"/>
      <c r="L99" s="198"/>
    </row>
    <row r="100" spans="2:12" s="191" customFormat="1" ht="19.9" customHeight="1">
      <c r="B100" s="192"/>
      <c r="C100" s="193"/>
      <c r="D100" s="194" t="s">
        <v>182</v>
      </c>
      <c r="E100" s="195"/>
      <c r="F100" s="195"/>
      <c r="G100" s="195"/>
      <c r="H100" s="195"/>
      <c r="I100" s="195"/>
      <c r="J100" s="196">
        <f>J225</f>
        <v>0</v>
      </c>
      <c r="K100" s="197"/>
      <c r="L100" s="198"/>
    </row>
    <row r="101" spans="2:12" s="191" customFormat="1" ht="19.9" customHeight="1">
      <c r="B101" s="192"/>
      <c r="C101" s="193"/>
      <c r="D101" s="194" t="s">
        <v>183</v>
      </c>
      <c r="E101" s="195"/>
      <c r="F101" s="195"/>
      <c r="G101" s="195"/>
      <c r="H101" s="195"/>
      <c r="I101" s="195"/>
      <c r="J101" s="196">
        <f>J236</f>
        <v>0</v>
      </c>
      <c r="K101" s="197"/>
      <c r="L101" s="198"/>
    </row>
    <row r="102" spans="2:12" s="191" customFormat="1" ht="19.9" customHeight="1">
      <c r="B102" s="192"/>
      <c r="C102" s="193"/>
      <c r="D102" s="194" t="s">
        <v>184</v>
      </c>
      <c r="E102" s="195"/>
      <c r="F102" s="195"/>
      <c r="G102" s="195"/>
      <c r="H102" s="195"/>
      <c r="I102" s="195"/>
      <c r="J102" s="196">
        <f>J310</f>
        <v>0</v>
      </c>
      <c r="K102" s="197"/>
      <c r="L102" s="198"/>
    </row>
    <row r="103" spans="2:12" s="191" customFormat="1" ht="14.85" customHeight="1">
      <c r="B103" s="192"/>
      <c r="C103" s="193"/>
      <c r="D103" s="194" t="s">
        <v>185</v>
      </c>
      <c r="E103" s="195"/>
      <c r="F103" s="195"/>
      <c r="G103" s="195"/>
      <c r="H103" s="195"/>
      <c r="I103" s="195"/>
      <c r="J103" s="196">
        <f>J317</f>
        <v>0</v>
      </c>
      <c r="K103" s="197"/>
      <c r="L103" s="198"/>
    </row>
    <row r="104" spans="2:12" s="191" customFormat="1" ht="19.9" customHeight="1">
      <c r="B104" s="192"/>
      <c r="C104" s="193"/>
      <c r="D104" s="194" t="s">
        <v>186</v>
      </c>
      <c r="E104" s="195"/>
      <c r="F104" s="195"/>
      <c r="G104" s="195"/>
      <c r="H104" s="195"/>
      <c r="I104" s="195"/>
      <c r="J104" s="196">
        <f>J336</f>
        <v>0</v>
      </c>
      <c r="K104" s="197"/>
      <c r="L104" s="198"/>
    </row>
    <row r="105" spans="2:12" s="191" customFormat="1" ht="19.9" customHeight="1">
      <c r="B105" s="192"/>
      <c r="C105" s="193"/>
      <c r="D105" s="194" t="s">
        <v>187</v>
      </c>
      <c r="E105" s="195"/>
      <c r="F105" s="195"/>
      <c r="G105" s="195"/>
      <c r="H105" s="195"/>
      <c r="I105" s="195"/>
      <c r="J105" s="196">
        <f>J345</f>
        <v>0</v>
      </c>
      <c r="K105" s="197"/>
      <c r="L105" s="198"/>
    </row>
    <row r="106" spans="2:12" s="183" customFormat="1" ht="24.95" customHeight="1">
      <c r="B106" s="184"/>
      <c r="C106" s="185"/>
      <c r="D106" s="186" t="s">
        <v>188</v>
      </c>
      <c r="E106" s="187"/>
      <c r="F106" s="187"/>
      <c r="G106" s="187"/>
      <c r="H106" s="187"/>
      <c r="I106" s="187"/>
      <c r="J106" s="188">
        <f>J107</f>
        <v>0</v>
      </c>
      <c r="K106" s="189"/>
      <c r="L106" s="190"/>
    </row>
    <row r="107" spans="2:12" s="191" customFormat="1" ht="19.9" customHeight="1">
      <c r="B107" s="192"/>
      <c r="C107" s="193"/>
      <c r="D107" s="194" t="s">
        <v>189</v>
      </c>
      <c r="E107" s="195"/>
      <c r="F107" s="195"/>
      <c r="G107" s="195"/>
      <c r="H107" s="195"/>
      <c r="I107" s="195"/>
      <c r="J107" s="196">
        <f>J349</f>
        <v>0</v>
      </c>
      <c r="K107" s="197"/>
      <c r="L107" s="198"/>
    </row>
    <row r="108" spans="2:12" s="183" customFormat="1" ht="24.95" customHeight="1">
      <c r="B108" s="184"/>
      <c r="C108" s="185"/>
      <c r="D108" s="186" t="s">
        <v>190</v>
      </c>
      <c r="E108" s="187"/>
      <c r="F108" s="187"/>
      <c r="G108" s="187"/>
      <c r="H108" s="187"/>
      <c r="I108" s="187"/>
      <c r="J108" s="188">
        <f>J356</f>
        <v>0</v>
      </c>
      <c r="K108" s="189"/>
      <c r="L108" s="190"/>
    </row>
    <row r="109" spans="1:31" s="136" customFormat="1" ht="21.75" customHeight="1">
      <c r="A109" s="131"/>
      <c r="B109" s="132"/>
      <c r="C109" s="133"/>
      <c r="D109" s="134"/>
      <c r="E109" s="134"/>
      <c r="F109" s="134"/>
      <c r="G109" s="134"/>
      <c r="H109" s="134"/>
      <c r="I109" s="134"/>
      <c r="J109" s="134"/>
      <c r="K109" s="134"/>
      <c r="L109" s="135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</row>
    <row r="110" spans="1:31" s="136" customFormat="1" ht="6.95" customHeight="1">
      <c r="A110" s="131"/>
      <c r="B110" s="171"/>
      <c r="C110" s="172"/>
      <c r="D110" s="173"/>
      <c r="E110" s="173"/>
      <c r="F110" s="173"/>
      <c r="G110" s="173"/>
      <c r="H110" s="173"/>
      <c r="I110" s="173"/>
      <c r="J110" s="173"/>
      <c r="K110" s="173"/>
      <c r="L110" s="135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</row>
    <row r="114" spans="1:31" s="136" customFormat="1" ht="6.95" customHeight="1">
      <c r="A114" s="131"/>
      <c r="B114" s="174"/>
      <c r="C114" s="175"/>
      <c r="D114" s="176"/>
      <c r="E114" s="176"/>
      <c r="F114" s="176"/>
      <c r="G114" s="176"/>
      <c r="H114" s="176"/>
      <c r="I114" s="176"/>
      <c r="J114" s="176"/>
      <c r="K114" s="176"/>
      <c r="L114" s="135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</row>
    <row r="115" spans="1:31" s="136" customFormat="1" ht="24.95" customHeight="1">
      <c r="A115" s="131"/>
      <c r="B115" s="132"/>
      <c r="C115" s="177" t="s">
        <v>191</v>
      </c>
      <c r="D115" s="134"/>
      <c r="E115" s="134"/>
      <c r="F115" s="134"/>
      <c r="G115" s="134"/>
      <c r="H115" s="134"/>
      <c r="I115" s="134"/>
      <c r="J115" s="134"/>
      <c r="K115" s="134"/>
      <c r="L115" s="135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</row>
    <row r="116" spans="1:31" s="136" customFormat="1" ht="6.95" customHeight="1">
      <c r="A116" s="131"/>
      <c r="B116" s="132"/>
      <c r="C116" s="133"/>
      <c r="D116" s="134"/>
      <c r="E116" s="134"/>
      <c r="F116" s="134"/>
      <c r="G116" s="134"/>
      <c r="H116" s="134"/>
      <c r="I116" s="134"/>
      <c r="J116" s="134"/>
      <c r="K116" s="134"/>
      <c r="L116" s="135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</row>
    <row r="117" spans="1:31" s="136" customFormat="1" ht="12" customHeight="1">
      <c r="A117" s="131"/>
      <c r="B117" s="132"/>
      <c r="C117" s="178" t="s">
        <v>14</v>
      </c>
      <c r="D117" s="134"/>
      <c r="E117" s="134"/>
      <c r="F117" s="134"/>
      <c r="G117" s="134"/>
      <c r="H117" s="134"/>
      <c r="I117" s="134"/>
      <c r="J117" s="134"/>
      <c r="K117" s="134"/>
      <c r="L117" s="135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</row>
    <row r="118" spans="1:31" s="136" customFormat="1" ht="16.5" customHeight="1">
      <c r="A118" s="131"/>
      <c r="B118" s="132"/>
      <c r="C118" s="133"/>
      <c r="D118" s="134"/>
      <c r="E118" s="179" t="str">
        <f>E7</f>
        <v>MB Vodkova, oprava vodovodu a kanalizace</v>
      </c>
      <c r="F118" s="179"/>
      <c r="G118" s="129"/>
      <c r="H118" s="134"/>
      <c r="I118" s="129"/>
      <c r="J118" s="134"/>
      <c r="K118" s="134"/>
      <c r="L118" s="135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</row>
    <row r="119" spans="1:31" s="136" customFormat="1" ht="12" customHeight="1">
      <c r="A119" s="131"/>
      <c r="B119" s="132"/>
      <c r="C119" s="178" t="s">
        <v>108</v>
      </c>
      <c r="D119" s="134"/>
      <c r="E119" s="134"/>
      <c r="F119" s="134"/>
      <c r="G119" s="134"/>
      <c r="H119" s="134"/>
      <c r="I119" s="134"/>
      <c r="J119" s="134"/>
      <c r="K119" s="134"/>
      <c r="L119" s="135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</row>
    <row r="120" spans="1:31" s="136" customFormat="1" ht="16.5" customHeight="1">
      <c r="A120" s="131"/>
      <c r="B120" s="132"/>
      <c r="C120" s="133"/>
      <c r="D120" s="134"/>
      <c r="E120" s="137" t="str">
        <f>E9</f>
        <v>1976-1 - IO 01-Vodovod</v>
      </c>
      <c r="F120" s="137"/>
      <c r="G120" s="134"/>
      <c r="H120" s="134"/>
      <c r="I120" s="134"/>
      <c r="J120" s="134"/>
      <c r="K120" s="134"/>
      <c r="L120" s="135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</row>
    <row r="121" spans="1:31" s="136" customFormat="1" ht="6.95" customHeight="1">
      <c r="A121" s="131"/>
      <c r="B121" s="132"/>
      <c r="C121" s="133"/>
      <c r="D121" s="134"/>
      <c r="E121" s="134"/>
      <c r="F121" s="134"/>
      <c r="G121" s="134"/>
      <c r="H121" s="134"/>
      <c r="I121" s="134"/>
      <c r="J121" s="134"/>
      <c r="K121" s="134"/>
      <c r="L121" s="135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</row>
    <row r="122" spans="1:31" s="136" customFormat="1" ht="12" customHeight="1">
      <c r="A122" s="131"/>
      <c r="B122" s="132"/>
      <c r="C122" s="178" t="s">
        <v>19</v>
      </c>
      <c r="D122" s="134"/>
      <c r="E122" s="134"/>
      <c r="F122" s="138" t="str">
        <f>F12</f>
        <v>Mladá Boleslav</v>
      </c>
      <c r="G122" s="134"/>
      <c r="H122" s="129" t="s">
        <v>21</v>
      </c>
      <c r="I122" s="134"/>
      <c r="J122" s="139" t="str">
        <f>IF(J12="","",J12)</f>
        <v/>
      </c>
      <c r="K122" s="134"/>
      <c r="L122" s="135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</row>
    <row r="123" spans="1:31" s="136" customFormat="1" ht="6.95" customHeight="1">
      <c r="A123" s="131"/>
      <c r="B123" s="132"/>
      <c r="C123" s="133"/>
      <c r="D123" s="134"/>
      <c r="E123" s="134"/>
      <c r="F123" s="134"/>
      <c r="G123" s="134"/>
      <c r="H123" s="134"/>
      <c r="I123" s="134"/>
      <c r="J123" s="134"/>
      <c r="K123" s="134"/>
      <c r="L123" s="135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</row>
    <row r="124" spans="1:31" s="136" customFormat="1" ht="15.2" customHeight="1">
      <c r="A124" s="131"/>
      <c r="B124" s="132"/>
      <c r="C124" s="178" t="s">
        <v>27</v>
      </c>
      <c r="D124" s="134"/>
      <c r="E124" s="134"/>
      <c r="F124" s="138" t="str">
        <f>E15</f>
        <v>Vodovody a kanalizace Mladá Boleslav, a.s.</v>
      </c>
      <c r="G124" s="134"/>
      <c r="H124" s="129" t="s">
        <v>35</v>
      </c>
      <c r="I124" s="134"/>
      <c r="J124" s="146" t="str">
        <f>E21</f>
        <v>Ing. Petr Čepický</v>
      </c>
      <c r="K124" s="134"/>
      <c r="L124" s="135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</row>
    <row r="125" spans="1:31" s="136" customFormat="1" ht="15.2" customHeight="1">
      <c r="A125" s="131"/>
      <c r="B125" s="132"/>
      <c r="C125" s="178" t="s">
        <v>33</v>
      </c>
      <c r="D125" s="134"/>
      <c r="E125" s="134"/>
      <c r="F125" s="138" t="str">
        <f>IF(E18="","",E18)</f>
        <v xml:space="preserve"> </v>
      </c>
      <c r="G125" s="134"/>
      <c r="H125" s="129" t="s">
        <v>40</v>
      </c>
      <c r="I125" s="134"/>
      <c r="J125" s="146" t="str">
        <f>E24</f>
        <v>Ing. Petr Čepický</v>
      </c>
      <c r="K125" s="134"/>
      <c r="L125" s="135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</row>
    <row r="126" spans="1:31" s="136" customFormat="1" ht="10.35" customHeight="1">
      <c r="A126" s="131"/>
      <c r="B126" s="132"/>
      <c r="C126" s="133"/>
      <c r="D126" s="134"/>
      <c r="E126" s="134"/>
      <c r="F126" s="134"/>
      <c r="G126" s="134"/>
      <c r="H126" s="134"/>
      <c r="I126" s="134"/>
      <c r="J126" s="134"/>
      <c r="K126" s="134"/>
      <c r="L126" s="135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</row>
    <row r="127" spans="1:31" s="209" customFormat="1" ht="29.25" customHeight="1">
      <c r="A127" s="199"/>
      <c r="B127" s="200"/>
      <c r="C127" s="201" t="s">
        <v>192</v>
      </c>
      <c r="D127" s="202" t="s">
        <v>67</v>
      </c>
      <c r="E127" s="202" t="s">
        <v>63</v>
      </c>
      <c r="F127" s="202" t="s">
        <v>64</v>
      </c>
      <c r="G127" s="202" t="s">
        <v>193</v>
      </c>
      <c r="H127" s="202" t="s">
        <v>195</v>
      </c>
      <c r="I127" s="202" t="s">
        <v>194</v>
      </c>
      <c r="J127" s="203" t="s">
        <v>175</v>
      </c>
      <c r="K127" s="204" t="s">
        <v>196</v>
      </c>
      <c r="L127" s="205"/>
      <c r="M127" s="206" t="s">
        <v>1</v>
      </c>
      <c r="N127" s="207" t="s">
        <v>46</v>
      </c>
      <c r="O127" s="207" t="s">
        <v>197</v>
      </c>
      <c r="P127" s="207" t="s">
        <v>198</v>
      </c>
      <c r="Q127" s="207" t="s">
        <v>199</v>
      </c>
      <c r="R127" s="207" t="s">
        <v>200</v>
      </c>
      <c r="S127" s="207" t="s">
        <v>201</v>
      </c>
      <c r="T127" s="208" t="s">
        <v>202</v>
      </c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</row>
    <row r="128" spans="1:63" s="136" customFormat="1" ht="22.9" customHeight="1">
      <c r="A128" s="131"/>
      <c r="B128" s="132"/>
      <c r="C128" s="182" t="s">
        <v>203</v>
      </c>
      <c r="D128" s="134"/>
      <c r="E128" s="134"/>
      <c r="F128" s="134"/>
      <c r="G128" s="134"/>
      <c r="H128" s="134"/>
      <c r="I128" s="134"/>
      <c r="J128" s="210">
        <f>J95</f>
        <v>0</v>
      </c>
      <c r="K128" s="134"/>
      <c r="L128" s="211"/>
      <c r="M128" s="212"/>
      <c r="N128" s="213"/>
      <c r="O128" s="214"/>
      <c r="P128" s="215" t="e">
        <f>P129+P348+P356</f>
        <v>#REF!</v>
      </c>
      <c r="Q128" s="214"/>
      <c r="R128" s="215" t="e">
        <f>R129+R348+R356</f>
        <v>#REF!</v>
      </c>
      <c r="S128" s="214"/>
      <c r="T128" s="216">
        <f>T129+T348+T356</f>
        <v>289.14725</v>
      </c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T128" s="120" t="s">
        <v>81</v>
      </c>
      <c r="AU128" s="120" t="s">
        <v>177</v>
      </c>
      <c r="BK128" s="217" t="e">
        <f>BK129+BK348+BK356</f>
        <v>#REF!</v>
      </c>
    </row>
    <row r="129" spans="2:63" s="218" customFormat="1" ht="25.9" customHeight="1">
      <c r="B129" s="219"/>
      <c r="C129" s="220"/>
      <c r="D129" s="221" t="s">
        <v>81</v>
      </c>
      <c r="E129" s="222" t="s">
        <v>204</v>
      </c>
      <c r="F129" s="222" t="s">
        <v>205</v>
      </c>
      <c r="G129" s="223"/>
      <c r="H129" s="223"/>
      <c r="I129" s="223"/>
      <c r="J129" s="224">
        <f>J96</f>
        <v>0</v>
      </c>
      <c r="K129" s="223"/>
      <c r="L129" s="225"/>
      <c r="M129" s="226"/>
      <c r="N129" s="227"/>
      <c r="O129" s="227"/>
      <c r="P129" s="228">
        <f>P130+P210+P213+P225+P236+P310+P336+P345</f>
        <v>1705.0330479999996</v>
      </c>
      <c r="Q129" s="227"/>
      <c r="R129" s="228">
        <f>R130+R210+R213+R225+R236+R310+R336+R345</f>
        <v>706.75359333</v>
      </c>
      <c r="S129" s="227"/>
      <c r="T129" s="229">
        <f>T130+T210+T213+T225+T236+T310+T336+T345</f>
        <v>289.14725</v>
      </c>
      <c r="AR129" s="230" t="s">
        <v>18</v>
      </c>
      <c r="AT129" s="231" t="s">
        <v>81</v>
      </c>
      <c r="AU129" s="231" t="s">
        <v>82</v>
      </c>
      <c r="AY129" s="230" t="s">
        <v>206</v>
      </c>
      <c r="BK129" s="232">
        <f>BK130+BK210+BK213+BK225+BK236+BK310+BK336+BK345</f>
        <v>0</v>
      </c>
    </row>
    <row r="130" spans="2:63" s="218" customFormat="1" ht="22.9" customHeight="1">
      <c r="B130" s="219"/>
      <c r="C130" s="220"/>
      <c r="D130" s="221" t="s">
        <v>81</v>
      </c>
      <c r="E130" s="233" t="s">
        <v>18</v>
      </c>
      <c r="F130" s="233" t="s">
        <v>207</v>
      </c>
      <c r="G130" s="223"/>
      <c r="H130" s="223"/>
      <c r="I130" s="223"/>
      <c r="J130" s="234">
        <f>SUM(J131:J208)</f>
        <v>0</v>
      </c>
      <c r="K130" s="223"/>
      <c r="L130" s="225"/>
      <c r="M130" s="226"/>
      <c r="N130" s="227"/>
      <c r="O130" s="227"/>
      <c r="P130" s="228">
        <f>SUM(P131:P209)</f>
        <v>1140.3568029999997</v>
      </c>
      <c r="Q130" s="227"/>
      <c r="R130" s="228">
        <f>SUM(R131:R209)</f>
        <v>695.11063164</v>
      </c>
      <c r="S130" s="227"/>
      <c r="T130" s="229">
        <f>SUM(T131:T209)</f>
        <v>223.08724999999998</v>
      </c>
      <c r="AR130" s="230" t="s">
        <v>18</v>
      </c>
      <c r="AT130" s="231" t="s">
        <v>81</v>
      </c>
      <c r="AU130" s="231" t="s">
        <v>18</v>
      </c>
      <c r="AY130" s="230" t="s">
        <v>206</v>
      </c>
      <c r="BK130" s="232">
        <f>SUM(BK131:BK209)</f>
        <v>0</v>
      </c>
    </row>
    <row r="131" spans="1:65" s="136" customFormat="1" ht="21.75" customHeight="1">
      <c r="A131" s="131"/>
      <c r="B131" s="132"/>
      <c r="C131" s="235" t="s">
        <v>18</v>
      </c>
      <c r="D131" s="236" t="s">
        <v>208</v>
      </c>
      <c r="E131" s="237" t="s">
        <v>209</v>
      </c>
      <c r="F131" s="238" t="s">
        <v>210</v>
      </c>
      <c r="G131" s="239" t="s">
        <v>211</v>
      </c>
      <c r="H131" s="72"/>
      <c r="I131" s="241">
        <f>I153</f>
        <v>281.96999999999997</v>
      </c>
      <c r="J131" s="240">
        <f>ROUND($H131*I131,2)</f>
        <v>0</v>
      </c>
      <c r="K131" s="242"/>
      <c r="L131" s="211"/>
      <c r="M131" s="243" t="s">
        <v>1</v>
      </c>
      <c r="N131" s="244" t="s">
        <v>47</v>
      </c>
      <c r="O131" s="245">
        <v>0.035</v>
      </c>
      <c r="P131" s="245">
        <f>O131*I131</f>
        <v>9.86895</v>
      </c>
      <c r="Q131" s="245">
        <v>0</v>
      </c>
      <c r="R131" s="245">
        <f>Q131*I131</f>
        <v>0</v>
      </c>
      <c r="S131" s="245">
        <v>0.505</v>
      </c>
      <c r="T131" s="246">
        <f>S131*I131</f>
        <v>142.39485</v>
      </c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R131" s="247" t="s">
        <v>212</v>
      </c>
      <c r="AT131" s="247" t="s">
        <v>208</v>
      </c>
      <c r="AU131" s="247" t="s">
        <v>92</v>
      </c>
      <c r="AY131" s="120" t="s">
        <v>206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20" t="s">
        <v>18</v>
      </c>
      <c r="BK131" s="248">
        <f>ROUND(H131*I131,2)</f>
        <v>0</v>
      </c>
      <c r="BL131" s="120" t="s">
        <v>212</v>
      </c>
      <c r="BM131" s="247" t="s">
        <v>213</v>
      </c>
    </row>
    <row r="132" spans="2:51" s="249" customFormat="1" ht="12">
      <c r="B132" s="250"/>
      <c r="C132" s="133"/>
      <c r="D132" s="251" t="s">
        <v>214</v>
      </c>
      <c r="E132" s="252" t="s">
        <v>99</v>
      </c>
      <c r="F132" s="253" t="s">
        <v>215</v>
      </c>
      <c r="G132" s="254"/>
      <c r="H132" s="312"/>
      <c r="I132" s="255">
        <v>3.3</v>
      </c>
      <c r="J132" s="254"/>
      <c r="K132" s="254"/>
      <c r="L132" s="256"/>
      <c r="M132" s="257"/>
      <c r="N132" s="258"/>
      <c r="O132" s="258"/>
      <c r="P132" s="258"/>
      <c r="Q132" s="258"/>
      <c r="R132" s="258"/>
      <c r="S132" s="258"/>
      <c r="T132" s="259"/>
      <c r="AT132" s="260" t="s">
        <v>214</v>
      </c>
      <c r="AU132" s="260" t="s">
        <v>92</v>
      </c>
      <c r="AV132" s="249" t="s">
        <v>92</v>
      </c>
      <c r="AW132" s="249" t="s">
        <v>39</v>
      </c>
      <c r="AX132" s="249" t="s">
        <v>82</v>
      </c>
      <c r="AY132" s="260" t="s">
        <v>206</v>
      </c>
    </row>
    <row r="133" spans="2:51" s="249" customFormat="1" ht="12">
      <c r="B133" s="250"/>
      <c r="C133" s="133"/>
      <c r="D133" s="251" t="s">
        <v>214</v>
      </c>
      <c r="E133" s="252" t="s">
        <v>102</v>
      </c>
      <c r="F133" s="253" t="s">
        <v>216</v>
      </c>
      <c r="G133" s="254"/>
      <c r="H133" s="312"/>
      <c r="I133" s="255">
        <v>254.5</v>
      </c>
      <c r="J133" s="254"/>
      <c r="K133" s="254"/>
      <c r="L133" s="256"/>
      <c r="M133" s="257"/>
      <c r="N133" s="258"/>
      <c r="O133" s="258"/>
      <c r="P133" s="258"/>
      <c r="Q133" s="258"/>
      <c r="R133" s="258"/>
      <c r="S133" s="258"/>
      <c r="T133" s="259"/>
      <c r="AT133" s="260" t="s">
        <v>214</v>
      </c>
      <c r="AU133" s="260" t="s">
        <v>92</v>
      </c>
      <c r="AV133" s="249" t="s">
        <v>92</v>
      </c>
      <c r="AW133" s="249" t="s">
        <v>39</v>
      </c>
      <c r="AX133" s="249" t="s">
        <v>82</v>
      </c>
      <c r="AY133" s="260" t="s">
        <v>206</v>
      </c>
    </row>
    <row r="134" spans="2:51" s="249" customFormat="1" ht="12">
      <c r="B134" s="250"/>
      <c r="C134" s="133"/>
      <c r="D134" s="251" t="s">
        <v>214</v>
      </c>
      <c r="E134" s="252" t="s">
        <v>171</v>
      </c>
      <c r="F134" s="253" t="s">
        <v>217</v>
      </c>
      <c r="G134" s="254"/>
      <c r="H134" s="312"/>
      <c r="I134" s="255">
        <v>21.2</v>
      </c>
      <c r="J134" s="254"/>
      <c r="K134" s="254"/>
      <c r="L134" s="256"/>
      <c r="M134" s="257"/>
      <c r="N134" s="258"/>
      <c r="O134" s="258"/>
      <c r="P134" s="258"/>
      <c r="Q134" s="258"/>
      <c r="R134" s="258"/>
      <c r="S134" s="258"/>
      <c r="T134" s="259"/>
      <c r="AT134" s="260" t="s">
        <v>214</v>
      </c>
      <c r="AU134" s="260" t="s">
        <v>92</v>
      </c>
      <c r="AV134" s="249" t="s">
        <v>92</v>
      </c>
      <c r="AW134" s="249" t="s">
        <v>39</v>
      </c>
      <c r="AX134" s="249" t="s">
        <v>82</v>
      </c>
      <c r="AY134" s="260" t="s">
        <v>206</v>
      </c>
    </row>
    <row r="135" spans="2:51" s="261" customFormat="1" ht="12">
      <c r="B135" s="262"/>
      <c r="C135" s="133"/>
      <c r="D135" s="251" t="s">
        <v>214</v>
      </c>
      <c r="E135" s="263" t="s">
        <v>97</v>
      </c>
      <c r="F135" s="264" t="s">
        <v>218</v>
      </c>
      <c r="G135" s="265"/>
      <c r="H135" s="313"/>
      <c r="I135" s="266">
        <v>279</v>
      </c>
      <c r="J135" s="265"/>
      <c r="K135" s="265"/>
      <c r="L135" s="267"/>
      <c r="M135" s="268"/>
      <c r="N135" s="269"/>
      <c r="O135" s="269"/>
      <c r="P135" s="269"/>
      <c r="Q135" s="269"/>
      <c r="R135" s="269"/>
      <c r="S135" s="269"/>
      <c r="T135" s="270"/>
      <c r="AT135" s="271" t="s">
        <v>214</v>
      </c>
      <c r="AU135" s="271" t="s">
        <v>92</v>
      </c>
      <c r="AV135" s="261" t="s">
        <v>219</v>
      </c>
      <c r="AW135" s="261" t="s">
        <v>39</v>
      </c>
      <c r="AX135" s="261" t="s">
        <v>82</v>
      </c>
      <c r="AY135" s="271" t="s">
        <v>206</v>
      </c>
    </row>
    <row r="136" spans="2:51" s="249" customFormat="1" ht="22.5">
      <c r="B136" s="250"/>
      <c r="C136" s="133"/>
      <c r="D136" s="251" t="s">
        <v>214</v>
      </c>
      <c r="E136" s="252" t="s">
        <v>106</v>
      </c>
      <c r="F136" s="253" t="s">
        <v>220</v>
      </c>
      <c r="G136" s="254"/>
      <c r="H136" s="312"/>
      <c r="I136" s="255">
        <v>0</v>
      </c>
      <c r="J136" s="254"/>
      <c r="K136" s="254"/>
      <c r="L136" s="256"/>
      <c r="M136" s="257"/>
      <c r="N136" s="258"/>
      <c r="O136" s="258"/>
      <c r="P136" s="258"/>
      <c r="Q136" s="258"/>
      <c r="R136" s="258"/>
      <c r="S136" s="258"/>
      <c r="T136" s="259"/>
      <c r="AT136" s="260" t="s">
        <v>214</v>
      </c>
      <c r="AU136" s="260" t="s">
        <v>92</v>
      </c>
      <c r="AV136" s="249" t="s">
        <v>92</v>
      </c>
      <c r="AW136" s="249" t="s">
        <v>39</v>
      </c>
      <c r="AX136" s="249" t="s">
        <v>82</v>
      </c>
      <c r="AY136" s="260" t="s">
        <v>206</v>
      </c>
    </row>
    <row r="137" spans="2:51" s="261" customFormat="1" ht="12">
      <c r="B137" s="262"/>
      <c r="C137" s="133"/>
      <c r="D137" s="251" t="s">
        <v>214</v>
      </c>
      <c r="E137" s="263" t="s">
        <v>1</v>
      </c>
      <c r="F137" s="264" t="s">
        <v>218</v>
      </c>
      <c r="G137" s="265"/>
      <c r="H137" s="313"/>
      <c r="I137" s="266">
        <v>0</v>
      </c>
      <c r="J137" s="265"/>
      <c r="K137" s="265"/>
      <c r="L137" s="267"/>
      <c r="M137" s="268"/>
      <c r="N137" s="269"/>
      <c r="O137" s="269"/>
      <c r="P137" s="269"/>
      <c r="Q137" s="269"/>
      <c r="R137" s="269"/>
      <c r="S137" s="269"/>
      <c r="T137" s="270"/>
      <c r="AT137" s="271" t="s">
        <v>214</v>
      </c>
      <c r="AU137" s="271" t="s">
        <v>92</v>
      </c>
      <c r="AV137" s="261" t="s">
        <v>219</v>
      </c>
      <c r="AW137" s="261" t="s">
        <v>39</v>
      </c>
      <c r="AX137" s="261" t="s">
        <v>82</v>
      </c>
      <c r="AY137" s="271" t="s">
        <v>206</v>
      </c>
    </row>
    <row r="138" spans="2:51" s="249" customFormat="1" ht="22.5">
      <c r="B138" s="250"/>
      <c r="C138" s="133"/>
      <c r="D138" s="251" t="s">
        <v>214</v>
      </c>
      <c r="E138" s="252" t="s">
        <v>107</v>
      </c>
      <c r="F138" s="253" t="s">
        <v>221</v>
      </c>
      <c r="G138" s="254"/>
      <c r="H138" s="312"/>
      <c r="I138" s="255">
        <v>10.5</v>
      </c>
      <c r="J138" s="254"/>
      <c r="K138" s="254"/>
      <c r="L138" s="256"/>
      <c r="M138" s="257"/>
      <c r="N138" s="258"/>
      <c r="O138" s="258"/>
      <c r="P138" s="258"/>
      <c r="Q138" s="258"/>
      <c r="R138" s="258"/>
      <c r="S138" s="258"/>
      <c r="T138" s="259"/>
      <c r="AT138" s="260" t="s">
        <v>214</v>
      </c>
      <c r="AU138" s="260" t="s">
        <v>92</v>
      </c>
      <c r="AV138" s="249" t="s">
        <v>92</v>
      </c>
      <c r="AW138" s="249" t="s">
        <v>39</v>
      </c>
      <c r="AX138" s="249" t="s">
        <v>82</v>
      </c>
      <c r="AY138" s="260" t="s">
        <v>206</v>
      </c>
    </row>
    <row r="139" spans="2:51" s="261" customFormat="1" ht="12">
      <c r="B139" s="262"/>
      <c r="C139" s="133"/>
      <c r="D139" s="251" t="s">
        <v>214</v>
      </c>
      <c r="E139" s="263" t="s">
        <v>104</v>
      </c>
      <c r="F139" s="264" t="s">
        <v>218</v>
      </c>
      <c r="G139" s="265"/>
      <c r="H139" s="313"/>
      <c r="I139" s="266">
        <v>10.5</v>
      </c>
      <c r="J139" s="265"/>
      <c r="K139" s="265"/>
      <c r="L139" s="267"/>
      <c r="M139" s="268"/>
      <c r="N139" s="269"/>
      <c r="O139" s="269"/>
      <c r="P139" s="269"/>
      <c r="Q139" s="269"/>
      <c r="R139" s="269"/>
      <c r="S139" s="269"/>
      <c r="T139" s="270"/>
      <c r="AT139" s="271" t="s">
        <v>214</v>
      </c>
      <c r="AU139" s="271" t="s">
        <v>92</v>
      </c>
      <c r="AV139" s="261" t="s">
        <v>219</v>
      </c>
      <c r="AW139" s="261" t="s">
        <v>39</v>
      </c>
      <c r="AX139" s="261" t="s">
        <v>82</v>
      </c>
      <c r="AY139" s="271" t="s">
        <v>206</v>
      </c>
    </row>
    <row r="140" spans="2:51" s="249" customFormat="1" ht="22.5">
      <c r="B140" s="250"/>
      <c r="C140" s="133"/>
      <c r="D140" s="251" t="s">
        <v>214</v>
      </c>
      <c r="E140" s="252" t="s">
        <v>119</v>
      </c>
      <c r="F140" s="253" t="s">
        <v>222</v>
      </c>
      <c r="G140" s="254"/>
      <c r="H140" s="312"/>
      <c r="I140" s="255">
        <v>5.2</v>
      </c>
      <c r="J140" s="254"/>
      <c r="K140" s="254"/>
      <c r="L140" s="256"/>
      <c r="M140" s="257"/>
      <c r="N140" s="258"/>
      <c r="O140" s="258"/>
      <c r="P140" s="258"/>
      <c r="Q140" s="258"/>
      <c r="R140" s="258"/>
      <c r="S140" s="258"/>
      <c r="T140" s="259"/>
      <c r="AT140" s="260" t="s">
        <v>214</v>
      </c>
      <c r="AU140" s="260" t="s">
        <v>92</v>
      </c>
      <c r="AV140" s="249" t="s">
        <v>92</v>
      </c>
      <c r="AW140" s="249" t="s">
        <v>39</v>
      </c>
      <c r="AX140" s="249" t="s">
        <v>82</v>
      </c>
      <c r="AY140" s="260" t="s">
        <v>206</v>
      </c>
    </row>
    <row r="141" spans="2:51" s="249" customFormat="1" ht="33.75">
      <c r="B141" s="250"/>
      <c r="C141" s="133"/>
      <c r="D141" s="251" t="s">
        <v>214</v>
      </c>
      <c r="E141" s="252" t="s">
        <v>123</v>
      </c>
      <c r="F141" s="253" t="s">
        <v>223</v>
      </c>
      <c r="G141" s="254"/>
      <c r="H141" s="312"/>
      <c r="I141" s="255">
        <v>371.252</v>
      </c>
      <c r="J141" s="254"/>
      <c r="K141" s="254"/>
      <c r="L141" s="256"/>
      <c r="M141" s="257"/>
      <c r="N141" s="258"/>
      <c r="O141" s="258"/>
      <c r="P141" s="258"/>
      <c r="Q141" s="258"/>
      <c r="R141" s="258"/>
      <c r="S141" s="258"/>
      <c r="T141" s="259"/>
      <c r="AT141" s="260" t="s">
        <v>214</v>
      </c>
      <c r="AU141" s="260" t="s">
        <v>92</v>
      </c>
      <c r="AV141" s="249" t="s">
        <v>92</v>
      </c>
      <c r="AW141" s="249" t="s">
        <v>39</v>
      </c>
      <c r="AX141" s="249" t="s">
        <v>82</v>
      </c>
      <c r="AY141" s="260" t="s">
        <v>206</v>
      </c>
    </row>
    <row r="142" spans="2:51" s="261" customFormat="1" ht="12">
      <c r="B142" s="262"/>
      <c r="C142" s="133"/>
      <c r="D142" s="251" t="s">
        <v>214</v>
      </c>
      <c r="E142" s="263" t="s">
        <v>117</v>
      </c>
      <c r="F142" s="264" t="s">
        <v>218</v>
      </c>
      <c r="G142" s="265"/>
      <c r="H142" s="313"/>
      <c r="I142" s="266">
        <v>376.452</v>
      </c>
      <c r="J142" s="265"/>
      <c r="K142" s="265"/>
      <c r="L142" s="267"/>
      <c r="M142" s="268"/>
      <c r="N142" s="269"/>
      <c r="O142" s="269"/>
      <c r="P142" s="269"/>
      <c r="Q142" s="269"/>
      <c r="R142" s="269"/>
      <c r="S142" s="269"/>
      <c r="T142" s="270"/>
      <c r="AT142" s="271" t="s">
        <v>214</v>
      </c>
      <c r="AU142" s="271" t="s">
        <v>92</v>
      </c>
      <c r="AV142" s="261" t="s">
        <v>219</v>
      </c>
      <c r="AW142" s="261" t="s">
        <v>39</v>
      </c>
      <c r="AX142" s="261" t="s">
        <v>82</v>
      </c>
      <c r="AY142" s="271" t="s">
        <v>206</v>
      </c>
    </row>
    <row r="143" spans="2:51" s="249" customFormat="1" ht="12">
      <c r="B143" s="250"/>
      <c r="C143" s="133"/>
      <c r="D143" s="251" t="s">
        <v>214</v>
      </c>
      <c r="E143" s="252" t="s">
        <v>125</v>
      </c>
      <c r="F143" s="253" t="s">
        <v>224</v>
      </c>
      <c r="G143" s="254"/>
      <c r="H143" s="312"/>
      <c r="I143" s="255">
        <v>0</v>
      </c>
      <c r="J143" s="254"/>
      <c r="K143" s="254"/>
      <c r="L143" s="256"/>
      <c r="M143" s="257"/>
      <c r="N143" s="258"/>
      <c r="O143" s="258"/>
      <c r="P143" s="258"/>
      <c r="Q143" s="258"/>
      <c r="R143" s="258"/>
      <c r="S143" s="258"/>
      <c r="T143" s="259"/>
      <c r="AT143" s="260" t="s">
        <v>214</v>
      </c>
      <c r="AU143" s="260" t="s">
        <v>92</v>
      </c>
      <c r="AV143" s="249" t="s">
        <v>92</v>
      </c>
      <c r="AW143" s="249" t="s">
        <v>39</v>
      </c>
      <c r="AX143" s="249" t="s">
        <v>82</v>
      </c>
      <c r="AY143" s="260" t="s">
        <v>206</v>
      </c>
    </row>
    <row r="144" spans="2:51" s="249" customFormat="1" ht="12">
      <c r="B144" s="250"/>
      <c r="C144" s="133"/>
      <c r="D144" s="251" t="s">
        <v>214</v>
      </c>
      <c r="E144" s="252" t="s">
        <v>126</v>
      </c>
      <c r="F144" s="253" t="s">
        <v>225</v>
      </c>
      <c r="G144" s="254"/>
      <c r="H144" s="312"/>
      <c r="I144" s="255">
        <v>12.592</v>
      </c>
      <c r="J144" s="254"/>
      <c r="K144" s="254"/>
      <c r="L144" s="256"/>
      <c r="M144" s="257"/>
      <c r="N144" s="258"/>
      <c r="O144" s="258"/>
      <c r="P144" s="258"/>
      <c r="Q144" s="258"/>
      <c r="R144" s="258"/>
      <c r="S144" s="258"/>
      <c r="T144" s="259"/>
      <c r="AT144" s="260" t="s">
        <v>214</v>
      </c>
      <c r="AU144" s="260" t="s">
        <v>92</v>
      </c>
      <c r="AV144" s="249" t="s">
        <v>92</v>
      </c>
      <c r="AW144" s="249" t="s">
        <v>39</v>
      </c>
      <c r="AX144" s="249" t="s">
        <v>82</v>
      </c>
      <c r="AY144" s="260" t="s">
        <v>206</v>
      </c>
    </row>
    <row r="145" spans="2:51" s="261" customFormat="1" ht="12">
      <c r="B145" s="262"/>
      <c r="C145" s="133"/>
      <c r="D145" s="251" t="s">
        <v>214</v>
      </c>
      <c r="E145" s="263" t="s">
        <v>226</v>
      </c>
      <c r="F145" s="264" t="s">
        <v>218</v>
      </c>
      <c r="G145" s="265"/>
      <c r="H145" s="313"/>
      <c r="I145" s="266">
        <v>12.592</v>
      </c>
      <c r="J145" s="265"/>
      <c r="K145" s="265"/>
      <c r="L145" s="267"/>
      <c r="M145" s="268"/>
      <c r="N145" s="269"/>
      <c r="O145" s="269"/>
      <c r="P145" s="269"/>
      <c r="Q145" s="269"/>
      <c r="R145" s="269"/>
      <c r="S145" s="269"/>
      <c r="T145" s="270"/>
      <c r="AT145" s="271" t="s">
        <v>214</v>
      </c>
      <c r="AU145" s="271" t="s">
        <v>92</v>
      </c>
      <c r="AV145" s="261" t="s">
        <v>219</v>
      </c>
      <c r="AW145" s="261" t="s">
        <v>39</v>
      </c>
      <c r="AX145" s="261" t="s">
        <v>82</v>
      </c>
      <c r="AY145" s="271" t="s">
        <v>206</v>
      </c>
    </row>
    <row r="146" spans="2:51" s="249" customFormat="1" ht="12">
      <c r="B146" s="250"/>
      <c r="C146" s="133"/>
      <c r="D146" s="251" t="s">
        <v>214</v>
      </c>
      <c r="E146" s="252" t="s">
        <v>143</v>
      </c>
      <c r="F146" s="253" t="s">
        <v>227</v>
      </c>
      <c r="G146" s="254"/>
      <c r="H146" s="312"/>
      <c r="I146" s="255">
        <v>1.499</v>
      </c>
      <c r="J146" s="254"/>
      <c r="K146" s="254"/>
      <c r="L146" s="256"/>
      <c r="M146" s="257"/>
      <c r="N146" s="258"/>
      <c r="O146" s="258"/>
      <c r="P146" s="258"/>
      <c r="Q146" s="258"/>
      <c r="R146" s="258"/>
      <c r="S146" s="258"/>
      <c r="T146" s="259"/>
      <c r="AT146" s="260" t="s">
        <v>214</v>
      </c>
      <c r="AU146" s="260" t="s">
        <v>92</v>
      </c>
      <c r="AV146" s="249" t="s">
        <v>92</v>
      </c>
      <c r="AW146" s="249" t="s">
        <v>39</v>
      </c>
      <c r="AX146" s="249" t="s">
        <v>82</v>
      </c>
      <c r="AY146" s="260" t="s">
        <v>206</v>
      </c>
    </row>
    <row r="147" spans="2:51" s="261" customFormat="1" ht="12">
      <c r="B147" s="262"/>
      <c r="C147" s="133"/>
      <c r="D147" s="251" t="s">
        <v>214</v>
      </c>
      <c r="E147" s="263" t="s">
        <v>1</v>
      </c>
      <c r="F147" s="264" t="s">
        <v>218</v>
      </c>
      <c r="G147" s="265"/>
      <c r="H147" s="313"/>
      <c r="I147" s="266">
        <v>1.499</v>
      </c>
      <c r="J147" s="265"/>
      <c r="K147" s="265"/>
      <c r="L147" s="267"/>
      <c r="M147" s="268"/>
      <c r="N147" s="269"/>
      <c r="O147" s="269"/>
      <c r="P147" s="269"/>
      <c r="Q147" s="269"/>
      <c r="R147" s="269"/>
      <c r="S147" s="269"/>
      <c r="T147" s="270"/>
      <c r="AT147" s="271" t="s">
        <v>214</v>
      </c>
      <c r="AU147" s="271" t="s">
        <v>92</v>
      </c>
      <c r="AV147" s="261" t="s">
        <v>219</v>
      </c>
      <c r="AW147" s="261" t="s">
        <v>39</v>
      </c>
      <c r="AX147" s="261" t="s">
        <v>82</v>
      </c>
      <c r="AY147" s="271" t="s">
        <v>206</v>
      </c>
    </row>
    <row r="148" spans="2:51" s="249" customFormat="1" ht="12">
      <c r="B148" s="250"/>
      <c r="C148" s="133"/>
      <c r="D148" s="251" t="s">
        <v>214</v>
      </c>
      <c r="E148" s="252" t="s">
        <v>1</v>
      </c>
      <c r="F148" s="253" t="s">
        <v>99</v>
      </c>
      <c r="G148" s="254"/>
      <c r="H148" s="312"/>
      <c r="I148" s="255">
        <v>6.27</v>
      </c>
      <c r="J148" s="254"/>
      <c r="K148" s="254"/>
      <c r="L148" s="256"/>
      <c r="M148" s="257"/>
      <c r="N148" s="258"/>
      <c r="O148" s="258"/>
      <c r="P148" s="258"/>
      <c r="Q148" s="258"/>
      <c r="R148" s="258"/>
      <c r="S148" s="258"/>
      <c r="T148" s="259"/>
      <c r="AT148" s="260" t="s">
        <v>214</v>
      </c>
      <c r="AU148" s="260" t="s">
        <v>92</v>
      </c>
      <c r="AV148" s="249" t="s">
        <v>92</v>
      </c>
      <c r="AW148" s="249" t="s">
        <v>39</v>
      </c>
      <c r="AX148" s="249" t="s">
        <v>82</v>
      </c>
      <c r="AY148" s="260" t="s">
        <v>206</v>
      </c>
    </row>
    <row r="149" spans="2:51" s="249" customFormat="1" ht="12">
      <c r="B149" s="250"/>
      <c r="C149" s="133"/>
      <c r="D149" s="251" t="s">
        <v>214</v>
      </c>
      <c r="E149" s="252" t="s">
        <v>1</v>
      </c>
      <c r="F149" s="253" t="s">
        <v>106</v>
      </c>
      <c r="G149" s="254"/>
      <c r="H149" s="312"/>
      <c r="I149" s="255">
        <v>0</v>
      </c>
      <c r="J149" s="254"/>
      <c r="K149" s="254"/>
      <c r="L149" s="256"/>
      <c r="M149" s="257"/>
      <c r="N149" s="258"/>
      <c r="O149" s="258"/>
      <c r="P149" s="258"/>
      <c r="Q149" s="258"/>
      <c r="R149" s="258"/>
      <c r="S149" s="258"/>
      <c r="T149" s="259"/>
      <c r="AT149" s="260" t="s">
        <v>214</v>
      </c>
      <c r="AU149" s="260" t="s">
        <v>92</v>
      </c>
      <c r="AV149" s="249" t="s">
        <v>92</v>
      </c>
      <c r="AW149" s="249" t="s">
        <v>39</v>
      </c>
      <c r="AX149" s="249" t="s">
        <v>82</v>
      </c>
      <c r="AY149" s="260" t="s">
        <v>206</v>
      </c>
    </row>
    <row r="150" spans="2:51" s="261" customFormat="1" ht="12">
      <c r="B150" s="262"/>
      <c r="C150" s="133"/>
      <c r="D150" s="251" t="s">
        <v>214</v>
      </c>
      <c r="E150" s="263" t="s">
        <v>112</v>
      </c>
      <c r="F150" s="264" t="s">
        <v>218</v>
      </c>
      <c r="G150" s="265"/>
      <c r="H150" s="313"/>
      <c r="I150" s="266">
        <v>6.27</v>
      </c>
      <c r="J150" s="265"/>
      <c r="K150" s="265"/>
      <c r="L150" s="267"/>
      <c r="M150" s="268"/>
      <c r="N150" s="269"/>
      <c r="O150" s="269"/>
      <c r="P150" s="269"/>
      <c r="Q150" s="269"/>
      <c r="R150" s="269"/>
      <c r="S150" s="269"/>
      <c r="T150" s="270"/>
      <c r="AT150" s="271" t="s">
        <v>214</v>
      </c>
      <c r="AU150" s="271" t="s">
        <v>92</v>
      </c>
      <c r="AV150" s="261" t="s">
        <v>219</v>
      </c>
      <c r="AW150" s="261" t="s">
        <v>39</v>
      </c>
      <c r="AX150" s="261" t="s">
        <v>82</v>
      </c>
      <c r="AY150" s="271" t="s">
        <v>206</v>
      </c>
    </row>
    <row r="151" spans="2:51" s="249" customFormat="1" ht="22.5">
      <c r="B151" s="250"/>
      <c r="C151" s="133"/>
      <c r="D151" s="251" t="s">
        <v>214</v>
      </c>
      <c r="E151" s="252" t="s">
        <v>109</v>
      </c>
      <c r="F151" s="253" t="s">
        <v>916</v>
      </c>
      <c r="G151" s="254"/>
      <c r="H151" s="312"/>
      <c r="I151" s="254">
        <f>(I133+I134)*1</f>
        <v>275.7</v>
      </c>
      <c r="J151" s="254"/>
      <c r="K151" s="254"/>
      <c r="L151" s="256"/>
      <c r="M151" s="257"/>
      <c r="N151" s="258"/>
      <c r="O151" s="258"/>
      <c r="P151" s="258"/>
      <c r="Q151" s="258"/>
      <c r="R151" s="258"/>
      <c r="S151" s="258"/>
      <c r="T151" s="259"/>
      <c r="AT151" s="260" t="s">
        <v>214</v>
      </c>
      <c r="AU151" s="260" t="s">
        <v>92</v>
      </c>
      <c r="AV151" s="249" t="s">
        <v>92</v>
      </c>
      <c r="AW151" s="249" t="s">
        <v>39</v>
      </c>
      <c r="AX151" s="249" t="s">
        <v>82</v>
      </c>
      <c r="AY151" s="260" t="s">
        <v>206</v>
      </c>
    </row>
    <row r="152" spans="2:51" s="261" customFormat="1" ht="12">
      <c r="B152" s="262"/>
      <c r="C152" s="133"/>
      <c r="D152" s="251" t="s">
        <v>214</v>
      </c>
      <c r="E152" s="263" t="s">
        <v>1</v>
      </c>
      <c r="F152" s="264" t="s">
        <v>218</v>
      </c>
      <c r="G152" s="265"/>
      <c r="H152" s="313"/>
      <c r="I152" s="266">
        <f>I151</f>
        <v>275.7</v>
      </c>
      <c r="J152" s="265"/>
      <c r="K152" s="265"/>
      <c r="L152" s="267"/>
      <c r="M152" s="268"/>
      <c r="N152" s="269"/>
      <c r="O152" s="269"/>
      <c r="P152" s="269"/>
      <c r="Q152" s="269"/>
      <c r="R152" s="269"/>
      <c r="S152" s="269"/>
      <c r="T152" s="270"/>
      <c r="AT152" s="271" t="s">
        <v>214</v>
      </c>
      <c r="AU152" s="271" t="s">
        <v>92</v>
      </c>
      <c r="AV152" s="261" t="s">
        <v>219</v>
      </c>
      <c r="AW152" s="261" t="s">
        <v>39</v>
      </c>
      <c r="AX152" s="261" t="s">
        <v>82</v>
      </c>
      <c r="AY152" s="271" t="s">
        <v>206</v>
      </c>
    </row>
    <row r="153" spans="2:51" s="249" customFormat="1" ht="12">
      <c r="B153" s="250"/>
      <c r="C153" s="133"/>
      <c r="D153" s="251" t="s">
        <v>214</v>
      </c>
      <c r="E153" s="252" t="s">
        <v>1</v>
      </c>
      <c r="F153" s="253" t="s">
        <v>228</v>
      </c>
      <c r="G153" s="254"/>
      <c r="H153" s="312"/>
      <c r="I153" s="255">
        <f>I150+I152</f>
        <v>281.96999999999997</v>
      </c>
      <c r="J153" s="254"/>
      <c r="K153" s="254"/>
      <c r="L153" s="256"/>
      <c r="M153" s="257"/>
      <c r="N153" s="258"/>
      <c r="O153" s="258"/>
      <c r="P153" s="258"/>
      <c r="Q153" s="258"/>
      <c r="R153" s="258"/>
      <c r="S153" s="258"/>
      <c r="T153" s="259"/>
      <c r="AT153" s="260" t="s">
        <v>214</v>
      </c>
      <c r="AU153" s="260" t="s">
        <v>92</v>
      </c>
      <c r="AV153" s="249" t="s">
        <v>92</v>
      </c>
      <c r="AW153" s="249" t="s">
        <v>39</v>
      </c>
      <c r="AX153" s="249" t="s">
        <v>18</v>
      </c>
      <c r="AY153" s="260" t="s">
        <v>206</v>
      </c>
    </row>
    <row r="154" spans="1:65" s="136" customFormat="1" ht="21.75" customHeight="1">
      <c r="A154" s="131"/>
      <c r="B154" s="132"/>
      <c r="C154" s="235" t="s">
        <v>92</v>
      </c>
      <c r="D154" s="236" t="s">
        <v>208</v>
      </c>
      <c r="E154" s="237" t="s">
        <v>229</v>
      </c>
      <c r="F154" s="238" t="s">
        <v>887</v>
      </c>
      <c r="G154" s="239" t="s">
        <v>211</v>
      </c>
      <c r="H154" s="72"/>
      <c r="I154" s="241">
        <v>2.97</v>
      </c>
      <c r="J154" s="240">
        <f>ROUND($H154*I154,2)</f>
        <v>0</v>
      </c>
      <c r="K154" s="242"/>
      <c r="L154" s="211"/>
      <c r="M154" s="243" t="s">
        <v>1</v>
      </c>
      <c r="N154" s="244" t="s">
        <v>47</v>
      </c>
      <c r="O154" s="245">
        <v>0.295</v>
      </c>
      <c r="P154" s="245">
        <f>O154*I154</f>
        <v>0.87615</v>
      </c>
      <c r="Q154" s="245">
        <v>0</v>
      </c>
      <c r="R154" s="245">
        <f>Q154*I154</f>
        <v>0</v>
      </c>
      <c r="S154" s="245">
        <v>0.75</v>
      </c>
      <c r="T154" s="246">
        <f>S154*I154</f>
        <v>2.2275</v>
      </c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R154" s="247" t="s">
        <v>212</v>
      </c>
      <c r="AT154" s="247" t="s">
        <v>208</v>
      </c>
      <c r="AU154" s="247" t="s">
        <v>92</v>
      </c>
      <c r="AY154" s="120" t="s">
        <v>206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20" t="s">
        <v>18</v>
      </c>
      <c r="BK154" s="248">
        <f>ROUND(H154*I154,2)</f>
        <v>0</v>
      </c>
      <c r="BL154" s="120" t="s">
        <v>212</v>
      </c>
      <c r="BM154" s="247" t="s">
        <v>230</v>
      </c>
    </row>
    <row r="155" spans="2:51" s="249" customFormat="1" ht="12">
      <c r="B155" s="250"/>
      <c r="C155" s="133"/>
      <c r="D155" s="251" t="s">
        <v>214</v>
      </c>
      <c r="E155" s="252" t="s">
        <v>133</v>
      </c>
      <c r="F155" s="253" t="s">
        <v>231</v>
      </c>
      <c r="G155" s="254"/>
      <c r="H155" s="312"/>
      <c r="I155" s="255">
        <v>2.97</v>
      </c>
      <c r="J155" s="254"/>
      <c r="K155" s="254"/>
      <c r="L155" s="256"/>
      <c r="M155" s="257"/>
      <c r="N155" s="258"/>
      <c r="O155" s="258"/>
      <c r="P155" s="258"/>
      <c r="Q155" s="258"/>
      <c r="R155" s="258"/>
      <c r="S155" s="258"/>
      <c r="T155" s="259"/>
      <c r="AT155" s="260" t="s">
        <v>214</v>
      </c>
      <c r="AU155" s="260" t="s">
        <v>92</v>
      </c>
      <c r="AV155" s="249" t="s">
        <v>92</v>
      </c>
      <c r="AW155" s="249" t="s">
        <v>39</v>
      </c>
      <c r="AX155" s="249" t="s">
        <v>18</v>
      </c>
      <c r="AY155" s="260" t="s">
        <v>206</v>
      </c>
    </row>
    <row r="156" spans="1:65" s="136" customFormat="1" ht="36.75" customHeight="1">
      <c r="A156" s="131"/>
      <c r="B156" s="132"/>
      <c r="C156" s="235">
        <v>3</v>
      </c>
      <c r="D156" s="236" t="s">
        <v>208</v>
      </c>
      <c r="E156" s="237" t="s">
        <v>884</v>
      </c>
      <c r="F156" s="238" t="s">
        <v>885</v>
      </c>
      <c r="G156" s="239" t="s">
        <v>211</v>
      </c>
      <c r="H156" s="72"/>
      <c r="I156" s="241">
        <f>I157</f>
        <v>275.7</v>
      </c>
      <c r="J156" s="240">
        <f>ROUND($H156*I156,2)</f>
        <v>0</v>
      </c>
      <c r="K156" s="242"/>
      <c r="L156" s="211"/>
      <c r="M156" s="243" t="s">
        <v>1</v>
      </c>
      <c r="N156" s="244" t="s">
        <v>47</v>
      </c>
      <c r="O156" s="245">
        <v>0.253</v>
      </c>
      <c r="P156" s="245">
        <f>O156*I156</f>
        <v>69.7521</v>
      </c>
      <c r="Q156" s="245">
        <v>0</v>
      </c>
      <c r="R156" s="245">
        <f>Q156*I156</f>
        <v>0</v>
      </c>
      <c r="S156" s="245">
        <v>0.17</v>
      </c>
      <c r="T156" s="246">
        <f>S156*I156</f>
        <v>46.869</v>
      </c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R156" s="247" t="s">
        <v>212</v>
      </c>
      <c r="AT156" s="247" t="s">
        <v>208</v>
      </c>
      <c r="AU156" s="247" t="s">
        <v>92</v>
      </c>
      <c r="AY156" s="120" t="s">
        <v>206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20" t="s">
        <v>18</v>
      </c>
      <c r="BK156" s="248">
        <f>ROUND(H156*I156,2)</f>
        <v>0</v>
      </c>
      <c r="BL156" s="120" t="s">
        <v>212</v>
      </c>
      <c r="BM156" s="247" t="s">
        <v>657</v>
      </c>
    </row>
    <row r="157" spans="2:51" s="249" customFormat="1" ht="22.5">
      <c r="B157" s="250"/>
      <c r="C157" s="133"/>
      <c r="D157" s="251" t="s">
        <v>214</v>
      </c>
      <c r="E157" s="252" t="s">
        <v>133</v>
      </c>
      <c r="F157" s="253" t="s">
        <v>886</v>
      </c>
      <c r="G157" s="254"/>
      <c r="H157" s="312"/>
      <c r="I157" s="255">
        <f>I152</f>
        <v>275.7</v>
      </c>
      <c r="J157" s="254"/>
      <c r="K157" s="254"/>
      <c r="L157" s="256"/>
      <c r="M157" s="257"/>
      <c r="N157" s="258"/>
      <c r="O157" s="258"/>
      <c r="P157" s="258"/>
      <c r="Q157" s="258"/>
      <c r="R157" s="258"/>
      <c r="S157" s="258"/>
      <c r="T157" s="259"/>
      <c r="AT157" s="260" t="s">
        <v>214</v>
      </c>
      <c r="AU157" s="260" t="s">
        <v>92</v>
      </c>
      <c r="AV157" s="249" t="s">
        <v>92</v>
      </c>
      <c r="AW157" s="249" t="s">
        <v>39</v>
      </c>
      <c r="AX157" s="249" t="s">
        <v>18</v>
      </c>
      <c r="AY157" s="260" t="s">
        <v>206</v>
      </c>
    </row>
    <row r="158" spans="1:65" s="136" customFormat="1" ht="21.75" customHeight="1">
      <c r="A158" s="131"/>
      <c r="B158" s="132"/>
      <c r="C158" s="235">
        <v>4</v>
      </c>
      <c r="D158" s="236" t="s">
        <v>208</v>
      </c>
      <c r="E158" s="237" t="s">
        <v>232</v>
      </c>
      <c r="F158" s="238" t="s">
        <v>233</v>
      </c>
      <c r="G158" s="239" t="s">
        <v>211</v>
      </c>
      <c r="H158" s="72"/>
      <c r="I158" s="241">
        <f>I159</f>
        <v>243.8</v>
      </c>
      <c r="J158" s="240">
        <f>ROUND($H158*I158,2)</f>
        <v>0</v>
      </c>
      <c r="K158" s="242"/>
      <c r="L158" s="211"/>
      <c r="M158" s="243" t="s">
        <v>1</v>
      </c>
      <c r="N158" s="244" t="s">
        <v>47</v>
      </c>
      <c r="O158" s="245">
        <v>0.028</v>
      </c>
      <c r="P158" s="245">
        <f>O158*I158</f>
        <v>6.8264000000000005</v>
      </c>
      <c r="Q158" s="245">
        <v>5E-05</v>
      </c>
      <c r="R158" s="245">
        <f>Q158*I158</f>
        <v>0.012190000000000001</v>
      </c>
      <c r="S158" s="245">
        <v>0.128</v>
      </c>
      <c r="T158" s="246">
        <f>S158*I158</f>
        <v>31.206400000000002</v>
      </c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R158" s="247" t="s">
        <v>212</v>
      </c>
      <c r="AT158" s="247" t="s">
        <v>208</v>
      </c>
      <c r="AU158" s="247" t="s">
        <v>92</v>
      </c>
      <c r="AY158" s="120" t="s">
        <v>206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20" t="s">
        <v>18</v>
      </c>
      <c r="BK158" s="248">
        <f>ROUND(H158*I158,2)</f>
        <v>0</v>
      </c>
      <c r="BL158" s="120" t="s">
        <v>212</v>
      </c>
      <c r="BM158" s="247" t="s">
        <v>234</v>
      </c>
    </row>
    <row r="159" spans="2:51" s="249" customFormat="1" ht="22.5">
      <c r="B159" s="250"/>
      <c r="C159" s="133"/>
      <c r="D159" s="251" t="s">
        <v>214</v>
      </c>
      <c r="E159" s="252" t="s">
        <v>235</v>
      </c>
      <c r="F159" s="253" t="s">
        <v>852</v>
      </c>
      <c r="G159" s="254"/>
      <c r="H159" s="312"/>
      <c r="I159" s="255">
        <f>(I133-21.2)*1+I139*1</f>
        <v>243.8</v>
      </c>
      <c r="J159" s="254"/>
      <c r="K159" s="254"/>
      <c r="L159" s="256"/>
      <c r="M159" s="257"/>
      <c r="N159" s="258"/>
      <c r="O159" s="258"/>
      <c r="P159" s="258"/>
      <c r="Q159" s="258"/>
      <c r="R159" s="258"/>
      <c r="S159" s="258"/>
      <c r="T159" s="259"/>
      <c r="AT159" s="260" t="s">
        <v>214</v>
      </c>
      <c r="AU159" s="260" t="s">
        <v>92</v>
      </c>
      <c r="AV159" s="249" t="s">
        <v>92</v>
      </c>
      <c r="AW159" s="249" t="s">
        <v>39</v>
      </c>
      <c r="AX159" s="249" t="s">
        <v>18</v>
      </c>
      <c r="AY159" s="260" t="s">
        <v>206</v>
      </c>
    </row>
    <row r="160" spans="1:65" s="136" customFormat="1" ht="16.5" customHeight="1">
      <c r="A160" s="131"/>
      <c r="B160" s="132"/>
      <c r="C160" s="235">
        <v>5</v>
      </c>
      <c r="D160" s="236" t="s">
        <v>208</v>
      </c>
      <c r="E160" s="237" t="s">
        <v>236</v>
      </c>
      <c r="F160" s="238" t="s">
        <v>237</v>
      </c>
      <c r="G160" s="239" t="s">
        <v>238</v>
      </c>
      <c r="H160" s="72"/>
      <c r="I160" s="241">
        <v>1.9</v>
      </c>
      <c r="J160" s="240">
        <f>ROUND($H160*I160,2)</f>
        <v>0</v>
      </c>
      <c r="K160" s="242"/>
      <c r="L160" s="211"/>
      <c r="M160" s="243" t="s">
        <v>1</v>
      </c>
      <c r="N160" s="244" t="s">
        <v>47</v>
      </c>
      <c r="O160" s="245">
        <v>0.133</v>
      </c>
      <c r="P160" s="245">
        <f>O160*I160</f>
        <v>0.2527</v>
      </c>
      <c r="Q160" s="245">
        <v>0</v>
      </c>
      <c r="R160" s="245">
        <f>Q160*I160</f>
        <v>0</v>
      </c>
      <c r="S160" s="245">
        <v>0.205</v>
      </c>
      <c r="T160" s="246">
        <f>S160*I160</f>
        <v>0.38949999999999996</v>
      </c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R160" s="247" t="s">
        <v>212</v>
      </c>
      <c r="AT160" s="247" t="s">
        <v>208</v>
      </c>
      <c r="AU160" s="247" t="s">
        <v>92</v>
      </c>
      <c r="AY160" s="120" t="s">
        <v>206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20" t="s">
        <v>18</v>
      </c>
      <c r="BK160" s="248">
        <f>ROUND(H160*I160,2)</f>
        <v>0</v>
      </c>
      <c r="BL160" s="120" t="s">
        <v>212</v>
      </c>
      <c r="BM160" s="247" t="s">
        <v>239</v>
      </c>
    </row>
    <row r="161" spans="2:51" s="249" customFormat="1" ht="12">
      <c r="B161" s="250"/>
      <c r="C161" s="133"/>
      <c r="D161" s="251" t="s">
        <v>214</v>
      </c>
      <c r="E161" s="252" t="s">
        <v>128</v>
      </c>
      <c r="F161" s="253" t="s">
        <v>240</v>
      </c>
      <c r="G161" s="254"/>
      <c r="H161" s="312"/>
      <c r="I161" s="255">
        <v>1.9</v>
      </c>
      <c r="J161" s="254"/>
      <c r="K161" s="254"/>
      <c r="L161" s="256"/>
      <c r="M161" s="257"/>
      <c r="N161" s="258"/>
      <c r="O161" s="258"/>
      <c r="P161" s="258"/>
      <c r="Q161" s="258"/>
      <c r="R161" s="258"/>
      <c r="S161" s="258"/>
      <c r="T161" s="259"/>
      <c r="AT161" s="260" t="s">
        <v>214</v>
      </c>
      <c r="AU161" s="260" t="s">
        <v>92</v>
      </c>
      <c r="AV161" s="249" t="s">
        <v>92</v>
      </c>
      <c r="AW161" s="249" t="s">
        <v>39</v>
      </c>
      <c r="AX161" s="249" t="s">
        <v>18</v>
      </c>
      <c r="AY161" s="260" t="s">
        <v>206</v>
      </c>
    </row>
    <row r="162" spans="1:65" s="136" customFormat="1" ht="21.75" customHeight="1">
      <c r="A162" s="131"/>
      <c r="B162" s="132"/>
      <c r="C162" s="235">
        <v>6</v>
      </c>
      <c r="D162" s="236" t="s">
        <v>208</v>
      </c>
      <c r="E162" s="237" t="s">
        <v>242</v>
      </c>
      <c r="F162" s="238" t="s">
        <v>243</v>
      </c>
      <c r="G162" s="239" t="s">
        <v>244</v>
      </c>
      <c r="H162" s="72"/>
      <c r="I162" s="241">
        <v>193</v>
      </c>
      <c r="J162" s="240">
        <f>ROUND($H162*I162,2)</f>
        <v>0</v>
      </c>
      <c r="K162" s="242"/>
      <c r="L162" s="211"/>
      <c r="M162" s="243" t="s">
        <v>1</v>
      </c>
      <c r="N162" s="244" t="s">
        <v>47</v>
      </c>
      <c r="O162" s="245">
        <v>0.184</v>
      </c>
      <c r="P162" s="245">
        <f>O162*I162</f>
        <v>35.512</v>
      </c>
      <c r="Q162" s="245">
        <v>3E-05</v>
      </c>
      <c r="R162" s="245">
        <f>Q162*I162</f>
        <v>0.00579</v>
      </c>
      <c r="S162" s="245">
        <v>0</v>
      </c>
      <c r="T162" s="246">
        <f>S162*I162</f>
        <v>0</v>
      </c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R162" s="247" t="s">
        <v>212</v>
      </c>
      <c r="AT162" s="247" t="s">
        <v>208</v>
      </c>
      <c r="AU162" s="247" t="s">
        <v>92</v>
      </c>
      <c r="AY162" s="120" t="s">
        <v>206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20" t="s">
        <v>18</v>
      </c>
      <c r="BK162" s="248">
        <f>ROUND(H162*I162,2)</f>
        <v>0</v>
      </c>
      <c r="BL162" s="120" t="s">
        <v>212</v>
      </c>
      <c r="BM162" s="247" t="s">
        <v>245</v>
      </c>
    </row>
    <row r="163" spans="2:51" s="249" customFormat="1" ht="22.5">
      <c r="B163" s="250"/>
      <c r="C163" s="133"/>
      <c r="D163" s="251" t="s">
        <v>214</v>
      </c>
      <c r="E163" s="252" t="s">
        <v>1</v>
      </c>
      <c r="F163" s="253" t="s">
        <v>246</v>
      </c>
      <c r="G163" s="254"/>
      <c r="H163" s="312"/>
      <c r="I163" s="255">
        <v>193</v>
      </c>
      <c r="J163" s="254"/>
      <c r="K163" s="254"/>
      <c r="L163" s="256"/>
      <c r="M163" s="257"/>
      <c r="N163" s="258"/>
      <c r="O163" s="258"/>
      <c r="P163" s="258"/>
      <c r="Q163" s="258"/>
      <c r="R163" s="258"/>
      <c r="S163" s="258"/>
      <c r="T163" s="259"/>
      <c r="AT163" s="260" t="s">
        <v>214</v>
      </c>
      <c r="AU163" s="260" t="s">
        <v>92</v>
      </c>
      <c r="AV163" s="249" t="s">
        <v>92</v>
      </c>
      <c r="AW163" s="249" t="s">
        <v>39</v>
      </c>
      <c r="AX163" s="249" t="s">
        <v>18</v>
      </c>
      <c r="AY163" s="260" t="s">
        <v>206</v>
      </c>
    </row>
    <row r="164" spans="1:65" s="136" customFormat="1" ht="21.75" customHeight="1">
      <c r="A164" s="131"/>
      <c r="B164" s="132"/>
      <c r="C164" s="235">
        <v>7</v>
      </c>
      <c r="D164" s="236" t="s">
        <v>208</v>
      </c>
      <c r="E164" s="237" t="s">
        <v>247</v>
      </c>
      <c r="F164" s="238" t="s">
        <v>248</v>
      </c>
      <c r="G164" s="239" t="s">
        <v>249</v>
      </c>
      <c r="H164" s="72"/>
      <c r="I164" s="241">
        <v>24.125</v>
      </c>
      <c r="J164" s="240">
        <f>ROUND($H164*I164,2)</f>
        <v>0</v>
      </c>
      <c r="K164" s="242"/>
      <c r="L164" s="211"/>
      <c r="M164" s="243" t="s">
        <v>1</v>
      </c>
      <c r="N164" s="244" t="s">
        <v>47</v>
      </c>
      <c r="O164" s="245">
        <v>0</v>
      </c>
      <c r="P164" s="245">
        <f>O164*I164</f>
        <v>0</v>
      </c>
      <c r="Q164" s="245">
        <v>0</v>
      </c>
      <c r="R164" s="245">
        <f>Q164*I164</f>
        <v>0</v>
      </c>
      <c r="S164" s="245">
        <v>0</v>
      </c>
      <c r="T164" s="246">
        <f>S164*I164</f>
        <v>0</v>
      </c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R164" s="247" t="s">
        <v>212</v>
      </c>
      <c r="AT164" s="247" t="s">
        <v>208</v>
      </c>
      <c r="AU164" s="247" t="s">
        <v>92</v>
      </c>
      <c r="AY164" s="120" t="s">
        <v>206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20" t="s">
        <v>18</v>
      </c>
      <c r="BK164" s="248">
        <f>ROUND(H164*I164,2)</f>
        <v>0</v>
      </c>
      <c r="BL164" s="120" t="s">
        <v>212</v>
      </c>
      <c r="BM164" s="247" t="s">
        <v>250</v>
      </c>
    </row>
    <row r="165" spans="2:51" s="249" customFormat="1" ht="22.5">
      <c r="B165" s="250"/>
      <c r="C165" s="133"/>
      <c r="D165" s="251" t="s">
        <v>214</v>
      </c>
      <c r="E165" s="252" t="s">
        <v>1</v>
      </c>
      <c r="F165" s="253" t="s">
        <v>251</v>
      </c>
      <c r="G165" s="254"/>
      <c r="H165" s="312"/>
      <c r="I165" s="255">
        <v>24.125</v>
      </c>
      <c r="J165" s="254"/>
      <c r="K165" s="254"/>
      <c r="L165" s="256"/>
      <c r="M165" s="257"/>
      <c r="N165" s="258"/>
      <c r="O165" s="258"/>
      <c r="P165" s="258"/>
      <c r="Q165" s="258"/>
      <c r="R165" s="258"/>
      <c r="S165" s="258"/>
      <c r="T165" s="259"/>
      <c r="AT165" s="260" t="s">
        <v>214</v>
      </c>
      <c r="AU165" s="260" t="s">
        <v>92</v>
      </c>
      <c r="AV165" s="249" t="s">
        <v>92</v>
      </c>
      <c r="AW165" s="249" t="s">
        <v>39</v>
      </c>
      <c r="AX165" s="249" t="s">
        <v>18</v>
      </c>
      <c r="AY165" s="260" t="s">
        <v>206</v>
      </c>
    </row>
    <row r="166" spans="1:65" s="136" customFormat="1" ht="21.75" customHeight="1">
      <c r="A166" s="131"/>
      <c r="B166" s="132"/>
      <c r="C166" s="235">
        <v>8</v>
      </c>
      <c r="D166" s="236" t="s">
        <v>208</v>
      </c>
      <c r="E166" s="237" t="s">
        <v>252</v>
      </c>
      <c r="F166" s="238" t="s">
        <v>253</v>
      </c>
      <c r="G166" s="239" t="s">
        <v>238</v>
      </c>
      <c r="H166" s="72"/>
      <c r="I166" s="241">
        <v>56.2</v>
      </c>
      <c r="J166" s="240">
        <f>ROUND($H166*I166,2)</f>
        <v>0</v>
      </c>
      <c r="K166" s="242"/>
      <c r="L166" s="211"/>
      <c r="M166" s="243" t="s">
        <v>1</v>
      </c>
      <c r="N166" s="244" t="s">
        <v>47</v>
      </c>
      <c r="O166" s="245">
        <v>0.703</v>
      </c>
      <c r="P166" s="245">
        <f>O166*I166</f>
        <v>39.5086</v>
      </c>
      <c r="Q166" s="245">
        <v>0.00868</v>
      </c>
      <c r="R166" s="245">
        <f>Q166*I166</f>
        <v>0.487816</v>
      </c>
      <c r="S166" s="245">
        <v>0</v>
      </c>
      <c r="T166" s="246">
        <f>S166*I166</f>
        <v>0</v>
      </c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R166" s="247" t="s">
        <v>212</v>
      </c>
      <c r="AT166" s="247" t="s">
        <v>208</v>
      </c>
      <c r="AU166" s="247" t="s">
        <v>92</v>
      </c>
      <c r="AY166" s="120" t="s">
        <v>206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20" t="s">
        <v>18</v>
      </c>
      <c r="BK166" s="248">
        <f>ROUND(H166*I166,2)</f>
        <v>0</v>
      </c>
      <c r="BL166" s="120" t="s">
        <v>212</v>
      </c>
      <c r="BM166" s="247" t="s">
        <v>254</v>
      </c>
    </row>
    <row r="167" spans="2:51" s="249" customFormat="1" ht="12">
      <c r="B167" s="250"/>
      <c r="C167" s="133"/>
      <c r="D167" s="251" t="s">
        <v>214</v>
      </c>
      <c r="E167" s="252" t="s">
        <v>160</v>
      </c>
      <c r="F167" s="253" t="s">
        <v>255</v>
      </c>
      <c r="G167" s="254"/>
      <c r="H167" s="312"/>
      <c r="I167" s="255">
        <v>56.2</v>
      </c>
      <c r="J167" s="254"/>
      <c r="K167" s="254"/>
      <c r="L167" s="256"/>
      <c r="M167" s="257"/>
      <c r="N167" s="258"/>
      <c r="O167" s="258"/>
      <c r="P167" s="258"/>
      <c r="Q167" s="258"/>
      <c r="R167" s="258"/>
      <c r="S167" s="258"/>
      <c r="T167" s="259"/>
      <c r="AT167" s="260" t="s">
        <v>214</v>
      </c>
      <c r="AU167" s="260" t="s">
        <v>92</v>
      </c>
      <c r="AV167" s="249" t="s">
        <v>92</v>
      </c>
      <c r="AW167" s="249" t="s">
        <v>39</v>
      </c>
      <c r="AX167" s="249" t="s">
        <v>18</v>
      </c>
      <c r="AY167" s="260" t="s">
        <v>206</v>
      </c>
    </row>
    <row r="168" spans="1:65" s="136" customFormat="1" ht="21.75" customHeight="1">
      <c r="A168" s="131"/>
      <c r="B168" s="132"/>
      <c r="C168" s="235">
        <v>9</v>
      </c>
      <c r="D168" s="236" t="s">
        <v>208</v>
      </c>
      <c r="E168" s="237" t="s">
        <v>257</v>
      </c>
      <c r="F168" s="238" t="s">
        <v>258</v>
      </c>
      <c r="G168" s="239" t="s">
        <v>238</v>
      </c>
      <c r="H168" s="72"/>
      <c r="I168" s="241">
        <v>1.8</v>
      </c>
      <c r="J168" s="240">
        <f>ROUND($H168*I168,2)</f>
        <v>0</v>
      </c>
      <c r="K168" s="242"/>
      <c r="L168" s="211"/>
      <c r="M168" s="243" t="s">
        <v>1</v>
      </c>
      <c r="N168" s="244" t="s">
        <v>47</v>
      </c>
      <c r="O168" s="245">
        <v>1.153</v>
      </c>
      <c r="P168" s="245">
        <f>O168*I168</f>
        <v>2.0754</v>
      </c>
      <c r="Q168" s="245">
        <v>0.01269</v>
      </c>
      <c r="R168" s="245">
        <f>Q168*I168</f>
        <v>0.022842</v>
      </c>
      <c r="S168" s="245">
        <v>0</v>
      </c>
      <c r="T168" s="246">
        <f>S168*I168</f>
        <v>0</v>
      </c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R168" s="247" t="s">
        <v>212</v>
      </c>
      <c r="AT168" s="247" t="s">
        <v>208</v>
      </c>
      <c r="AU168" s="247" t="s">
        <v>92</v>
      </c>
      <c r="AY168" s="120" t="s">
        <v>206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20" t="s">
        <v>18</v>
      </c>
      <c r="BK168" s="248">
        <f>ROUND(H168*I168,2)</f>
        <v>0</v>
      </c>
      <c r="BL168" s="120" t="s">
        <v>212</v>
      </c>
      <c r="BM168" s="247" t="s">
        <v>259</v>
      </c>
    </row>
    <row r="169" spans="2:51" s="249" customFormat="1" ht="12">
      <c r="B169" s="250"/>
      <c r="C169" s="133"/>
      <c r="D169" s="251" t="s">
        <v>214</v>
      </c>
      <c r="E169" s="252" t="s">
        <v>162</v>
      </c>
      <c r="F169" s="253" t="s">
        <v>260</v>
      </c>
      <c r="G169" s="254"/>
      <c r="H169" s="312"/>
      <c r="I169" s="255">
        <v>1.8</v>
      </c>
      <c r="J169" s="254"/>
      <c r="K169" s="254"/>
      <c r="L169" s="256"/>
      <c r="M169" s="257"/>
      <c r="N169" s="258"/>
      <c r="O169" s="258"/>
      <c r="P169" s="258"/>
      <c r="Q169" s="258"/>
      <c r="R169" s="258"/>
      <c r="S169" s="258"/>
      <c r="T169" s="259"/>
      <c r="AT169" s="260" t="s">
        <v>214</v>
      </c>
      <c r="AU169" s="260" t="s">
        <v>92</v>
      </c>
      <c r="AV169" s="249" t="s">
        <v>92</v>
      </c>
      <c r="AW169" s="249" t="s">
        <v>39</v>
      </c>
      <c r="AX169" s="249" t="s">
        <v>18</v>
      </c>
      <c r="AY169" s="260" t="s">
        <v>206</v>
      </c>
    </row>
    <row r="170" spans="1:65" s="136" customFormat="1" ht="21.75" customHeight="1">
      <c r="A170" s="131"/>
      <c r="B170" s="132"/>
      <c r="C170" s="235">
        <v>10</v>
      </c>
      <c r="D170" s="236" t="s">
        <v>208</v>
      </c>
      <c r="E170" s="237" t="s">
        <v>262</v>
      </c>
      <c r="F170" s="238" t="s">
        <v>263</v>
      </c>
      <c r="G170" s="239" t="s">
        <v>238</v>
      </c>
      <c r="H170" s="72"/>
      <c r="I170" s="241">
        <v>12.6</v>
      </c>
      <c r="J170" s="240">
        <f>ROUND($H170*I170,2)</f>
        <v>0</v>
      </c>
      <c r="K170" s="242"/>
      <c r="L170" s="211"/>
      <c r="M170" s="243" t="s">
        <v>1</v>
      </c>
      <c r="N170" s="244" t="s">
        <v>47</v>
      </c>
      <c r="O170" s="245">
        <v>0.547</v>
      </c>
      <c r="P170" s="245">
        <f>O170*I170</f>
        <v>6.892200000000001</v>
      </c>
      <c r="Q170" s="245">
        <v>0.0369</v>
      </c>
      <c r="R170" s="245">
        <f>Q170*I170</f>
        <v>0.46494</v>
      </c>
      <c r="S170" s="245">
        <v>0</v>
      </c>
      <c r="T170" s="246">
        <f>S170*I170</f>
        <v>0</v>
      </c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R170" s="247" t="s">
        <v>212</v>
      </c>
      <c r="AT170" s="247" t="s">
        <v>208</v>
      </c>
      <c r="AU170" s="247" t="s">
        <v>92</v>
      </c>
      <c r="AY170" s="120" t="s">
        <v>206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20" t="s">
        <v>18</v>
      </c>
      <c r="BK170" s="248">
        <f>ROUND(H170*I170,2)</f>
        <v>0</v>
      </c>
      <c r="BL170" s="120" t="s">
        <v>212</v>
      </c>
      <c r="BM170" s="247" t="s">
        <v>264</v>
      </c>
    </row>
    <row r="171" spans="2:51" s="249" customFormat="1" ht="12">
      <c r="B171" s="250"/>
      <c r="C171" s="133"/>
      <c r="D171" s="251" t="s">
        <v>214</v>
      </c>
      <c r="E171" s="252" t="s">
        <v>158</v>
      </c>
      <c r="F171" s="253" t="s">
        <v>265</v>
      </c>
      <c r="G171" s="254"/>
      <c r="H171" s="312"/>
      <c r="I171" s="255">
        <v>12.6</v>
      </c>
      <c r="J171" s="254"/>
      <c r="K171" s="254"/>
      <c r="L171" s="256"/>
      <c r="M171" s="257"/>
      <c r="N171" s="258"/>
      <c r="O171" s="258"/>
      <c r="P171" s="258"/>
      <c r="Q171" s="258"/>
      <c r="R171" s="258"/>
      <c r="S171" s="258"/>
      <c r="T171" s="259"/>
      <c r="AT171" s="260" t="s">
        <v>214</v>
      </c>
      <c r="AU171" s="260" t="s">
        <v>92</v>
      </c>
      <c r="AV171" s="249" t="s">
        <v>92</v>
      </c>
      <c r="AW171" s="249" t="s">
        <v>39</v>
      </c>
      <c r="AX171" s="249" t="s">
        <v>18</v>
      </c>
      <c r="AY171" s="260" t="s">
        <v>206</v>
      </c>
    </row>
    <row r="172" spans="1:65" s="136" customFormat="1" ht="21.75" customHeight="1">
      <c r="A172" s="131"/>
      <c r="B172" s="132"/>
      <c r="C172" s="235">
        <v>11</v>
      </c>
      <c r="D172" s="236" t="s">
        <v>208</v>
      </c>
      <c r="E172" s="237" t="s">
        <v>266</v>
      </c>
      <c r="F172" s="238" t="s">
        <v>267</v>
      </c>
      <c r="G172" s="239" t="s">
        <v>268</v>
      </c>
      <c r="H172" s="72"/>
      <c r="I172" s="241">
        <v>10</v>
      </c>
      <c r="J172" s="240">
        <f>ROUND($H172*I172,2)</f>
        <v>0</v>
      </c>
      <c r="K172" s="242"/>
      <c r="L172" s="211"/>
      <c r="M172" s="243" t="s">
        <v>1</v>
      </c>
      <c r="N172" s="244" t="s">
        <v>47</v>
      </c>
      <c r="O172" s="245">
        <v>4.863</v>
      </c>
      <c r="P172" s="245">
        <f>O172*I172</f>
        <v>48.63</v>
      </c>
      <c r="Q172" s="245">
        <v>0</v>
      </c>
      <c r="R172" s="245">
        <f>Q172*I172</f>
        <v>0</v>
      </c>
      <c r="S172" s="245">
        <v>0</v>
      </c>
      <c r="T172" s="246">
        <f>S172*I172</f>
        <v>0</v>
      </c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R172" s="247" t="s">
        <v>212</v>
      </c>
      <c r="AT172" s="247" t="s">
        <v>208</v>
      </c>
      <c r="AU172" s="247" t="s">
        <v>92</v>
      </c>
      <c r="AY172" s="120" t="s">
        <v>206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20" t="s">
        <v>18</v>
      </c>
      <c r="BK172" s="248">
        <f>ROUND(H172*I172,2)</f>
        <v>0</v>
      </c>
      <c r="BL172" s="120" t="s">
        <v>212</v>
      </c>
      <c r="BM172" s="247" t="s">
        <v>269</v>
      </c>
    </row>
    <row r="173" spans="2:51" s="249" customFormat="1" ht="22.5">
      <c r="B173" s="250"/>
      <c r="C173" s="133"/>
      <c r="D173" s="251" t="s">
        <v>214</v>
      </c>
      <c r="E173" s="252" t="s">
        <v>166</v>
      </c>
      <c r="F173" s="253" t="s">
        <v>270</v>
      </c>
      <c r="G173" s="254"/>
      <c r="H173" s="312"/>
      <c r="I173" s="255">
        <v>10</v>
      </c>
      <c r="J173" s="254"/>
      <c r="K173" s="254"/>
      <c r="L173" s="256"/>
      <c r="M173" s="257"/>
      <c r="N173" s="258"/>
      <c r="O173" s="258"/>
      <c r="P173" s="258"/>
      <c r="Q173" s="258"/>
      <c r="R173" s="258"/>
      <c r="S173" s="258"/>
      <c r="T173" s="259"/>
      <c r="AT173" s="260" t="s">
        <v>214</v>
      </c>
      <c r="AU173" s="260" t="s">
        <v>92</v>
      </c>
      <c r="AV173" s="249" t="s">
        <v>92</v>
      </c>
      <c r="AW173" s="249" t="s">
        <v>39</v>
      </c>
      <c r="AX173" s="249" t="s">
        <v>18</v>
      </c>
      <c r="AY173" s="260" t="s">
        <v>206</v>
      </c>
    </row>
    <row r="174" spans="1:65" s="136" customFormat="1" ht="21.75" customHeight="1">
      <c r="A174" s="131"/>
      <c r="B174" s="132"/>
      <c r="C174" s="235">
        <v>12</v>
      </c>
      <c r="D174" s="236" t="s">
        <v>208</v>
      </c>
      <c r="E174" s="237" t="s">
        <v>271</v>
      </c>
      <c r="F174" s="238" t="s">
        <v>272</v>
      </c>
      <c r="G174" s="239" t="s">
        <v>268</v>
      </c>
      <c r="H174" s="72"/>
      <c r="I174" s="241">
        <v>139.663</v>
      </c>
      <c r="J174" s="240">
        <f>ROUND($H174*I174,2)</f>
        <v>0</v>
      </c>
      <c r="K174" s="242"/>
      <c r="L174" s="211"/>
      <c r="M174" s="243" t="s">
        <v>1</v>
      </c>
      <c r="N174" s="244" t="s">
        <v>47</v>
      </c>
      <c r="O174" s="245">
        <v>0.72</v>
      </c>
      <c r="P174" s="245">
        <f>O174*I174</f>
        <v>100.55736</v>
      </c>
      <c r="Q174" s="245">
        <v>0</v>
      </c>
      <c r="R174" s="245">
        <f>Q174*I174</f>
        <v>0</v>
      </c>
      <c r="S174" s="245">
        <v>0</v>
      </c>
      <c r="T174" s="246">
        <f>S174*I174</f>
        <v>0</v>
      </c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R174" s="247" t="s">
        <v>212</v>
      </c>
      <c r="AT174" s="247" t="s">
        <v>208</v>
      </c>
      <c r="AU174" s="247" t="s">
        <v>92</v>
      </c>
      <c r="AY174" s="120" t="s">
        <v>206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20" t="s">
        <v>18</v>
      </c>
      <c r="BK174" s="248">
        <f>ROUND(H174*I174,2)</f>
        <v>0</v>
      </c>
      <c r="BL174" s="120" t="s">
        <v>212</v>
      </c>
      <c r="BM174" s="247" t="s">
        <v>273</v>
      </c>
    </row>
    <row r="175" spans="2:51" s="249" customFormat="1" ht="33.75">
      <c r="B175" s="250"/>
      <c r="C175" s="133"/>
      <c r="D175" s="251" t="s">
        <v>214</v>
      </c>
      <c r="E175" s="252" t="s">
        <v>274</v>
      </c>
      <c r="F175" s="253" t="s">
        <v>275</v>
      </c>
      <c r="G175" s="254"/>
      <c r="H175" s="312"/>
      <c r="I175" s="255">
        <v>3.27</v>
      </c>
      <c r="J175" s="254"/>
      <c r="K175" s="254"/>
      <c r="L175" s="256"/>
      <c r="M175" s="257"/>
      <c r="N175" s="258"/>
      <c r="O175" s="258"/>
      <c r="P175" s="258"/>
      <c r="Q175" s="258"/>
      <c r="R175" s="258"/>
      <c r="S175" s="258"/>
      <c r="T175" s="259"/>
      <c r="AT175" s="260" t="s">
        <v>214</v>
      </c>
      <c r="AU175" s="260" t="s">
        <v>92</v>
      </c>
      <c r="AV175" s="249" t="s">
        <v>92</v>
      </c>
      <c r="AW175" s="249" t="s">
        <v>39</v>
      </c>
      <c r="AX175" s="249" t="s">
        <v>82</v>
      </c>
      <c r="AY175" s="260" t="s">
        <v>206</v>
      </c>
    </row>
    <row r="176" spans="2:51" s="249" customFormat="1" ht="33.75">
      <c r="B176" s="250"/>
      <c r="C176" s="133"/>
      <c r="D176" s="251" t="s">
        <v>214</v>
      </c>
      <c r="E176" s="252" t="s">
        <v>276</v>
      </c>
      <c r="F176" s="253" t="s">
        <v>277</v>
      </c>
      <c r="G176" s="254"/>
      <c r="H176" s="312"/>
      <c r="I176" s="255">
        <v>229.502</v>
      </c>
      <c r="J176" s="254"/>
      <c r="K176" s="254"/>
      <c r="L176" s="256"/>
      <c r="M176" s="257"/>
      <c r="N176" s="258"/>
      <c r="O176" s="258"/>
      <c r="P176" s="258"/>
      <c r="Q176" s="258"/>
      <c r="R176" s="258"/>
      <c r="S176" s="258"/>
      <c r="T176" s="259"/>
      <c r="AT176" s="260" t="s">
        <v>214</v>
      </c>
      <c r="AU176" s="260" t="s">
        <v>92</v>
      </c>
      <c r="AV176" s="249" t="s">
        <v>92</v>
      </c>
      <c r="AW176" s="249" t="s">
        <v>39</v>
      </c>
      <c r="AX176" s="249" t="s">
        <v>82</v>
      </c>
      <c r="AY176" s="260" t="s">
        <v>206</v>
      </c>
    </row>
    <row r="177" spans="2:51" s="261" customFormat="1" ht="12">
      <c r="B177" s="262"/>
      <c r="C177" s="133"/>
      <c r="D177" s="251" t="s">
        <v>214</v>
      </c>
      <c r="E177" s="263" t="s">
        <v>150</v>
      </c>
      <c r="F177" s="264" t="s">
        <v>218</v>
      </c>
      <c r="G177" s="265"/>
      <c r="H177" s="313"/>
      <c r="I177" s="266">
        <v>232.772</v>
      </c>
      <c r="J177" s="265"/>
      <c r="K177" s="265"/>
      <c r="L177" s="267"/>
      <c r="M177" s="268"/>
      <c r="N177" s="269"/>
      <c r="O177" s="269"/>
      <c r="P177" s="269"/>
      <c r="Q177" s="269"/>
      <c r="R177" s="269"/>
      <c r="S177" s="269"/>
      <c r="T177" s="270"/>
      <c r="AT177" s="271" t="s">
        <v>214</v>
      </c>
      <c r="AU177" s="271" t="s">
        <v>92</v>
      </c>
      <c r="AV177" s="261" t="s">
        <v>219</v>
      </c>
      <c r="AW177" s="261" t="s">
        <v>39</v>
      </c>
      <c r="AX177" s="261" t="s">
        <v>82</v>
      </c>
      <c r="AY177" s="271" t="s">
        <v>206</v>
      </c>
    </row>
    <row r="178" spans="2:51" s="249" customFormat="1" ht="12">
      <c r="B178" s="250"/>
      <c r="C178" s="133"/>
      <c r="D178" s="251" t="s">
        <v>214</v>
      </c>
      <c r="E178" s="252" t="s">
        <v>149</v>
      </c>
      <c r="F178" s="253" t="s">
        <v>278</v>
      </c>
      <c r="G178" s="254"/>
      <c r="H178" s="312"/>
      <c r="I178" s="255">
        <v>0</v>
      </c>
      <c r="J178" s="254"/>
      <c r="K178" s="254"/>
      <c r="L178" s="256"/>
      <c r="M178" s="257"/>
      <c r="N178" s="258"/>
      <c r="O178" s="258"/>
      <c r="P178" s="258"/>
      <c r="Q178" s="258"/>
      <c r="R178" s="258"/>
      <c r="S178" s="258"/>
      <c r="T178" s="259"/>
      <c r="AT178" s="260" t="s">
        <v>214</v>
      </c>
      <c r="AU178" s="260" t="s">
        <v>92</v>
      </c>
      <c r="AV178" s="249" t="s">
        <v>92</v>
      </c>
      <c r="AW178" s="249" t="s">
        <v>39</v>
      </c>
      <c r="AX178" s="249" t="s">
        <v>82</v>
      </c>
      <c r="AY178" s="260" t="s">
        <v>206</v>
      </c>
    </row>
    <row r="179" spans="2:51" s="249" customFormat="1" ht="12">
      <c r="B179" s="250"/>
      <c r="C179" s="133"/>
      <c r="D179" s="251" t="s">
        <v>214</v>
      </c>
      <c r="E179" s="252" t="s">
        <v>147</v>
      </c>
      <c r="F179" s="253" t="s">
        <v>279</v>
      </c>
      <c r="G179" s="254"/>
      <c r="H179" s="312"/>
      <c r="I179" s="255">
        <v>232.772</v>
      </c>
      <c r="J179" s="254"/>
      <c r="K179" s="254"/>
      <c r="L179" s="256"/>
      <c r="M179" s="257"/>
      <c r="N179" s="258"/>
      <c r="O179" s="258"/>
      <c r="P179" s="258"/>
      <c r="Q179" s="258"/>
      <c r="R179" s="258"/>
      <c r="S179" s="258"/>
      <c r="T179" s="259"/>
      <c r="AT179" s="260" t="s">
        <v>214</v>
      </c>
      <c r="AU179" s="260" t="s">
        <v>92</v>
      </c>
      <c r="AV179" s="249" t="s">
        <v>92</v>
      </c>
      <c r="AW179" s="249" t="s">
        <v>39</v>
      </c>
      <c r="AX179" s="249" t="s">
        <v>82</v>
      </c>
      <c r="AY179" s="260" t="s">
        <v>206</v>
      </c>
    </row>
    <row r="180" spans="2:51" s="249" customFormat="1" ht="12">
      <c r="B180" s="250"/>
      <c r="C180" s="133"/>
      <c r="D180" s="251" t="s">
        <v>214</v>
      </c>
      <c r="E180" s="252" t="s">
        <v>151</v>
      </c>
      <c r="F180" s="253" t="s">
        <v>280</v>
      </c>
      <c r="G180" s="254"/>
      <c r="H180" s="312"/>
      <c r="I180" s="255">
        <v>139.663</v>
      </c>
      <c r="J180" s="254"/>
      <c r="K180" s="254"/>
      <c r="L180" s="256"/>
      <c r="M180" s="257"/>
      <c r="N180" s="258"/>
      <c r="O180" s="258"/>
      <c r="P180" s="258"/>
      <c r="Q180" s="258"/>
      <c r="R180" s="258"/>
      <c r="S180" s="258"/>
      <c r="T180" s="259"/>
      <c r="AT180" s="260" t="s">
        <v>214</v>
      </c>
      <c r="AU180" s="260" t="s">
        <v>92</v>
      </c>
      <c r="AV180" s="249" t="s">
        <v>92</v>
      </c>
      <c r="AW180" s="249" t="s">
        <v>39</v>
      </c>
      <c r="AX180" s="249" t="s">
        <v>18</v>
      </c>
      <c r="AY180" s="260" t="s">
        <v>206</v>
      </c>
    </row>
    <row r="181" spans="1:65" s="136" customFormat="1" ht="21.75" customHeight="1">
      <c r="A181" s="131"/>
      <c r="B181" s="132"/>
      <c r="C181" s="235">
        <v>13</v>
      </c>
      <c r="D181" s="236" t="s">
        <v>208</v>
      </c>
      <c r="E181" s="237" t="s">
        <v>281</v>
      </c>
      <c r="F181" s="238" t="s">
        <v>282</v>
      </c>
      <c r="G181" s="239" t="s">
        <v>268</v>
      </c>
      <c r="H181" s="72"/>
      <c r="I181" s="241">
        <v>93.109</v>
      </c>
      <c r="J181" s="240">
        <f>ROUND($H181*I181,2)</f>
        <v>0</v>
      </c>
      <c r="K181" s="242"/>
      <c r="L181" s="211"/>
      <c r="M181" s="243" t="s">
        <v>1</v>
      </c>
      <c r="N181" s="244" t="s">
        <v>47</v>
      </c>
      <c r="O181" s="245">
        <v>0.974</v>
      </c>
      <c r="P181" s="245">
        <f>O181*I181</f>
        <v>90.688166</v>
      </c>
      <c r="Q181" s="245">
        <v>0</v>
      </c>
      <c r="R181" s="245">
        <f>Q181*I181</f>
        <v>0</v>
      </c>
      <c r="S181" s="245">
        <v>0</v>
      </c>
      <c r="T181" s="246">
        <f>S181*I181</f>
        <v>0</v>
      </c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R181" s="247" t="s">
        <v>212</v>
      </c>
      <c r="AT181" s="247" t="s">
        <v>208</v>
      </c>
      <c r="AU181" s="247" t="s">
        <v>92</v>
      </c>
      <c r="AY181" s="120" t="s">
        <v>206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20" t="s">
        <v>18</v>
      </c>
      <c r="BK181" s="248">
        <f>ROUND(H181*I181,2)</f>
        <v>0</v>
      </c>
      <c r="BL181" s="120" t="s">
        <v>212</v>
      </c>
      <c r="BM181" s="247" t="s">
        <v>283</v>
      </c>
    </row>
    <row r="182" spans="2:51" s="249" customFormat="1" ht="12">
      <c r="B182" s="250"/>
      <c r="C182" s="133"/>
      <c r="D182" s="251" t="s">
        <v>214</v>
      </c>
      <c r="E182" s="252" t="s">
        <v>153</v>
      </c>
      <c r="F182" s="253" t="s">
        <v>284</v>
      </c>
      <c r="G182" s="254"/>
      <c r="H182" s="312"/>
      <c r="I182" s="255">
        <v>93.109</v>
      </c>
      <c r="J182" s="254"/>
      <c r="K182" s="254"/>
      <c r="L182" s="256"/>
      <c r="M182" s="257"/>
      <c r="N182" s="258"/>
      <c r="O182" s="258"/>
      <c r="P182" s="258"/>
      <c r="Q182" s="258"/>
      <c r="R182" s="258"/>
      <c r="S182" s="258"/>
      <c r="T182" s="259"/>
      <c r="AT182" s="260" t="s">
        <v>214</v>
      </c>
      <c r="AU182" s="260" t="s">
        <v>92</v>
      </c>
      <c r="AV182" s="249" t="s">
        <v>92</v>
      </c>
      <c r="AW182" s="249" t="s">
        <v>39</v>
      </c>
      <c r="AX182" s="249" t="s">
        <v>18</v>
      </c>
      <c r="AY182" s="260" t="s">
        <v>206</v>
      </c>
    </row>
    <row r="183" spans="1:65" s="136" customFormat="1" ht="21.75" customHeight="1">
      <c r="A183" s="131"/>
      <c r="B183" s="132"/>
      <c r="C183" s="235">
        <v>14</v>
      </c>
      <c r="D183" s="236" t="s">
        <v>208</v>
      </c>
      <c r="E183" s="237" t="s">
        <v>285</v>
      </c>
      <c r="F183" s="238" t="s">
        <v>286</v>
      </c>
      <c r="G183" s="239" t="s">
        <v>268</v>
      </c>
      <c r="H183" s="72"/>
      <c r="I183" s="241">
        <v>108.725</v>
      </c>
      <c r="J183" s="240">
        <f>ROUND($H183*I183,2)</f>
        <v>0</v>
      </c>
      <c r="K183" s="242"/>
      <c r="L183" s="211"/>
      <c r="M183" s="243" t="s">
        <v>1</v>
      </c>
      <c r="N183" s="244" t="s">
        <v>47</v>
      </c>
      <c r="O183" s="245">
        <v>1.763</v>
      </c>
      <c r="P183" s="245">
        <f>O183*I183</f>
        <v>191.68217499999997</v>
      </c>
      <c r="Q183" s="245">
        <v>0</v>
      </c>
      <c r="R183" s="245">
        <f>Q183*I183</f>
        <v>0</v>
      </c>
      <c r="S183" s="245">
        <v>0</v>
      </c>
      <c r="T183" s="246">
        <f>S183*I183</f>
        <v>0</v>
      </c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R183" s="247" t="s">
        <v>212</v>
      </c>
      <c r="AT183" s="247" t="s">
        <v>208</v>
      </c>
      <c r="AU183" s="247" t="s">
        <v>92</v>
      </c>
      <c r="AY183" s="120" t="s">
        <v>206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120" t="s">
        <v>18</v>
      </c>
      <c r="BK183" s="248">
        <f>ROUND(H183*I183,2)</f>
        <v>0</v>
      </c>
      <c r="BL183" s="120" t="s">
        <v>212</v>
      </c>
      <c r="BM183" s="247" t="s">
        <v>287</v>
      </c>
    </row>
    <row r="184" spans="2:51" s="249" customFormat="1" ht="22.5">
      <c r="B184" s="250"/>
      <c r="C184" s="133"/>
      <c r="D184" s="251" t="s">
        <v>214</v>
      </c>
      <c r="E184" s="252" t="s">
        <v>1</v>
      </c>
      <c r="F184" s="253" t="s">
        <v>288</v>
      </c>
      <c r="G184" s="254"/>
      <c r="H184" s="312"/>
      <c r="I184" s="255">
        <v>67.44</v>
      </c>
      <c r="J184" s="254"/>
      <c r="K184" s="254"/>
      <c r="L184" s="256"/>
      <c r="M184" s="257"/>
      <c r="N184" s="258"/>
      <c r="O184" s="258"/>
      <c r="P184" s="258"/>
      <c r="Q184" s="258"/>
      <c r="R184" s="258"/>
      <c r="S184" s="258"/>
      <c r="T184" s="259"/>
      <c r="AT184" s="260" t="s">
        <v>214</v>
      </c>
      <c r="AU184" s="260" t="s">
        <v>92</v>
      </c>
      <c r="AV184" s="249" t="s">
        <v>92</v>
      </c>
      <c r="AW184" s="249" t="s">
        <v>39</v>
      </c>
      <c r="AX184" s="249" t="s">
        <v>82</v>
      </c>
      <c r="AY184" s="260" t="s">
        <v>206</v>
      </c>
    </row>
    <row r="185" spans="2:51" s="249" customFormat="1" ht="22.5">
      <c r="B185" s="250"/>
      <c r="C185" s="133"/>
      <c r="D185" s="251" t="s">
        <v>214</v>
      </c>
      <c r="E185" s="252" t="s">
        <v>1</v>
      </c>
      <c r="F185" s="253" t="s">
        <v>289</v>
      </c>
      <c r="G185" s="254"/>
      <c r="H185" s="312"/>
      <c r="I185" s="255">
        <v>3.51</v>
      </c>
      <c r="J185" s="254"/>
      <c r="K185" s="254"/>
      <c r="L185" s="256"/>
      <c r="M185" s="257"/>
      <c r="N185" s="258"/>
      <c r="O185" s="258"/>
      <c r="P185" s="258"/>
      <c r="Q185" s="258"/>
      <c r="R185" s="258"/>
      <c r="S185" s="258"/>
      <c r="T185" s="259"/>
      <c r="AT185" s="260" t="s">
        <v>214</v>
      </c>
      <c r="AU185" s="260" t="s">
        <v>92</v>
      </c>
      <c r="AV185" s="249" t="s">
        <v>92</v>
      </c>
      <c r="AW185" s="249" t="s">
        <v>39</v>
      </c>
      <c r="AX185" s="249" t="s">
        <v>82</v>
      </c>
      <c r="AY185" s="260" t="s">
        <v>206</v>
      </c>
    </row>
    <row r="186" spans="2:51" s="249" customFormat="1" ht="12">
      <c r="B186" s="250"/>
      <c r="C186" s="133"/>
      <c r="D186" s="251" t="s">
        <v>214</v>
      </c>
      <c r="E186" s="252" t="s">
        <v>1</v>
      </c>
      <c r="F186" s="253" t="s">
        <v>290</v>
      </c>
      <c r="G186" s="254"/>
      <c r="H186" s="312"/>
      <c r="I186" s="255">
        <v>37.775</v>
      </c>
      <c r="J186" s="254"/>
      <c r="K186" s="254"/>
      <c r="L186" s="256"/>
      <c r="M186" s="257"/>
      <c r="N186" s="258"/>
      <c r="O186" s="258"/>
      <c r="P186" s="258"/>
      <c r="Q186" s="258"/>
      <c r="R186" s="258"/>
      <c r="S186" s="258"/>
      <c r="T186" s="259"/>
      <c r="AT186" s="260" t="s">
        <v>214</v>
      </c>
      <c r="AU186" s="260" t="s">
        <v>92</v>
      </c>
      <c r="AV186" s="249" t="s">
        <v>92</v>
      </c>
      <c r="AW186" s="249" t="s">
        <v>39</v>
      </c>
      <c r="AX186" s="249" t="s">
        <v>82</v>
      </c>
      <c r="AY186" s="260" t="s">
        <v>206</v>
      </c>
    </row>
    <row r="187" spans="2:51" s="272" customFormat="1" ht="12">
      <c r="B187" s="273"/>
      <c r="C187" s="133"/>
      <c r="D187" s="251" t="s">
        <v>214</v>
      </c>
      <c r="E187" s="274" t="s">
        <v>1</v>
      </c>
      <c r="F187" s="275" t="s">
        <v>291</v>
      </c>
      <c r="G187" s="276"/>
      <c r="H187" s="314"/>
      <c r="I187" s="277">
        <v>108.725</v>
      </c>
      <c r="J187" s="276"/>
      <c r="K187" s="276"/>
      <c r="L187" s="278"/>
      <c r="M187" s="279"/>
      <c r="N187" s="280"/>
      <c r="O187" s="280"/>
      <c r="P187" s="280"/>
      <c r="Q187" s="280"/>
      <c r="R187" s="280"/>
      <c r="S187" s="280"/>
      <c r="T187" s="281"/>
      <c r="AT187" s="282" t="s">
        <v>214</v>
      </c>
      <c r="AU187" s="282" t="s">
        <v>92</v>
      </c>
      <c r="AV187" s="272" t="s">
        <v>212</v>
      </c>
      <c r="AW187" s="272" t="s">
        <v>39</v>
      </c>
      <c r="AX187" s="272" t="s">
        <v>18</v>
      </c>
      <c r="AY187" s="282" t="s">
        <v>206</v>
      </c>
    </row>
    <row r="188" spans="1:65" s="136" customFormat="1" ht="16.5" customHeight="1">
      <c r="A188" s="131"/>
      <c r="B188" s="132"/>
      <c r="C188" s="235">
        <v>15</v>
      </c>
      <c r="D188" s="236" t="s">
        <v>208</v>
      </c>
      <c r="E188" s="237" t="s">
        <v>292</v>
      </c>
      <c r="F188" s="238" t="s">
        <v>293</v>
      </c>
      <c r="G188" s="239" t="s">
        <v>211</v>
      </c>
      <c r="H188" s="72"/>
      <c r="I188" s="241">
        <f>I189</f>
        <v>867.921</v>
      </c>
      <c r="J188" s="240">
        <f>ROUND($H188*I188,2)</f>
        <v>0</v>
      </c>
      <c r="K188" s="242"/>
      <c r="L188" s="211"/>
      <c r="M188" s="243" t="s">
        <v>1</v>
      </c>
      <c r="N188" s="244" t="s">
        <v>47</v>
      </c>
      <c r="O188" s="245">
        <v>0.236</v>
      </c>
      <c r="P188" s="245">
        <f>O188*I188</f>
        <v>204.829356</v>
      </c>
      <c r="Q188" s="245">
        <v>0.00084</v>
      </c>
      <c r="R188" s="245">
        <f>Q188*I188</f>
        <v>0.7290536400000001</v>
      </c>
      <c r="S188" s="245">
        <v>0</v>
      </c>
      <c r="T188" s="246">
        <f>S188*I188</f>
        <v>0</v>
      </c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R188" s="247" t="s">
        <v>212</v>
      </c>
      <c r="AT188" s="247" t="s">
        <v>208</v>
      </c>
      <c r="AU188" s="247" t="s">
        <v>92</v>
      </c>
      <c r="AY188" s="120" t="s">
        <v>206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20" t="s">
        <v>18</v>
      </c>
      <c r="BK188" s="248">
        <f>ROUND(H188*I188,2)</f>
        <v>0</v>
      </c>
      <c r="BL188" s="120" t="s">
        <v>212</v>
      </c>
      <c r="BM188" s="247" t="s">
        <v>294</v>
      </c>
    </row>
    <row r="189" spans="2:51" s="249" customFormat="1" ht="12">
      <c r="B189" s="250"/>
      <c r="C189" s="133"/>
      <c r="D189" s="251" t="s">
        <v>214</v>
      </c>
      <c r="E189" s="252" t="s">
        <v>135</v>
      </c>
      <c r="F189" s="253" t="s">
        <v>295</v>
      </c>
      <c r="G189" s="254"/>
      <c r="H189" s="312"/>
      <c r="I189" s="255">
        <v>867.921</v>
      </c>
      <c r="J189" s="254"/>
      <c r="K189" s="254"/>
      <c r="L189" s="256"/>
      <c r="M189" s="257"/>
      <c r="N189" s="258"/>
      <c r="O189" s="258"/>
      <c r="P189" s="258"/>
      <c r="Q189" s="258"/>
      <c r="R189" s="258"/>
      <c r="S189" s="258"/>
      <c r="T189" s="259"/>
      <c r="AT189" s="260" t="s">
        <v>214</v>
      </c>
      <c r="AU189" s="260" t="s">
        <v>92</v>
      </c>
      <c r="AV189" s="249" t="s">
        <v>92</v>
      </c>
      <c r="AW189" s="249" t="s">
        <v>39</v>
      </c>
      <c r="AX189" s="249" t="s">
        <v>82</v>
      </c>
      <c r="AY189" s="260" t="s">
        <v>206</v>
      </c>
    </row>
    <row r="190" spans="1:65" s="136" customFormat="1" ht="21.75" customHeight="1">
      <c r="A190" s="131"/>
      <c r="B190" s="132"/>
      <c r="C190" s="235">
        <v>16</v>
      </c>
      <c r="D190" s="236" t="s">
        <v>208</v>
      </c>
      <c r="E190" s="237" t="s">
        <v>296</v>
      </c>
      <c r="F190" s="238" t="s">
        <v>297</v>
      </c>
      <c r="G190" s="239" t="s">
        <v>211</v>
      </c>
      <c r="H190" s="72"/>
      <c r="I190" s="241">
        <f>I191</f>
        <v>867.921</v>
      </c>
      <c r="J190" s="240">
        <f>ROUND($H190*I190,2)</f>
        <v>0</v>
      </c>
      <c r="K190" s="242"/>
      <c r="L190" s="211"/>
      <c r="M190" s="243" t="s">
        <v>1</v>
      </c>
      <c r="N190" s="244" t="s">
        <v>47</v>
      </c>
      <c r="O190" s="245">
        <v>0.216</v>
      </c>
      <c r="P190" s="245">
        <f>O190*I190</f>
        <v>187.470936</v>
      </c>
      <c r="Q190" s="245">
        <v>0</v>
      </c>
      <c r="R190" s="245">
        <f>Q190*I190</f>
        <v>0</v>
      </c>
      <c r="S190" s="245">
        <v>0</v>
      </c>
      <c r="T190" s="246">
        <f>S190*I190</f>
        <v>0</v>
      </c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R190" s="247" t="s">
        <v>212</v>
      </c>
      <c r="AT190" s="247" t="s">
        <v>208</v>
      </c>
      <c r="AU190" s="247" t="s">
        <v>92</v>
      </c>
      <c r="AY190" s="120" t="s">
        <v>206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20" t="s">
        <v>18</v>
      </c>
      <c r="BK190" s="248">
        <f>ROUND(H190*I190,2)</f>
        <v>0</v>
      </c>
      <c r="BL190" s="120" t="s">
        <v>212</v>
      </c>
      <c r="BM190" s="247" t="s">
        <v>298</v>
      </c>
    </row>
    <row r="191" spans="2:51" s="249" customFormat="1" ht="12">
      <c r="B191" s="250"/>
      <c r="C191" s="133"/>
      <c r="D191" s="251" t="s">
        <v>214</v>
      </c>
      <c r="E191" s="252" t="s">
        <v>1</v>
      </c>
      <c r="F191" s="253" t="s">
        <v>137</v>
      </c>
      <c r="G191" s="254"/>
      <c r="H191" s="312"/>
      <c r="I191" s="255">
        <f>I189</f>
        <v>867.921</v>
      </c>
      <c r="J191" s="254"/>
      <c r="K191" s="254"/>
      <c r="L191" s="256"/>
      <c r="M191" s="257"/>
      <c r="N191" s="258"/>
      <c r="O191" s="258"/>
      <c r="P191" s="258"/>
      <c r="Q191" s="258"/>
      <c r="R191" s="258"/>
      <c r="S191" s="258"/>
      <c r="T191" s="259"/>
      <c r="AT191" s="260" t="s">
        <v>214</v>
      </c>
      <c r="AU191" s="260" t="s">
        <v>92</v>
      </c>
      <c r="AV191" s="249" t="s">
        <v>92</v>
      </c>
      <c r="AW191" s="249" t="s">
        <v>39</v>
      </c>
      <c r="AX191" s="249" t="s">
        <v>18</v>
      </c>
      <c r="AY191" s="260" t="s">
        <v>206</v>
      </c>
    </row>
    <row r="192" spans="1:65" s="136" customFormat="1" ht="33" customHeight="1">
      <c r="A192" s="131"/>
      <c r="B192" s="132"/>
      <c r="C192" s="235">
        <v>17</v>
      </c>
      <c r="D192" s="236" t="s">
        <v>208</v>
      </c>
      <c r="E192" s="237" t="s">
        <v>303</v>
      </c>
      <c r="F192" s="238" t="s">
        <v>304</v>
      </c>
      <c r="G192" s="239" t="s">
        <v>268</v>
      </c>
      <c r="H192" s="72"/>
      <c r="I192" s="241">
        <v>139.663</v>
      </c>
      <c r="J192" s="240">
        <f>ROUND($H192*I192,2)</f>
        <v>0</v>
      </c>
      <c r="K192" s="242"/>
      <c r="L192" s="211"/>
      <c r="M192" s="243" t="s">
        <v>1</v>
      </c>
      <c r="N192" s="244" t="s">
        <v>47</v>
      </c>
      <c r="O192" s="245">
        <v>0.087</v>
      </c>
      <c r="P192" s="245">
        <f>O192*I192</f>
        <v>12.150681</v>
      </c>
      <c r="Q192" s="245">
        <v>0</v>
      </c>
      <c r="R192" s="245">
        <f>Q192*I192</f>
        <v>0</v>
      </c>
      <c r="S192" s="245">
        <v>0</v>
      </c>
      <c r="T192" s="246">
        <f>S192*I192</f>
        <v>0</v>
      </c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R192" s="247" t="s">
        <v>212</v>
      </c>
      <c r="AT192" s="247" t="s">
        <v>208</v>
      </c>
      <c r="AU192" s="247" t="s">
        <v>92</v>
      </c>
      <c r="AY192" s="120" t="s">
        <v>206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20" t="s">
        <v>18</v>
      </c>
      <c r="BK192" s="248">
        <f>ROUND(H192*I192,2)</f>
        <v>0</v>
      </c>
      <c r="BL192" s="120" t="s">
        <v>212</v>
      </c>
      <c r="BM192" s="247" t="s">
        <v>305</v>
      </c>
    </row>
    <row r="193" spans="2:51" s="249" customFormat="1" ht="22.5">
      <c r="B193" s="250"/>
      <c r="C193" s="133"/>
      <c r="D193" s="251" t="s">
        <v>214</v>
      </c>
      <c r="E193" s="252" t="s">
        <v>156</v>
      </c>
      <c r="F193" s="253" t="s">
        <v>306</v>
      </c>
      <c r="G193" s="254"/>
      <c r="H193" s="312"/>
      <c r="I193" s="255">
        <v>134.073</v>
      </c>
      <c r="J193" s="254"/>
      <c r="K193" s="254"/>
      <c r="L193" s="256"/>
      <c r="M193" s="257"/>
      <c r="N193" s="258"/>
      <c r="O193" s="258"/>
      <c r="P193" s="258"/>
      <c r="Q193" s="258"/>
      <c r="R193" s="258"/>
      <c r="S193" s="258"/>
      <c r="T193" s="259"/>
      <c r="AT193" s="260" t="s">
        <v>214</v>
      </c>
      <c r="AU193" s="260" t="s">
        <v>92</v>
      </c>
      <c r="AV193" s="249" t="s">
        <v>92</v>
      </c>
      <c r="AW193" s="249" t="s">
        <v>39</v>
      </c>
      <c r="AX193" s="249" t="s">
        <v>82</v>
      </c>
      <c r="AY193" s="260" t="s">
        <v>206</v>
      </c>
    </row>
    <row r="194" spans="2:51" s="249" customFormat="1" ht="12">
      <c r="B194" s="250"/>
      <c r="C194" s="133"/>
      <c r="D194" s="251" t="s">
        <v>214</v>
      </c>
      <c r="E194" s="252" t="s">
        <v>155</v>
      </c>
      <c r="F194" s="253" t="s">
        <v>307</v>
      </c>
      <c r="G194" s="254"/>
      <c r="H194" s="312"/>
      <c r="I194" s="255">
        <v>0</v>
      </c>
      <c r="J194" s="254"/>
      <c r="K194" s="254"/>
      <c r="L194" s="256"/>
      <c r="M194" s="257"/>
      <c r="N194" s="258"/>
      <c r="O194" s="258"/>
      <c r="P194" s="258"/>
      <c r="Q194" s="258"/>
      <c r="R194" s="258"/>
      <c r="S194" s="258"/>
      <c r="T194" s="259"/>
      <c r="AT194" s="260" t="s">
        <v>214</v>
      </c>
      <c r="AU194" s="260" t="s">
        <v>92</v>
      </c>
      <c r="AV194" s="249" t="s">
        <v>92</v>
      </c>
      <c r="AW194" s="249" t="s">
        <v>39</v>
      </c>
      <c r="AX194" s="249" t="s">
        <v>82</v>
      </c>
      <c r="AY194" s="260" t="s">
        <v>206</v>
      </c>
    </row>
    <row r="195" spans="2:51" s="249" customFormat="1" ht="22.5">
      <c r="B195" s="250"/>
      <c r="C195" s="133"/>
      <c r="D195" s="251" t="s">
        <v>214</v>
      </c>
      <c r="E195" s="252" t="s">
        <v>308</v>
      </c>
      <c r="F195" s="253" t="s">
        <v>309</v>
      </c>
      <c r="G195" s="254"/>
      <c r="H195" s="312"/>
      <c r="I195" s="255">
        <v>139.663</v>
      </c>
      <c r="J195" s="254"/>
      <c r="K195" s="254"/>
      <c r="L195" s="256"/>
      <c r="M195" s="257"/>
      <c r="N195" s="258"/>
      <c r="O195" s="258"/>
      <c r="P195" s="258"/>
      <c r="Q195" s="258"/>
      <c r="R195" s="258"/>
      <c r="S195" s="258"/>
      <c r="T195" s="259"/>
      <c r="AT195" s="260" t="s">
        <v>214</v>
      </c>
      <c r="AU195" s="260" t="s">
        <v>92</v>
      </c>
      <c r="AV195" s="249" t="s">
        <v>92</v>
      </c>
      <c r="AW195" s="249" t="s">
        <v>39</v>
      </c>
      <c r="AX195" s="249" t="s">
        <v>18</v>
      </c>
      <c r="AY195" s="260" t="s">
        <v>206</v>
      </c>
    </row>
    <row r="196" spans="1:65" s="136" customFormat="1" ht="33" customHeight="1">
      <c r="A196" s="131"/>
      <c r="B196" s="132"/>
      <c r="C196" s="235">
        <v>18</v>
      </c>
      <c r="D196" s="236" t="s">
        <v>208</v>
      </c>
      <c r="E196" s="237" t="s">
        <v>310</v>
      </c>
      <c r="F196" s="238" t="s">
        <v>311</v>
      </c>
      <c r="G196" s="239" t="s">
        <v>268</v>
      </c>
      <c r="H196" s="72"/>
      <c r="I196" s="241">
        <v>93.109</v>
      </c>
      <c r="J196" s="240">
        <f>ROUND($H196*I196,2)</f>
        <v>0</v>
      </c>
      <c r="K196" s="242"/>
      <c r="L196" s="211"/>
      <c r="M196" s="243" t="s">
        <v>1</v>
      </c>
      <c r="N196" s="244" t="s">
        <v>47</v>
      </c>
      <c r="O196" s="245">
        <v>0.099</v>
      </c>
      <c r="P196" s="245">
        <f>O196*I196</f>
        <v>9.217791</v>
      </c>
      <c r="Q196" s="245">
        <v>0</v>
      </c>
      <c r="R196" s="245">
        <f>Q196*I196</f>
        <v>0</v>
      </c>
      <c r="S196" s="245">
        <v>0</v>
      </c>
      <c r="T196" s="246">
        <f>S196*I196</f>
        <v>0</v>
      </c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R196" s="247" t="s">
        <v>212</v>
      </c>
      <c r="AT196" s="247" t="s">
        <v>208</v>
      </c>
      <c r="AU196" s="247" t="s">
        <v>92</v>
      </c>
      <c r="AY196" s="120" t="s">
        <v>206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20" t="s">
        <v>18</v>
      </c>
      <c r="BK196" s="248">
        <f>ROUND(H196*I196,2)</f>
        <v>0</v>
      </c>
      <c r="BL196" s="120" t="s">
        <v>212</v>
      </c>
      <c r="BM196" s="247" t="s">
        <v>312</v>
      </c>
    </row>
    <row r="197" spans="2:51" s="249" customFormat="1" ht="22.5">
      <c r="B197" s="250"/>
      <c r="C197" s="133"/>
      <c r="D197" s="251" t="s">
        <v>214</v>
      </c>
      <c r="E197" s="252" t="s">
        <v>313</v>
      </c>
      <c r="F197" s="253" t="s">
        <v>314</v>
      </c>
      <c r="G197" s="254"/>
      <c r="H197" s="312"/>
      <c r="I197" s="255">
        <v>93.109</v>
      </c>
      <c r="J197" s="254"/>
      <c r="K197" s="254"/>
      <c r="L197" s="256"/>
      <c r="M197" s="257"/>
      <c r="N197" s="258"/>
      <c r="O197" s="258"/>
      <c r="P197" s="258"/>
      <c r="Q197" s="258"/>
      <c r="R197" s="258"/>
      <c r="S197" s="258"/>
      <c r="T197" s="259"/>
      <c r="AT197" s="260" t="s">
        <v>214</v>
      </c>
      <c r="AU197" s="260" t="s">
        <v>92</v>
      </c>
      <c r="AV197" s="249" t="s">
        <v>92</v>
      </c>
      <c r="AW197" s="249" t="s">
        <v>39</v>
      </c>
      <c r="AX197" s="249" t="s">
        <v>18</v>
      </c>
      <c r="AY197" s="260" t="s">
        <v>206</v>
      </c>
    </row>
    <row r="198" spans="1:65" s="136" customFormat="1" ht="21.75" customHeight="1">
      <c r="A198" s="131"/>
      <c r="B198" s="132"/>
      <c r="C198" s="235">
        <v>19</v>
      </c>
      <c r="D198" s="236" t="s">
        <v>208</v>
      </c>
      <c r="E198" s="237" t="s">
        <v>315</v>
      </c>
      <c r="F198" s="238" t="s">
        <v>316</v>
      </c>
      <c r="G198" s="239" t="s">
        <v>268</v>
      </c>
      <c r="H198" s="72"/>
      <c r="I198" s="241">
        <v>254.636</v>
      </c>
      <c r="J198" s="240">
        <f>ROUND($H198*I198,2)</f>
        <v>0</v>
      </c>
      <c r="K198" s="242"/>
      <c r="L198" s="211"/>
      <c r="M198" s="243" t="s">
        <v>1</v>
      </c>
      <c r="N198" s="244" t="s">
        <v>47</v>
      </c>
      <c r="O198" s="245">
        <v>0.328</v>
      </c>
      <c r="P198" s="245">
        <f>O198*I198</f>
        <v>83.520608</v>
      </c>
      <c r="Q198" s="245">
        <v>0</v>
      </c>
      <c r="R198" s="245">
        <f>Q198*I198</f>
        <v>0</v>
      </c>
      <c r="S198" s="245">
        <v>0</v>
      </c>
      <c r="T198" s="246">
        <f>S198*I198</f>
        <v>0</v>
      </c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R198" s="247" t="s">
        <v>212</v>
      </c>
      <c r="AT198" s="247" t="s">
        <v>208</v>
      </c>
      <c r="AU198" s="247" t="s">
        <v>92</v>
      </c>
      <c r="AY198" s="120" t="s">
        <v>206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20" t="s">
        <v>18</v>
      </c>
      <c r="BK198" s="248">
        <f>ROUND(H198*I198,2)</f>
        <v>0</v>
      </c>
      <c r="BL198" s="120" t="s">
        <v>212</v>
      </c>
      <c r="BM198" s="247" t="s">
        <v>317</v>
      </c>
    </row>
    <row r="199" spans="2:51" s="249" customFormat="1" ht="12">
      <c r="B199" s="250"/>
      <c r="C199" s="133"/>
      <c r="D199" s="251" t="s">
        <v>214</v>
      </c>
      <c r="E199" s="252" t="s">
        <v>164</v>
      </c>
      <c r="F199" s="253" t="s">
        <v>318</v>
      </c>
      <c r="G199" s="254"/>
      <c r="H199" s="312"/>
      <c r="I199" s="255">
        <v>98.699</v>
      </c>
      <c r="J199" s="254"/>
      <c r="K199" s="254"/>
      <c r="L199" s="256"/>
      <c r="M199" s="257"/>
      <c r="N199" s="258"/>
      <c r="O199" s="258"/>
      <c r="P199" s="258"/>
      <c r="Q199" s="258"/>
      <c r="R199" s="258"/>
      <c r="S199" s="258"/>
      <c r="T199" s="259"/>
      <c r="AT199" s="260" t="s">
        <v>214</v>
      </c>
      <c r="AU199" s="260" t="s">
        <v>92</v>
      </c>
      <c r="AV199" s="249" t="s">
        <v>92</v>
      </c>
      <c r="AW199" s="249" t="s">
        <v>39</v>
      </c>
      <c r="AX199" s="249" t="s">
        <v>82</v>
      </c>
      <c r="AY199" s="260" t="s">
        <v>206</v>
      </c>
    </row>
    <row r="200" spans="2:51" s="249" customFormat="1" ht="12">
      <c r="B200" s="250"/>
      <c r="C200" s="133"/>
      <c r="D200" s="251" t="s">
        <v>214</v>
      </c>
      <c r="E200" s="252" t="s">
        <v>319</v>
      </c>
      <c r="F200" s="253" t="s">
        <v>320</v>
      </c>
      <c r="G200" s="254"/>
      <c r="H200" s="312"/>
      <c r="I200" s="255">
        <v>0</v>
      </c>
      <c r="J200" s="254"/>
      <c r="K200" s="254"/>
      <c r="L200" s="256"/>
      <c r="M200" s="257"/>
      <c r="N200" s="258"/>
      <c r="O200" s="258"/>
      <c r="P200" s="258"/>
      <c r="Q200" s="258"/>
      <c r="R200" s="258"/>
      <c r="S200" s="258"/>
      <c r="T200" s="259"/>
      <c r="AT200" s="260" t="s">
        <v>214</v>
      </c>
      <c r="AU200" s="260" t="s">
        <v>92</v>
      </c>
      <c r="AV200" s="249" t="s">
        <v>92</v>
      </c>
      <c r="AW200" s="249" t="s">
        <v>39</v>
      </c>
      <c r="AX200" s="249" t="s">
        <v>82</v>
      </c>
      <c r="AY200" s="260" t="s">
        <v>206</v>
      </c>
    </row>
    <row r="201" spans="2:51" s="249" customFormat="1" ht="22.5">
      <c r="B201" s="250"/>
      <c r="C201" s="133"/>
      <c r="D201" s="251" t="s">
        <v>214</v>
      </c>
      <c r="E201" s="252" t="s">
        <v>169</v>
      </c>
      <c r="F201" s="253" t="s">
        <v>321</v>
      </c>
      <c r="G201" s="254"/>
      <c r="H201" s="312"/>
      <c r="I201" s="255">
        <v>13.212</v>
      </c>
      <c r="J201" s="254"/>
      <c r="K201" s="254"/>
      <c r="L201" s="256"/>
      <c r="M201" s="257"/>
      <c r="N201" s="258"/>
      <c r="O201" s="258"/>
      <c r="P201" s="258"/>
      <c r="Q201" s="258"/>
      <c r="R201" s="258"/>
      <c r="S201" s="258"/>
      <c r="T201" s="259"/>
      <c r="AT201" s="260" t="s">
        <v>214</v>
      </c>
      <c r="AU201" s="260" t="s">
        <v>92</v>
      </c>
      <c r="AV201" s="249" t="s">
        <v>92</v>
      </c>
      <c r="AW201" s="249" t="s">
        <v>39</v>
      </c>
      <c r="AX201" s="249" t="s">
        <v>82</v>
      </c>
      <c r="AY201" s="260" t="s">
        <v>206</v>
      </c>
    </row>
    <row r="202" spans="2:51" s="249" customFormat="1" ht="22.5">
      <c r="B202" s="250"/>
      <c r="C202" s="133"/>
      <c r="D202" s="251" t="s">
        <v>214</v>
      </c>
      <c r="E202" s="252" t="s">
        <v>167</v>
      </c>
      <c r="F202" s="253" t="s">
        <v>322</v>
      </c>
      <c r="G202" s="254"/>
      <c r="H202" s="312"/>
      <c r="I202" s="255">
        <v>142.725</v>
      </c>
      <c r="J202" s="254"/>
      <c r="K202" s="254"/>
      <c r="L202" s="256"/>
      <c r="M202" s="257"/>
      <c r="N202" s="258"/>
      <c r="O202" s="258"/>
      <c r="P202" s="258"/>
      <c r="Q202" s="258"/>
      <c r="R202" s="258"/>
      <c r="S202" s="258"/>
      <c r="T202" s="259"/>
      <c r="AT202" s="260" t="s">
        <v>214</v>
      </c>
      <c r="AU202" s="260" t="s">
        <v>92</v>
      </c>
      <c r="AV202" s="249" t="s">
        <v>92</v>
      </c>
      <c r="AW202" s="249" t="s">
        <v>39</v>
      </c>
      <c r="AX202" s="249" t="s">
        <v>82</v>
      </c>
      <c r="AY202" s="260" t="s">
        <v>206</v>
      </c>
    </row>
    <row r="203" spans="2:51" s="272" customFormat="1" ht="12">
      <c r="B203" s="273"/>
      <c r="C203" s="133"/>
      <c r="D203" s="251" t="s">
        <v>214</v>
      </c>
      <c r="E203" s="274" t="s">
        <v>323</v>
      </c>
      <c r="F203" s="275" t="s">
        <v>291</v>
      </c>
      <c r="G203" s="276"/>
      <c r="H203" s="314"/>
      <c r="I203" s="277">
        <v>254.636</v>
      </c>
      <c r="J203" s="276"/>
      <c r="K203" s="276"/>
      <c r="L203" s="278"/>
      <c r="M203" s="279"/>
      <c r="N203" s="280"/>
      <c r="O203" s="280"/>
      <c r="P203" s="280"/>
      <c r="Q203" s="280"/>
      <c r="R203" s="280"/>
      <c r="S203" s="280"/>
      <c r="T203" s="281"/>
      <c r="AT203" s="282" t="s">
        <v>214</v>
      </c>
      <c r="AU203" s="282" t="s">
        <v>92</v>
      </c>
      <c r="AV203" s="272" t="s">
        <v>212</v>
      </c>
      <c r="AW203" s="272" t="s">
        <v>39</v>
      </c>
      <c r="AX203" s="272" t="s">
        <v>18</v>
      </c>
      <c r="AY203" s="282" t="s">
        <v>206</v>
      </c>
    </row>
    <row r="204" spans="1:65" s="136" customFormat="1" ht="30" customHeight="1">
      <c r="A204" s="131"/>
      <c r="B204" s="132"/>
      <c r="C204" s="283">
        <v>20</v>
      </c>
      <c r="D204" s="284" t="s">
        <v>324</v>
      </c>
      <c r="E204" s="285"/>
      <c r="F204" s="286" t="s">
        <v>898</v>
      </c>
      <c r="G204" s="287" t="s">
        <v>325</v>
      </c>
      <c r="H204" s="73"/>
      <c r="I204" s="288">
        <v>509.272</v>
      </c>
      <c r="J204" s="240">
        <f>ROUND($H204*I204,2)</f>
        <v>0</v>
      </c>
      <c r="K204" s="289"/>
      <c r="L204" s="290"/>
      <c r="M204" s="291" t="s">
        <v>1</v>
      </c>
      <c r="N204" s="292" t="s">
        <v>47</v>
      </c>
      <c r="O204" s="245">
        <v>0</v>
      </c>
      <c r="P204" s="245">
        <f>O204*I204</f>
        <v>0</v>
      </c>
      <c r="Q204" s="245">
        <v>1</v>
      </c>
      <c r="R204" s="245">
        <f>Q204*I204</f>
        <v>509.272</v>
      </c>
      <c r="S204" s="245">
        <v>0</v>
      </c>
      <c r="T204" s="246">
        <f>S204*I204</f>
        <v>0</v>
      </c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R204" s="247" t="s">
        <v>256</v>
      </c>
      <c r="AT204" s="247" t="s">
        <v>324</v>
      </c>
      <c r="AU204" s="247" t="s">
        <v>92</v>
      </c>
      <c r="AY204" s="120" t="s">
        <v>206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20" t="s">
        <v>18</v>
      </c>
      <c r="BK204" s="248">
        <f>ROUND(H204*I204,2)</f>
        <v>0</v>
      </c>
      <c r="BL204" s="120" t="s">
        <v>212</v>
      </c>
      <c r="BM204" s="247" t="s">
        <v>326</v>
      </c>
    </row>
    <row r="205" spans="2:51" s="254" customFormat="1" ht="12">
      <c r="B205" s="250"/>
      <c r="C205" s="133"/>
      <c r="D205" s="251" t="s">
        <v>214</v>
      </c>
      <c r="E205" s="252" t="s">
        <v>1</v>
      </c>
      <c r="F205" s="253" t="s">
        <v>327</v>
      </c>
      <c r="H205" s="312"/>
      <c r="I205" s="255">
        <v>509.272</v>
      </c>
      <c r="L205" s="250"/>
      <c r="M205" s="293"/>
      <c r="N205" s="294"/>
      <c r="O205" s="294"/>
      <c r="P205" s="294"/>
      <c r="Q205" s="294"/>
      <c r="R205" s="294"/>
      <c r="S205" s="294"/>
      <c r="T205" s="295"/>
      <c r="AT205" s="252" t="s">
        <v>214</v>
      </c>
      <c r="AU205" s="252" t="s">
        <v>92</v>
      </c>
      <c r="AV205" s="254" t="s">
        <v>92</v>
      </c>
      <c r="AW205" s="254" t="s">
        <v>39</v>
      </c>
      <c r="AX205" s="254" t="s">
        <v>18</v>
      </c>
      <c r="AY205" s="252" t="s">
        <v>206</v>
      </c>
    </row>
    <row r="206" spans="1:65" s="136" customFormat="1" ht="21.75" customHeight="1">
      <c r="A206" s="131"/>
      <c r="B206" s="132"/>
      <c r="C206" s="235">
        <v>21</v>
      </c>
      <c r="D206" s="236" t="s">
        <v>208</v>
      </c>
      <c r="E206" s="237" t="s">
        <v>328</v>
      </c>
      <c r="F206" s="238" t="s">
        <v>329</v>
      </c>
      <c r="G206" s="239" t="s">
        <v>268</v>
      </c>
      <c r="H206" s="72"/>
      <c r="I206" s="241">
        <v>92.058</v>
      </c>
      <c r="J206" s="240">
        <f>ROUND($H206*I206,2)</f>
        <v>0</v>
      </c>
      <c r="K206" s="242"/>
      <c r="L206" s="211"/>
      <c r="M206" s="243" t="s">
        <v>1</v>
      </c>
      <c r="N206" s="244" t="s">
        <v>47</v>
      </c>
      <c r="O206" s="245">
        <v>0.435</v>
      </c>
      <c r="P206" s="245">
        <f>O206*I206</f>
        <v>40.045230000000004</v>
      </c>
      <c r="Q206" s="245">
        <v>0</v>
      </c>
      <c r="R206" s="245">
        <f>Q206*I206</f>
        <v>0</v>
      </c>
      <c r="S206" s="245">
        <v>0</v>
      </c>
      <c r="T206" s="246">
        <f>S206*I206</f>
        <v>0</v>
      </c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R206" s="247" t="s">
        <v>212</v>
      </c>
      <c r="AT206" s="247" t="s">
        <v>208</v>
      </c>
      <c r="AU206" s="247" t="s">
        <v>92</v>
      </c>
      <c r="AY206" s="120" t="s">
        <v>206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20" t="s">
        <v>18</v>
      </c>
      <c r="BK206" s="248">
        <f>ROUND(H206*I206,2)</f>
        <v>0</v>
      </c>
      <c r="BL206" s="120" t="s">
        <v>212</v>
      </c>
      <c r="BM206" s="247" t="s">
        <v>330</v>
      </c>
    </row>
    <row r="207" spans="2:51" s="249" customFormat="1" ht="12">
      <c r="B207" s="250"/>
      <c r="C207" s="133"/>
      <c r="D207" s="251" t="s">
        <v>214</v>
      </c>
      <c r="E207" s="252" t="s">
        <v>130</v>
      </c>
      <c r="F207" s="253" t="s">
        <v>331</v>
      </c>
      <c r="G207" s="254"/>
      <c r="H207" s="312"/>
      <c r="I207" s="255">
        <v>92.058</v>
      </c>
      <c r="J207" s="254"/>
      <c r="K207" s="254"/>
      <c r="L207" s="256"/>
      <c r="M207" s="257"/>
      <c r="N207" s="258"/>
      <c r="O207" s="258"/>
      <c r="P207" s="258"/>
      <c r="Q207" s="258"/>
      <c r="R207" s="258"/>
      <c r="S207" s="258"/>
      <c r="T207" s="259"/>
      <c r="AT207" s="260" t="s">
        <v>214</v>
      </c>
      <c r="AU207" s="260" t="s">
        <v>92</v>
      </c>
      <c r="AV207" s="249" t="s">
        <v>92</v>
      </c>
      <c r="AW207" s="249" t="s">
        <v>39</v>
      </c>
      <c r="AX207" s="249" t="s">
        <v>18</v>
      </c>
      <c r="AY207" s="260" t="s">
        <v>206</v>
      </c>
    </row>
    <row r="208" spans="1:65" s="136" customFormat="1" ht="16.5" customHeight="1">
      <c r="A208" s="131"/>
      <c r="B208" s="132"/>
      <c r="C208" s="283">
        <v>22</v>
      </c>
      <c r="D208" s="284" t="s">
        <v>324</v>
      </c>
      <c r="E208" s="285" t="s">
        <v>332</v>
      </c>
      <c r="F208" s="286" t="s">
        <v>333</v>
      </c>
      <c r="G208" s="287" t="s">
        <v>325</v>
      </c>
      <c r="H208" s="73"/>
      <c r="I208" s="288">
        <v>184.116</v>
      </c>
      <c r="J208" s="240">
        <f>ROUND($H208*I208,2)</f>
        <v>0</v>
      </c>
      <c r="K208" s="289"/>
      <c r="L208" s="290"/>
      <c r="M208" s="291" t="s">
        <v>1</v>
      </c>
      <c r="N208" s="292" t="s">
        <v>47</v>
      </c>
      <c r="O208" s="245">
        <v>0</v>
      </c>
      <c r="P208" s="245">
        <f>O208*I208</f>
        <v>0</v>
      </c>
      <c r="Q208" s="245">
        <v>1</v>
      </c>
      <c r="R208" s="245">
        <f>Q208*I208</f>
        <v>184.116</v>
      </c>
      <c r="S208" s="245">
        <v>0</v>
      </c>
      <c r="T208" s="246">
        <f>S208*I208</f>
        <v>0</v>
      </c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R208" s="247" t="s">
        <v>256</v>
      </c>
      <c r="AT208" s="247" t="s">
        <v>324</v>
      </c>
      <c r="AU208" s="247" t="s">
        <v>92</v>
      </c>
      <c r="AY208" s="120" t="s">
        <v>206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20" t="s">
        <v>18</v>
      </c>
      <c r="BK208" s="248">
        <f>ROUND(H208*I208,2)</f>
        <v>0</v>
      </c>
      <c r="BL208" s="120" t="s">
        <v>212</v>
      </c>
      <c r="BM208" s="247" t="s">
        <v>334</v>
      </c>
    </row>
    <row r="209" spans="2:51" s="249" customFormat="1" ht="12">
      <c r="B209" s="250"/>
      <c r="C209" s="133"/>
      <c r="D209" s="251" t="s">
        <v>214</v>
      </c>
      <c r="E209" s="252" t="s">
        <v>1</v>
      </c>
      <c r="F209" s="253" t="s">
        <v>335</v>
      </c>
      <c r="G209" s="254"/>
      <c r="H209" s="312"/>
      <c r="I209" s="255">
        <v>184.116</v>
      </c>
      <c r="J209" s="254"/>
      <c r="K209" s="254"/>
      <c r="L209" s="256"/>
      <c r="M209" s="257"/>
      <c r="N209" s="258"/>
      <c r="O209" s="258"/>
      <c r="P209" s="258"/>
      <c r="Q209" s="258"/>
      <c r="R209" s="258"/>
      <c r="S209" s="258"/>
      <c r="T209" s="259"/>
      <c r="AT209" s="260" t="s">
        <v>214</v>
      </c>
      <c r="AU209" s="260" t="s">
        <v>92</v>
      </c>
      <c r="AV209" s="249" t="s">
        <v>92</v>
      </c>
      <c r="AW209" s="249" t="s">
        <v>39</v>
      </c>
      <c r="AX209" s="249" t="s">
        <v>18</v>
      </c>
      <c r="AY209" s="260" t="s">
        <v>206</v>
      </c>
    </row>
    <row r="210" spans="2:63" s="218" customFormat="1" ht="22.9" customHeight="1">
      <c r="B210" s="219"/>
      <c r="C210" s="220"/>
      <c r="D210" s="221" t="s">
        <v>81</v>
      </c>
      <c r="E210" s="233" t="s">
        <v>219</v>
      </c>
      <c r="F210" s="233" t="s">
        <v>336</v>
      </c>
      <c r="G210" s="223"/>
      <c r="H210" s="315"/>
      <c r="I210" s="223"/>
      <c r="J210" s="234">
        <f>J211</f>
        <v>0</v>
      </c>
      <c r="K210" s="223"/>
      <c r="L210" s="225"/>
      <c r="M210" s="226"/>
      <c r="N210" s="227"/>
      <c r="O210" s="227"/>
      <c r="P210" s="228">
        <f>SUM(P211:P212)</f>
        <v>109.92384</v>
      </c>
      <c r="Q210" s="227"/>
      <c r="R210" s="228">
        <f>SUM(R211:R212)</f>
        <v>0</v>
      </c>
      <c r="S210" s="227"/>
      <c r="T210" s="229">
        <f>SUM(T211:T212)</f>
        <v>66.06</v>
      </c>
      <c r="AR210" s="230" t="s">
        <v>18</v>
      </c>
      <c r="AT210" s="231" t="s">
        <v>81</v>
      </c>
      <c r="AU210" s="231" t="s">
        <v>18</v>
      </c>
      <c r="AY210" s="230" t="s">
        <v>206</v>
      </c>
      <c r="BK210" s="232">
        <f>SUM(BK211:BK212)</f>
        <v>0</v>
      </c>
    </row>
    <row r="211" spans="1:65" s="136" customFormat="1" ht="21.75" customHeight="1">
      <c r="A211" s="131"/>
      <c r="B211" s="132"/>
      <c r="C211" s="235">
        <v>23</v>
      </c>
      <c r="D211" s="236" t="s">
        <v>208</v>
      </c>
      <c r="E211" s="237"/>
      <c r="F211" s="238" t="s">
        <v>902</v>
      </c>
      <c r="G211" s="239" t="s">
        <v>268</v>
      </c>
      <c r="H211" s="72"/>
      <c r="I211" s="241">
        <f>I212</f>
        <v>26.424</v>
      </c>
      <c r="J211" s="240">
        <f>ROUND($H211*I211,2)</f>
        <v>0</v>
      </c>
      <c r="K211" s="242"/>
      <c r="L211" s="211"/>
      <c r="M211" s="243" t="s">
        <v>1</v>
      </c>
      <c r="N211" s="244" t="s">
        <v>47</v>
      </c>
      <c r="O211" s="245">
        <v>4.16</v>
      </c>
      <c r="P211" s="245">
        <f>O211*I211</f>
        <v>109.92384</v>
      </c>
      <c r="Q211" s="245">
        <v>0</v>
      </c>
      <c r="R211" s="245">
        <f>Q211*I211</f>
        <v>0</v>
      </c>
      <c r="S211" s="245">
        <v>2.5</v>
      </c>
      <c r="T211" s="246">
        <f>S211*I211</f>
        <v>66.06</v>
      </c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R211" s="247" t="s">
        <v>212</v>
      </c>
      <c r="AT211" s="247" t="s">
        <v>208</v>
      </c>
      <c r="AU211" s="247" t="s">
        <v>92</v>
      </c>
      <c r="AY211" s="120" t="s">
        <v>206</v>
      </c>
      <c r="BE211" s="248">
        <f>IF(N211="základní",J211,0)</f>
        <v>0</v>
      </c>
      <c r="BF211" s="248">
        <f>IF(N211="snížená",J211,0)</f>
        <v>0</v>
      </c>
      <c r="BG211" s="248">
        <f>IF(N211="zákl. přenesená",J211,0)</f>
        <v>0</v>
      </c>
      <c r="BH211" s="248">
        <f>IF(N211="sníž. přenesená",J211,0)</f>
        <v>0</v>
      </c>
      <c r="BI211" s="248">
        <f>IF(N211="nulová",J211,0)</f>
        <v>0</v>
      </c>
      <c r="BJ211" s="120" t="s">
        <v>18</v>
      </c>
      <c r="BK211" s="248">
        <f>ROUND(H211*I211,2)</f>
        <v>0</v>
      </c>
      <c r="BL211" s="120" t="s">
        <v>212</v>
      </c>
      <c r="BM211" s="247" t="s">
        <v>337</v>
      </c>
    </row>
    <row r="212" spans="2:51" s="249" customFormat="1" ht="22.5">
      <c r="B212" s="250"/>
      <c r="C212" s="133"/>
      <c r="D212" s="251" t="s">
        <v>214</v>
      </c>
      <c r="E212" s="252" t="s">
        <v>338</v>
      </c>
      <c r="F212" s="253" t="s">
        <v>851</v>
      </c>
      <c r="G212" s="254"/>
      <c r="H212" s="312"/>
      <c r="I212" s="255">
        <f>(52-15.3)*((1*1.2)-(0.6*0.8))</f>
        <v>26.424</v>
      </c>
      <c r="J212" s="254"/>
      <c r="K212" s="254"/>
      <c r="L212" s="256"/>
      <c r="M212" s="257"/>
      <c r="N212" s="258"/>
      <c r="O212" s="258"/>
      <c r="P212" s="258"/>
      <c r="Q212" s="258"/>
      <c r="R212" s="258"/>
      <c r="S212" s="258"/>
      <c r="T212" s="259"/>
      <c r="AT212" s="260" t="s">
        <v>214</v>
      </c>
      <c r="AU212" s="260" t="s">
        <v>92</v>
      </c>
      <c r="AV212" s="249" t="s">
        <v>92</v>
      </c>
      <c r="AW212" s="249" t="s">
        <v>39</v>
      </c>
      <c r="AX212" s="249" t="s">
        <v>18</v>
      </c>
      <c r="AY212" s="260" t="s">
        <v>206</v>
      </c>
    </row>
    <row r="213" spans="2:63" s="218" customFormat="1" ht="22.9" customHeight="1">
      <c r="B213" s="219"/>
      <c r="C213" s="220"/>
      <c r="D213" s="221" t="s">
        <v>81</v>
      </c>
      <c r="E213" s="233" t="s">
        <v>212</v>
      </c>
      <c r="F213" s="233" t="s">
        <v>339</v>
      </c>
      <c r="G213" s="223"/>
      <c r="H213" s="315"/>
      <c r="I213" s="223"/>
      <c r="J213" s="234">
        <f>SUM(J214:J218)</f>
        <v>0</v>
      </c>
      <c r="K213" s="223"/>
      <c r="L213" s="225"/>
      <c r="M213" s="226"/>
      <c r="N213" s="227"/>
      <c r="O213" s="227"/>
      <c r="P213" s="228">
        <f>SUM(P214:P224)</f>
        <v>71.32788</v>
      </c>
      <c r="Q213" s="227"/>
      <c r="R213" s="228">
        <f>SUM(R214:R224)</f>
        <v>0.025438589999999997</v>
      </c>
      <c r="S213" s="227"/>
      <c r="T213" s="229">
        <f>SUM(T214:T224)</f>
        <v>0</v>
      </c>
      <c r="AR213" s="230" t="s">
        <v>18</v>
      </c>
      <c r="AT213" s="231" t="s">
        <v>81</v>
      </c>
      <c r="AU213" s="231" t="s">
        <v>18</v>
      </c>
      <c r="AY213" s="230" t="s">
        <v>206</v>
      </c>
      <c r="BK213" s="232">
        <f>SUM(BK214:BK224)</f>
        <v>0</v>
      </c>
    </row>
    <row r="214" spans="1:65" s="136" customFormat="1" ht="21.75" customHeight="1">
      <c r="A214" s="131"/>
      <c r="B214" s="132"/>
      <c r="C214" s="235">
        <v>24</v>
      </c>
      <c r="D214" s="236" t="s">
        <v>208</v>
      </c>
      <c r="E214" s="237" t="s">
        <v>340</v>
      </c>
      <c r="F214" s="238" t="s">
        <v>341</v>
      </c>
      <c r="G214" s="239" t="s">
        <v>268</v>
      </c>
      <c r="H214" s="72"/>
      <c r="I214" s="241">
        <v>38.925</v>
      </c>
      <c r="J214" s="240">
        <f>ROUND($H214*I214,2)</f>
        <v>0</v>
      </c>
      <c r="K214" s="242"/>
      <c r="L214" s="211"/>
      <c r="M214" s="243" t="s">
        <v>1</v>
      </c>
      <c r="N214" s="244" t="s">
        <v>47</v>
      </c>
      <c r="O214" s="245">
        <v>1.695</v>
      </c>
      <c r="P214" s="245">
        <f>O214*I214</f>
        <v>65.977875</v>
      </c>
      <c r="Q214" s="245">
        <v>0</v>
      </c>
      <c r="R214" s="245">
        <f>Q214*I214</f>
        <v>0</v>
      </c>
      <c r="S214" s="245">
        <v>0</v>
      </c>
      <c r="T214" s="246">
        <f>S214*I214</f>
        <v>0</v>
      </c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R214" s="247" t="s">
        <v>212</v>
      </c>
      <c r="AT214" s="247" t="s">
        <v>208</v>
      </c>
      <c r="AU214" s="247" t="s">
        <v>92</v>
      </c>
      <c r="AY214" s="120" t="s">
        <v>206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20" t="s">
        <v>18</v>
      </c>
      <c r="BK214" s="248">
        <f>ROUND(H214*I214,2)</f>
        <v>0</v>
      </c>
      <c r="BL214" s="120" t="s">
        <v>212</v>
      </c>
      <c r="BM214" s="247" t="s">
        <v>342</v>
      </c>
    </row>
    <row r="215" spans="2:51" s="249" customFormat="1" ht="12">
      <c r="B215" s="250"/>
      <c r="C215" s="133"/>
      <c r="D215" s="251" t="s">
        <v>214</v>
      </c>
      <c r="E215" s="252" t="s">
        <v>343</v>
      </c>
      <c r="F215" s="253" t="s">
        <v>344</v>
      </c>
      <c r="G215" s="254"/>
      <c r="H215" s="312"/>
      <c r="I215" s="255">
        <v>38.925</v>
      </c>
      <c r="J215" s="254"/>
      <c r="K215" s="254"/>
      <c r="L215" s="256"/>
      <c r="M215" s="257"/>
      <c r="N215" s="258"/>
      <c r="O215" s="258"/>
      <c r="P215" s="258"/>
      <c r="Q215" s="258"/>
      <c r="R215" s="258"/>
      <c r="S215" s="258"/>
      <c r="T215" s="259"/>
      <c r="AT215" s="260" t="s">
        <v>214</v>
      </c>
      <c r="AU215" s="260" t="s">
        <v>92</v>
      </c>
      <c r="AV215" s="249" t="s">
        <v>92</v>
      </c>
      <c r="AW215" s="249" t="s">
        <v>39</v>
      </c>
      <c r="AX215" s="249" t="s">
        <v>18</v>
      </c>
      <c r="AY215" s="260" t="s">
        <v>206</v>
      </c>
    </row>
    <row r="216" spans="1:65" s="136" customFormat="1" ht="21.75" customHeight="1">
      <c r="A216" s="131"/>
      <c r="B216" s="132"/>
      <c r="C216" s="235">
        <v>25</v>
      </c>
      <c r="D216" s="236" t="s">
        <v>208</v>
      </c>
      <c r="E216" s="237" t="s">
        <v>345</v>
      </c>
      <c r="F216" s="238" t="s">
        <v>346</v>
      </c>
      <c r="G216" s="239" t="s">
        <v>268</v>
      </c>
      <c r="H216" s="72"/>
      <c r="I216" s="241">
        <v>1.71</v>
      </c>
      <c r="J216" s="240">
        <f>ROUND($H216*I216,2)</f>
        <v>0</v>
      </c>
      <c r="K216" s="242"/>
      <c r="L216" s="211"/>
      <c r="M216" s="243" t="s">
        <v>1</v>
      </c>
      <c r="N216" s="244" t="s">
        <v>47</v>
      </c>
      <c r="O216" s="245">
        <v>1.208</v>
      </c>
      <c r="P216" s="245">
        <f>O216*I216</f>
        <v>2.06568</v>
      </c>
      <c r="Q216" s="245">
        <v>0</v>
      </c>
      <c r="R216" s="245">
        <f>Q216*I216</f>
        <v>0</v>
      </c>
      <c r="S216" s="245">
        <v>0</v>
      </c>
      <c r="T216" s="246">
        <f>S216*I216</f>
        <v>0</v>
      </c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R216" s="247" t="s">
        <v>212</v>
      </c>
      <c r="AT216" s="247" t="s">
        <v>208</v>
      </c>
      <c r="AU216" s="247" t="s">
        <v>92</v>
      </c>
      <c r="AY216" s="120" t="s">
        <v>206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20" t="s">
        <v>18</v>
      </c>
      <c r="BK216" s="248">
        <f>ROUND(H216*I216,2)</f>
        <v>0</v>
      </c>
      <c r="BL216" s="120" t="s">
        <v>212</v>
      </c>
      <c r="BM216" s="247" t="s">
        <v>347</v>
      </c>
    </row>
    <row r="217" spans="2:51" s="249" customFormat="1" ht="12">
      <c r="B217" s="250"/>
      <c r="C217" s="133"/>
      <c r="D217" s="251" t="s">
        <v>214</v>
      </c>
      <c r="E217" s="252" t="s">
        <v>1</v>
      </c>
      <c r="F217" s="253" t="s">
        <v>348</v>
      </c>
      <c r="G217" s="254"/>
      <c r="H217" s="312"/>
      <c r="I217" s="255">
        <v>1.71</v>
      </c>
      <c r="J217" s="254"/>
      <c r="K217" s="254"/>
      <c r="L217" s="256"/>
      <c r="M217" s="257"/>
      <c r="N217" s="258"/>
      <c r="O217" s="258"/>
      <c r="P217" s="258"/>
      <c r="Q217" s="258"/>
      <c r="R217" s="258"/>
      <c r="S217" s="258"/>
      <c r="T217" s="259"/>
      <c r="AT217" s="260" t="s">
        <v>214</v>
      </c>
      <c r="AU217" s="260" t="s">
        <v>92</v>
      </c>
      <c r="AV217" s="249" t="s">
        <v>92</v>
      </c>
      <c r="AW217" s="249" t="s">
        <v>39</v>
      </c>
      <c r="AX217" s="249" t="s">
        <v>18</v>
      </c>
      <c r="AY217" s="260" t="s">
        <v>206</v>
      </c>
    </row>
    <row r="218" spans="1:65" s="136" customFormat="1" ht="16.5" customHeight="1">
      <c r="A218" s="131"/>
      <c r="B218" s="132"/>
      <c r="C218" s="235">
        <f>C216+1</f>
        <v>26</v>
      </c>
      <c r="D218" s="236" t="s">
        <v>208</v>
      </c>
      <c r="E218" s="237" t="s">
        <v>349</v>
      </c>
      <c r="F218" s="238" t="s">
        <v>350</v>
      </c>
      <c r="G218" s="239" t="s">
        <v>211</v>
      </c>
      <c r="H218" s="72"/>
      <c r="I218" s="241">
        <v>3.981</v>
      </c>
      <c r="J218" s="240">
        <f>ROUND($H218*I218,2)</f>
        <v>0</v>
      </c>
      <c r="K218" s="242"/>
      <c r="L218" s="211"/>
      <c r="M218" s="243" t="s">
        <v>1</v>
      </c>
      <c r="N218" s="244" t="s">
        <v>47</v>
      </c>
      <c r="O218" s="245">
        <v>0.825</v>
      </c>
      <c r="P218" s="245">
        <f>O218*I218</f>
        <v>3.284325</v>
      </c>
      <c r="Q218" s="245">
        <v>0.00639</v>
      </c>
      <c r="R218" s="245">
        <f>Q218*I218</f>
        <v>0.025438589999999997</v>
      </c>
      <c r="S218" s="245">
        <v>0</v>
      </c>
      <c r="T218" s="246">
        <f>S218*I218</f>
        <v>0</v>
      </c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R218" s="247" t="s">
        <v>212</v>
      </c>
      <c r="AT218" s="247" t="s">
        <v>208</v>
      </c>
      <c r="AU218" s="247" t="s">
        <v>92</v>
      </c>
      <c r="AY218" s="120" t="s">
        <v>206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20" t="s">
        <v>18</v>
      </c>
      <c r="BK218" s="248">
        <f>ROUND(H218*I218,2)</f>
        <v>0</v>
      </c>
      <c r="BL218" s="120" t="s">
        <v>212</v>
      </c>
      <c r="BM218" s="247" t="s">
        <v>351</v>
      </c>
    </row>
    <row r="219" spans="2:51" s="249" customFormat="1" ht="12">
      <c r="B219" s="250"/>
      <c r="C219" s="133"/>
      <c r="D219" s="251" t="s">
        <v>214</v>
      </c>
      <c r="E219" s="252" t="s">
        <v>1</v>
      </c>
      <c r="F219" s="253" t="s">
        <v>352</v>
      </c>
      <c r="G219" s="254"/>
      <c r="H219" s="312"/>
      <c r="I219" s="255">
        <v>0.34</v>
      </c>
      <c r="J219" s="254"/>
      <c r="K219" s="254"/>
      <c r="L219" s="256"/>
      <c r="M219" s="257"/>
      <c r="N219" s="258"/>
      <c r="O219" s="258"/>
      <c r="P219" s="258"/>
      <c r="Q219" s="258"/>
      <c r="R219" s="258"/>
      <c r="S219" s="258"/>
      <c r="T219" s="259"/>
      <c r="AT219" s="260" t="s">
        <v>214</v>
      </c>
      <c r="AU219" s="260" t="s">
        <v>92</v>
      </c>
      <c r="AV219" s="249" t="s">
        <v>92</v>
      </c>
      <c r="AW219" s="249" t="s">
        <v>39</v>
      </c>
      <c r="AX219" s="249" t="s">
        <v>82</v>
      </c>
      <c r="AY219" s="260" t="s">
        <v>206</v>
      </c>
    </row>
    <row r="220" spans="2:51" s="249" customFormat="1" ht="12">
      <c r="B220" s="250"/>
      <c r="C220" s="133"/>
      <c r="D220" s="251" t="s">
        <v>214</v>
      </c>
      <c r="E220" s="252" t="s">
        <v>1</v>
      </c>
      <c r="F220" s="253" t="s">
        <v>353</v>
      </c>
      <c r="G220" s="254"/>
      <c r="H220" s="312"/>
      <c r="I220" s="255">
        <v>0.483</v>
      </c>
      <c r="J220" s="254"/>
      <c r="K220" s="254"/>
      <c r="L220" s="256"/>
      <c r="M220" s="257"/>
      <c r="N220" s="258"/>
      <c r="O220" s="258"/>
      <c r="P220" s="258"/>
      <c r="Q220" s="258"/>
      <c r="R220" s="258"/>
      <c r="S220" s="258"/>
      <c r="T220" s="259"/>
      <c r="AT220" s="260" t="s">
        <v>214</v>
      </c>
      <c r="AU220" s="260" t="s">
        <v>92</v>
      </c>
      <c r="AV220" s="249" t="s">
        <v>92</v>
      </c>
      <c r="AW220" s="249" t="s">
        <v>39</v>
      </c>
      <c r="AX220" s="249" t="s">
        <v>82</v>
      </c>
      <c r="AY220" s="260" t="s">
        <v>206</v>
      </c>
    </row>
    <row r="221" spans="2:51" s="249" customFormat="1" ht="12">
      <c r="B221" s="250"/>
      <c r="C221" s="133"/>
      <c r="D221" s="251" t="s">
        <v>214</v>
      </c>
      <c r="E221" s="252" t="s">
        <v>1</v>
      </c>
      <c r="F221" s="253" t="s">
        <v>354</v>
      </c>
      <c r="G221" s="254"/>
      <c r="H221" s="312"/>
      <c r="I221" s="255">
        <v>0.77</v>
      </c>
      <c r="J221" s="254"/>
      <c r="K221" s="254"/>
      <c r="L221" s="256"/>
      <c r="M221" s="257"/>
      <c r="N221" s="258"/>
      <c r="O221" s="258"/>
      <c r="P221" s="258"/>
      <c r="Q221" s="258"/>
      <c r="R221" s="258"/>
      <c r="S221" s="258"/>
      <c r="T221" s="259"/>
      <c r="AT221" s="260" t="s">
        <v>214</v>
      </c>
      <c r="AU221" s="260" t="s">
        <v>92</v>
      </c>
      <c r="AV221" s="249" t="s">
        <v>92</v>
      </c>
      <c r="AW221" s="249" t="s">
        <v>39</v>
      </c>
      <c r="AX221" s="249" t="s">
        <v>82</v>
      </c>
      <c r="AY221" s="260" t="s">
        <v>206</v>
      </c>
    </row>
    <row r="222" spans="2:51" s="249" customFormat="1" ht="12">
      <c r="B222" s="250"/>
      <c r="C222" s="133"/>
      <c r="D222" s="251" t="s">
        <v>214</v>
      </c>
      <c r="E222" s="252" t="s">
        <v>1</v>
      </c>
      <c r="F222" s="253" t="s">
        <v>355</v>
      </c>
      <c r="G222" s="254"/>
      <c r="H222" s="312"/>
      <c r="I222" s="255">
        <v>1.218</v>
      </c>
      <c r="J222" s="254"/>
      <c r="K222" s="254"/>
      <c r="L222" s="256"/>
      <c r="M222" s="257"/>
      <c r="N222" s="258"/>
      <c r="O222" s="258"/>
      <c r="P222" s="258"/>
      <c r="Q222" s="258"/>
      <c r="R222" s="258"/>
      <c r="S222" s="258"/>
      <c r="T222" s="259"/>
      <c r="AT222" s="260" t="s">
        <v>214</v>
      </c>
      <c r="AU222" s="260" t="s">
        <v>92</v>
      </c>
      <c r="AV222" s="249" t="s">
        <v>92</v>
      </c>
      <c r="AW222" s="249" t="s">
        <v>39</v>
      </c>
      <c r="AX222" s="249" t="s">
        <v>82</v>
      </c>
      <c r="AY222" s="260" t="s">
        <v>206</v>
      </c>
    </row>
    <row r="223" spans="2:51" s="249" customFormat="1" ht="12">
      <c r="B223" s="250"/>
      <c r="C223" s="133"/>
      <c r="D223" s="251" t="s">
        <v>214</v>
      </c>
      <c r="E223" s="252" t="s">
        <v>1</v>
      </c>
      <c r="F223" s="253" t="s">
        <v>356</v>
      </c>
      <c r="G223" s="254"/>
      <c r="H223" s="312"/>
      <c r="I223" s="255">
        <v>1.17</v>
      </c>
      <c r="J223" s="254"/>
      <c r="K223" s="254"/>
      <c r="L223" s="256"/>
      <c r="M223" s="257"/>
      <c r="N223" s="258"/>
      <c r="O223" s="258"/>
      <c r="P223" s="258"/>
      <c r="Q223" s="258"/>
      <c r="R223" s="258"/>
      <c r="S223" s="258"/>
      <c r="T223" s="259"/>
      <c r="AT223" s="260" t="s">
        <v>214</v>
      </c>
      <c r="AU223" s="260" t="s">
        <v>92</v>
      </c>
      <c r="AV223" s="249" t="s">
        <v>92</v>
      </c>
      <c r="AW223" s="249" t="s">
        <v>39</v>
      </c>
      <c r="AX223" s="249" t="s">
        <v>82</v>
      </c>
      <c r="AY223" s="260" t="s">
        <v>206</v>
      </c>
    </row>
    <row r="224" spans="2:51" s="272" customFormat="1" ht="12">
      <c r="B224" s="273"/>
      <c r="C224" s="133"/>
      <c r="D224" s="251" t="s">
        <v>214</v>
      </c>
      <c r="E224" s="274" t="s">
        <v>1</v>
      </c>
      <c r="F224" s="275" t="s">
        <v>291</v>
      </c>
      <c r="G224" s="276"/>
      <c r="H224" s="314"/>
      <c r="I224" s="277">
        <v>3.981</v>
      </c>
      <c r="J224" s="276"/>
      <c r="K224" s="276"/>
      <c r="L224" s="278"/>
      <c r="M224" s="279"/>
      <c r="N224" s="280"/>
      <c r="O224" s="280"/>
      <c r="P224" s="280"/>
      <c r="Q224" s="280"/>
      <c r="R224" s="280"/>
      <c r="S224" s="280"/>
      <c r="T224" s="281"/>
      <c r="AT224" s="282" t="s">
        <v>214</v>
      </c>
      <c r="AU224" s="282" t="s">
        <v>92</v>
      </c>
      <c r="AV224" s="272" t="s">
        <v>212</v>
      </c>
      <c r="AW224" s="272" t="s">
        <v>39</v>
      </c>
      <c r="AX224" s="272" t="s">
        <v>18</v>
      </c>
      <c r="AY224" s="282" t="s">
        <v>206</v>
      </c>
    </row>
    <row r="225" spans="2:63" s="218" customFormat="1" ht="22.9" customHeight="1">
      <c r="B225" s="219"/>
      <c r="C225" s="220"/>
      <c r="D225" s="221" t="s">
        <v>81</v>
      </c>
      <c r="E225" s="233" t="s">
        <v>241</v>
      </c>
      <c r="F225" s="233" t="s">
        <v>357</v>
      </c>
      <c r="G225" s="223"/>
      <c r="H225" s="315"/>
      <c r="I225" s="223"/>
      <c r="J225" s="234">
        <f>SUM(J226:J234)</f>
        <v>0</v>
      </c>
      <c r="K225" s="223"/>
      <c r="L225" s="225"/>
      <c r="M225" s="226"/>
      <c r="N225" s="227"/>
      <c r="O225" s="227"/>
      <c r="P225" s="228">
        <f>SUM(P226:P235)</f>
        <v>17.656503</v>
      </c>
      <c r="Q225" s="227"/>
      <c r="R225" s="228">
        <f>SUM(R226:R235)</f>
        <v>2.1884181</v>
      </c>
      <c r="S225" s="227"/>
      <c r="T225" s="229">
        <f>SUM(T226:T235)</f>
        <v>0</v>
      </c>
      <c r="AR225" s="230" t="s">
        <v>18</v>
      </c>
      <c r="AT225" s="231" t="s">
        <v>81</v>
      </c>
      <c r="AU225" s="231" t="s">
        <v>18</v>
      </c>
      <c r="AY225" s="230" t="s">
        <v>206</v>
      </c>
      <c r="BK225" s="232">
        <f>SUM(BK226:BK235)</f>
        <v>0</v>
      </c>
    </row>
    <row r="226" spans="1:65" s="136" customFormat="1" ht="21.75" customHeight="1">
      <c r="A226" s="131"/>
      <c r="B226" s="132"/>
      <c r="C226" s="235">
        <v>27</v>
      </c>
      <c r="D226" s="236" t="s">
        <v>208</v>
      </c>
      <c r="E226" s="237" t="s">
        <v>358</v>
      </c>
      <c r="F226" s="238" t="s">
        <v>359</v>
      </c>
      <c r="G226" s="239" t="s">
        <v>211</v>
      </c>
      <c r="H226" s="72"/>
      <c r="I226" s="241">
        <v>2.97</v>
      </c>
      <c r="J226" s="240">
        <f>ROUND($H226*I226,2)</f>
        <v>0</v>
      </c>
      <c r="K226" s="242"/>
      <c r="L226" s="211"/>
      <c r="M226" s="243" t="s">
        <v>1</v>
      </c>
      <c r="N226" s="244" t="s">
        <v>47</v>
      </c>
      <c r="O226" s="245">
        <v>0.027</v>
      </c>
      <c r="P226" s="245">
        <f>O226*I226</f>
        <v>0.08019000000000001</v>
      </c>
      <c r="Q226" s="245">
        <v>0</v>
      </c>
      <c r="R226" s="245">
        <f>Q226*I226</f>
        <v>0</v>
      </c>
      <c r="S226" s="245">
        <v>0</v>
      </c>
      <c r="T226" s="246">
        <f>S226*I226</f>
        <v>0</v>
      </c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R226" s="247" t="s">
        <v>212</v>
      </c>
      <c r="AT226" s="247" t="s">
        <v>208</v>
      </c>
      <c r="AU226" s="247" t="s">
        <v>92</v>
      </c>
      <c r="AY226" s="120" t="s">
        <v>206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120" t="s">
        <v>18</v>
      </c>
      <c r="BK226" s="248">
        <f>ROUND(H226*I226,2)</f>
        <v>0</v>
      </c>
      <c r="BL226" s="120" t="s">
        <v>212</v>
      </c>
      <c r="BM226" s="247" t="s">
        <v>360</v>
      </c>
    </row>
    <row r="227" spans="2:51" s="249" customFormat="1" ht="12">
      <c r="B227" s="250"/>
      <c r="C227" s="133"/>
      <c r="D227" s="251" t="s">
        <v>214</v>
      </c>
      <c r="E227" s="252" t="s">
        <v>1</v>
      </c>
      <c r="F227" s="253" t="s">
        <v>133</v>
      </c>
      <c r="G227" s="254"/>
      <c r="H227" s="312"/>
      <c r="I227" s="255">
        <v>2.97</v>
      </c>
      <c r="J227" s="254"/>
      <c r="K227" s="254"/>
      <c r="L227" s="256"/>
      <c r="M227" s="257"/>
      <c r="N227" s="258"/>
      <c r="O227" s="258"/>
      <c r="P227" s="258"/>
      <c r="Q227" s="258"/>
      <c r="R227" s="258"/>
      <c r="S227" s="258"/>
      <c r="T227" s="259"/>
      <c r="AT227" s="260" t="s">
        <v>214</v>
      </c>
      <c r="AU227" s="260" t="s">
        <v>92</v>
      </c>
      <c r="AV227" s="249" t="s">
        <v>92</v>
      </c>
      <c r="AW227" s="249" t="s">
        <v>39</v>
      </c>
      <c r="AX227" s="249" t="s">
        <v>18</v>
      </c>
      <c r="AY227" s="260" t="s">
        <v>206</v>
      </c>
    </row>
    <row r="228" spans="1:65" s="136" customFormat="1" ht="27.75" customHeight="1">
      <c r="A228" s="131"/>
      <c r="B228" s="132"/>
      <c r="C228" s="235">
        <v>28</v>
      </c>
      <c r="D228" s="236" t="s">
        <v>208</v>
      </c>
      <c r="E228" s="237" t="s">
        <v>361</v>
      </c>
      <c r="F228" s="238" t="s">
        <v>878</v>
      </c>
      <c r="G228" s="239" t="s">
        <v>211</v>
      </c>
      <c r="H228" s="72"/>
      <c r="I228" s="241">
        <f>I229</f>
        <v>275.7</v>
      </c>
      <c r="J228" s="240">
        <f>ROUND($H228*I228,2)</f>
        <v>0</v>
      </c>
      <c r="K228" s="242"/>
      <c r="L228" s="211"/>
      <c r="M228" s="243" t="s">
        <v>1</v>
      </c>
      <c r="N228" s="244" t="s">
        <v>47</v>
      </c>
      <c r="O228" s="245">
        <v>0.023</v>
      </c>
      <c r="P228" s="245">
        <f>O228*I228</f>
        <v>6.3411</v>
      </c>
      <c r="Q228" s="245">
        <v>0</v>
      </c>
      <c r="R228" s="245">
        <f>Q228*I228</f>
        <v>0</v>
      </c>
      <c r="S228" s="245">
        <v>0</v>
      </c>
      <c r="T228" s="246">
        <f>S228*I228</f>
        <v>0</v>
      </c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R228" s="247" t="s">
        <v>212</v>
      </c>
      <c r="AT228" s="247" t="s">
        <v>208</v>
      </c>
      <c r="AU228" s="247" t="s">
        <v>92</v>
      </c>
      <c r="AY228" s="120" t="s">
        <v>206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20" t="s">
        <v>18</v>
      </c>
      <c r="BK228" s="248">
        <f>ROUND(H228*I228,2)</f>
        <v>0</v>
      </c>
      <c r="BL228" s="120" t="s">
        <v>212</v>
      </c>
      <c r="BM228" s="247" t="s">
        <v>362</v>
      </c>
    </row>
    <row r="229" spans="2:51" s="249" customFormat="1" ht="22.5">
      <c r="B229" s="250"/>
      <c r="C229" s="133"/>
      <c r="D229" s="251" t="s">
        <v>214</v>
      </c>
      <c r="E229" s="252" t="s">
        <v>1</v>
      </c>
      <c r="F229" s="253" t="s">
        <v>853</v>
      </c>
      <c r="G229" s="254"/>
      <c r="H229" s="312"/>
      <c r="I229" s="255">
        <f>I152</f>
        <v>275.7</v>
      </c>
      <c r="J229" s="254"/>
      <c r="K229" s="254"/>
      <c r="L229" s="256"/>
      <c r="M229" s="257"/>
      <c r="N229" s="258"/>
      <c r="O229" s="258"/>
      <c r="P229" s="258"/>
      <c r="Q229" s="258"/>
      <c r="R229" s="258"/>
      <c r="S229" s="258"/>
      <c r="T229" s="259"/>
      <c r="AT229" s="260" t="s">
        <v>214</v>
      </c>
      <c r="AU229" s="260" t="s">
        <v>92</v>
      </c>
      <c r="AV229" s="249" t="s">
        <v>92</v>
      </c>
      <c r="AW229" s="249" t="s">
        <v>39</v>
      </c>
      <c r="AX229" s="249" t="s">
        <v>18</v>
      </c>
      <c r="AY229" s="260" t="s">
        <v>206</v>
      </c>
    </row>
    <row r="230" spans="1:65" s="136" customFormat="1" ht="16.5" customHeight="1">
      <c r="A230" s="131"/>
      <c r="B230" s="132"/>
      <c r="C230" s="235">
        <v>29</v>
      </c>
      <c r="D230" s="236" t="s">
        <v>208</v>
      </c>
      <c r="E230" s="237"/>
      <c r="F230" s="238" t="s">
        <v>919</v>
      </c>
      <c r="G230" s="239" t="s">
        <v>211</v>
      </c>
      <c r="H230" s="72"/>
      <c r="I230" s="241">
        <f>I231</f>
        <v>5.643</v>
      </c>
      <c r="J230" s="240">
        <f>ROUND($H230*I230,2)</f>
        <v>0</v>
      </c>
      <c r="K230" s="242"/>
      <c r="L230" s="211"/>
      <c r="M230" s="243" t="s">
        <v>1</v>
      </c>
      <c r="N230" s="244" t="s">
        <v>47</v>
      </c>
      <c r="O230" s="245">
        <v>0.031</v>
      </c>
      <c r="P230" s="245">
        <f>O230*I230</f>
        <v>0.174933</v>
      </c>
      <c r="Q230" s="245">
        <v>0</v>
      </c>
      <c r="R230" s="245">
        <f>Q230*I230</f>
        <v>0</v>
      </c>
      <c r="S230" s="245">
        <v>0</v>
      </c>
      <c r="T230" s="246">
        <f>S230*I230</f>
        <v>0</v>
      </c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R230" s="247" t="s">
        <v>212</v>
      </c>
      <c r="AT230" s="247" t="s">
        <v>208</v>
      </c>
      <c r="AU230" s="247" t="s">
        <v>92</v>
      </c>
      <c r="AY230" s="120" t="s">
        <v>206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20" t="s">
        <v>18</v>
      </c>
      <c r="BK230" s="248">
        <f>ROUND(H230*I230,2)</f>
        <v>0</v>
      </c>
      <c r="BL230" s="120" t="s">
        <v>212</v>
      </c>
      <c r="BM230" s="247" t="s">
        <v>363</v>
      </c>
    </row>
    <row r="231" spans="2:51" s="249" customFormat="1" ht="12">
      <c r="B231" s="250"/>
      <c r="C231" s="133"/>
      <c r="D231" s="251" t="s">
        <v>214</v>
      </c>
      <c r="E231" s="252" t="s">
        <v>132</v>
      </c>
      <c r="F231" s="253" t="s">
        <v>921</v>
      </c>
      <c r="G231" s="254"/>
      <c r="H231" s="312"/>
      <c r="I231" s="255">
        <f>6.27*0.9</f>
        <v>5.643</v>
      </c>
      <c r="J231" s="254"/>
      <c r="K231" s="254"/>
      <c r="L231" s="256"/>
      <c r="M231" s="257"/>
      <c r="N231" s="258"/>
      <c r="O231" s="258"/>
      <c r="P231" s="258"/>
      <c r="Q231" s="258"/>
      <c r="R231" s="258"/>
      <c r="S231" s="258"/>
      <c r="T231" s="259"/>
      <c r="AT231" s="260" t="s">
        <v>214</v>
      </c>
      <c r="AU231" s="260" t="s">
        <v>92</v>
      </c>
      <c r="AV231" s="249" t="s">
        <v>92</v>
      </c>
      <c r="AW231" s="249" t="s">
        <v>39</v>
      </c>
      <c r="AX231" s="249" t="s">
        <v>18</v>
      </c>
      <c r="AY231" s="260" t="s">
        <v>206</v>
      </c>
    </row>
    <row r="232" spans="1:65" s="136" customFormat="1" ht="16.5" customHeight="1">
      <c r="A232" s="131"/>
      <c r="B232" s="132"/>
      <c r="C232" s="235">
        <v>30</v>
      </c>
      <c r="D232" s="236" t="s">
        <v>208</v>
      </c>
      <c r="E232" s="237"/>
      <c r="F232" s="238" t="s">
        <v>917</v>
      </c>
      <c r="G232" s="239" t="s">
        <v>211</v>
      </c>
      <c r="H232" s="72"/>
      <c r="I232" s="241">
        <f>I233</f>
        <v>5.643</v>
      </c>
      <c r="J232" s="240">
        <f>ROUND($H232*I232,2)</f>
        <v>0</v>
      </c>
      <c r="K232" s="242"/>
      <c r="L232" s="211"/>
      <c r="M232" s="243" t="s">
        <v>1</v>
      </c>
      <c r="N232" s="244" t="s">
        <v>47</v>
      </c>
      <c r="O232" s="245">
        <v>0.041</v>
      </c>
      <c r="P232" s="245">
        <f>O232*I232</f>
        <v>0.231363</v>
      </c>
      <c r="Q232" s="245">
        <v>0</v>
      </c>
      <c r="R232" s="245">
        <f>Q232*I232</f>
        <v>0</v>
      </c>
      <c r="S232" s="245">
        <v>0</v>
      </c>
      <c r="T232" s="246">
        <f>S232*I232</f>
        <v>0</v>
      </c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R232" s="247" t="s">
        <v>212</v>
      </c>
      <c r="AT232" s="247" t="s">
        <v>208</v>
      </c>
      <c r="AU232" s="247" t="s">
        <v>92</v>
      </c>
      <c r="AY232" s="120" t="s">
        <v>206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20" t="s">
        <v>18</v>
      </c>
      <c r="BK232" s="248">
        <f>ROUND(H232*I232,2)</f>
        <v>0</v>
      </c>
      <c r="BL232" s="120" t="s">
        <v>212</v>
      </c>
      <c r="BM232" s="247" t="s">
        <v>364</v>
      </c>
    </row>
    <row r="233" spans="2:51" s="249" customFormat="1" ht="12">
      <c r="B233" s="250"/>
      <c r="C233" s="133"/>
      <c r="D233" s="251" t="s">
        <v>214</v>
      </c>
      <c r="E233" s="252" t="s">
        <v>1</v>
      </c>
      <c r="F233" s="253" t="s">
        <v>921</v>
      </c>
      <c r="G233" s="254"/>
      <c r="H233" s="312"/>
      <c r="I233" s="255">
        <f>6.27*0.9</f>
        <v>5.643</v>
      </c>
      <c r="J233" s="254"/>
      <c r="K233" s="254"/>
      <c r="L233" s="256"/>
      <c r="M233" s="257"/>
      <c r="N233" s="258"/>
      <c r="O233" s="258"/>
      <c r="P233" s="258"/>
      <c r="Q233" s="258"/>
      <c r="R233" s="258"/>
      <c r="S233" s="258"/>
      <c r="T233" s="259"/>
      <c r="AT233" s="260" t="s">
        <v>214</v>
      </c>
      <c r="AU233" s="260" t="s">
        <v>92</v>
      </c>
      <c r="AV233" s="249" t="s">
        <v>92</v>
      </c>
      <c r="AW233" s="249" t="s">
        <v>39</v>
      </c>
      <c r="AX233" s="249" t="s">
        <v>18</v>
      </c>
      <c r="AY233" s="260" t="s">
        <v>206</v>
      </c>
    </row>
    <row r="234" spans="1:65" s="136" customFormat="1" ht="21.75" customHeight="1">
      <c r="A234" s="131"/>
      <c r="B234" s="132"/>
      <c r="C234" s="235">
        <v>31</v>
      </c>
      <c r="D234" s="236" t="s">
        <v>208</v>
      </c>
      <c r="E234" s="237" t="s">
        <v>365</v>
      </c>
      <c r="F234" s="238" t="s">
        <v>920</v>
      </c>
      <c r="G234" s="239" t="s">
        <v>211</v>
      </c>
      <c r="H234" s="72"/>
      <c r="I234" s="241">
        <f>I235</f>
        <v>11.912999999999998</v>
      </c>
      <c r="J234" s="240">
        <f>ROUND($H234*I234,2)</f>
        <v>0</v>
      </c>
      <c r="K234" s="242"/>
      <c r="L234" s="211"/>
      <c r="M234" s="243" t="s">
        <v>1</v>
      </c>
      <c r="N234" s="244" t="s">
        <v>47</v>
      </c>
      <c r="O234" s="245">
        <v>0.909</v>
      </c>
      <c r="P234" s="245">
        <f>O234*I234</f>
        <v>10.828916999999999</v>
      </c>
      <c r="Q234" s="245">
        <v>0.1837</v>
      </c>
      <c r="R234" s="245">
        <f>Q234*I234</f>
        <v>2.1884181</v>
      </c>
      <c r="S234" s="245">
        <v>0</v>
      </c>
      <c r="T234" s="246">
        <f>S234*I234</f>
        <v>0</v>
      </c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R234" s="247" t="s">
        <v>212</v>
      </c>
      <c r="AT234" s="247" t="s">
        <v>208</v>
      </c>
      <c r="AU234" s="247" t="s">
        <v>92</v>
      </c>
      <c r="AY234" s="120" t="s">
        <v>206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20" t="s">
        <v>18</v>
      </c>
      <c r="BK234" s="248">
        <f>ROUND(H234*I234,2)</f>
        <v>0</v>
      </c>
      <c r="BL234" s="120" t="s">
        <v>212</v>
      </c>
      <c r="BM234" s="247" t="s">
        <v>366</v>
      </c>
    </row>
    <row r="235" spans="2:51" s="249" customFormat="1" ht="12">
      <c r="B235" s="250"/>
      <c r="C235" s="133"/>
      <c r="D235" s="251" t="s">
        <v>214</v>
      </c>
      <c r="E235" s="252" t="s">
        <v>1</v>
      </c>
      <c r="F235" s="253" t="s">
        <v>918</v>
      </c>
      <c r="G235" s="254"/>
      <c r="H235" s="312"/>
      <c r="I235" s="255">
        <f>6.27*(0.9+2*0.5)</f>
        <v>11.912999999999998</v>
      </c>
      <c r="J235" s="254"/>
      <c r="K235" s="254"/>
      <c r="L235" s="256"/>
      <c r="M235" s="257"/>
      <c r="N235" s="258"/>
      <c r="O235" s="258"/>
      <c r="P235" s="258"/>
      <c r="Q235" s="258"/>
      <c r="R235" s="258"/>
      <c r="S235" s="258"/>
      <c r="T235" s="259"/>
      <c r="AT235" s="260" t="s">
        <v>214</v>
      </c>
      <c r="AU235" s="260" t="s">
        <v>92</v>
      </c>
      <c r="AV235" s="249" t="s">
        <v>92</v>
      </c>
      <c r="AW235" s="249" t="s">
        <v>39</v>
      </c>
      <c r="AX235" s="249" t="s">
        <v>18</v>
      </c>
      <c r="AY235" s="260" t="s">
        <v>206</v>
      </c>
    </row>
    <row r="236" spans="2:63" s="218" customFormat="1" ht="22.9" customHeight="1">
      <c r="B236" s="219"/>
      <c r="C236" s="220"/>
      <c r="D236" s="221" t="s">
        <v>81</v>
      </c>
      <c r="E236" s="233" t="s">
        <v>256</v>
      </c>
      <c r="F236" s="233" t="s">
        <v>367</v>
      </c>
      <c r="G236" s="223"/>
      <c r="H236" s="315"/>
      <c r="I236" s="223"/>
      <c r="J236" s="234">
        <f>SUM(J237:J309)</f>
        <v>0</v>
      </c>
      <c r="K236" s="223"/>
      <c r="L236" s="225"/>
      <c r="M236" s="226"/>
      <c r="N236" s="227"/>
      <c r="O236" s="227"/>
      <c r="P236" s="228">
        <f>SUM(P237:P309)</f>
        <v>350.71000000000004</v>
      </c>
      <c r="Q236" s="227"/>
      <c r="R236" s="228">
        <f>SUM(R237:R309)</f>
        <v>9.133844999999999</v>
      </c>
      <c r="S236" s="227"/>
      <c r="T236" s="229">
        <f>SUM(T237:T309)</f>
        <v>0</v>
      </c>
      <c r="AR236" s="230" t="s">
        <v>18</v>
      </c>
      <c r="AT236" s="231" t="s">
        <v>81</v>
      </c>
      <c r="AU236" s="231" t="s">
        <v>18</v>
      </c>
      <c r="AY236" s="230" t="s">
        <v>206</v>
      </c>
      <c r="BK236" s="232">
        <f>SUM(BK237:BK309)</f>
        <v>0</v>
      </c>
    </row>
    <row r="237" spans="1:65" s="136" customFormat="1" ht="21.75" customHeight="1">
      <c r="A237" s="131"/>
      <c r="B237" s="132"/>
      <c r="C237" s="235">
        <v>32</v>
      </c>
      <c r="D237" s="236" t="s">
        <v>208</v>
      </c>
      <c r="E237" s="237" t="s">
        <v>368</v>
      </c>
      <c r="F237" s="238" t="s">
        <v>369</v>
      </c>
      <c r="G237" s="239" t="s">
        <v>238</v>
      </c>
      <c r="H237" s="72"/>
      <c r="I237" s="241">
        <v>279</v>
      </c>
      <c r="J237" s="240">
        <f>ROUND($H237*I237,2)</f>
        <v>0</v>
      </c>
      <c r="K237" s="242"/>
      <c r="L237" s="211"/>
      <c r="M237" s="243" t="s">
        <v>1</v>
      </c>
      <c r="N237" s="244" t="s">
        <v>47</v>
      </c>
      <c r="O237" s="245">
        <v>0.448</v>
      </c>
      <c r="P237" s="245">
        <f>O237*I237</f>
        <v>124.992</v>
      </c>
      <c r="Q237" s="245">
        <v>0</v>
      </c>
      <c r="R237" s="245">
        <f>Q237*I237</f>
        <v>0</v>
      </c>
      <c r="S237" s="245">
        <v>0</v>
      </c>
      <c r="T237" s="246">
        <f>S237*I237</f>
        <v>0</v>
      </c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R237" s="247" t="s">
        <v>212</v>
      </c>
      <c r="AT237" s="247" t="s">
        <v>208</v>
      </c>
      <c r="AU237" s="247" t="s">
        <v>92</v>
      </c>
      <c r="AY237" s="120" t="s">
        <v>206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20" t="s">
        <v>18</v>
      </c>
      <c r="BK237" s="248">
        <f>ROUND(H237*I237,2)</f>
        <v>0</v>
      </c>
      <c r="BL237" s="120" t="s">
        <v>212</v>
      </c>
      <c r="BM237" s="247" t="s">
        <v>370</v>
      </c>
    </row>
    <row r="238" spans="2:51" s="249" customFormat="1" ht="12">
      <c r="B238" s="250"/>
      <c r="C238" s="133"/>
      <c r="D238" s="251" t="s">
        <v>214</v>
      </c>
      <c r="E238" s="252" t="s">
        <v>1</v>
      </c>
      <c r="F238" s="253" t="s">
        <v>97</v>
      </c>
      <c r="G238" s="254"/>
      <c r="H238" s="312"/>
      <c r="I238" s="255">
        <v>279</v>
      </c>
      <c r="J238" s="254"/>
      <c r="K238" s="254"/>
      <c r="L238" s="256"/>
      <c r="M238" s="257"/>
      <c r="N238" s="258"/>
      <c r="O238" s="258"/>
      <c r="P238" s="258"/>
      <c r="Q238" s="258"/>
      <c r="R238" s="258"/>
      <c r="S238" s="258"/>
      <c r="T238" s="259"/>
      <c r="AT238" s="260" t="s">
        <v>214</v>
      </c>
      <c r="AU238" s="260" t="s">
        <v>92</v>
      </c>
      <c r="AV238" s="249" t="s">
        <v>92</v>
      </c>
      <c r="AW238" s="249" t="s">
        <v>39</v>
      </c>
      <c r="AX238" s="249" t="s">
        <v>18</v>
      </c>
      <c r="AY238" s="260" t="s">
        <v>206</v>
      </c>
    </row>
    <row r="239" spans="1:65" s="136" customFormat="1" ht="21.75" customHeight="1">
      <c r="A239" s="131"/>
      <c r="B239" s="132"/>
      <c r="C239" s="283">
        <v>33</v>
      </c>
      <c r="D239" s="284" t="s">
        <v>324</v>
      </c>
      <c r="E239" s="285" t="s">
        <v>371</v>
      </c>
      <c r="F239" s="286" t="s">
        <v>372</v>
      </c>
      <c r="G239" s="287" t="s">
        <v>238</v>
      </c>
      <c r="H239" s="73"/>
      <c r="I239" s="288">
        <v>279</v>
      </c>
      <c r="J239" s="240">
        <f>ROUND($H239*I239,2)</f>
        <v>0</v>
      </c>
      <c r="K239" s="289"/>
      <c r="L239" s="290"/>
      <c r="M239" s="291" t="s">
        <v>1</v>
      </c>
      <c r="N239" s="292" t="s">
        <v>47</v>
      </c>
      <c r="O239" s="245">
        <v>0</v>
      </c>
      <c r="P239" s="245">
        <f>O239*I239</f>
        <v>0</v>
      </c>
      <c r="Q239" s="245">
        <v>0.0181</v>
      </c>
      <c r="R239" s="245">
        <f>Q239*I239</f>
        <v>5.0499</v>
      </c>
      <c r="S239" s="245">
        <v>0</v>
      </c>
      <c r="T239" s="246">
        <f>S239*I239</f>
        <v>0</v>
      </c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R239" s="247" t="s">
        <v>256</v>
      </c>
      <c r="AT239" s="247" t="s">
        <v>324</v>
      </c>
      <c r="AU239" s="247" t="s">
        <v>92</v>
      </c>
      <c r="AY239" s="120" t="s">
        <v>206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20" t="s">
        <v>18</v>
      </c>
      <c r="BK239" s="248">
        <f>ROUND(H239*I239,2)</f>
        <v>0</v>
      </c>
      <c r="BL239" s="120" t="s">
        <v>212</v>
      </c>
      <c r="BM239" s="247" t="s">
        <v>373</v>
      </c>
    </row>
    <row r="240" spans="2:51" s="249" customFormat="1" ht="12">
      <c r="B240" s="250"/>
      <c r="C240" s="133"/>
      <c r="D240" s="251" t="s">
        <v>214</v>
      </c>
      <c r="E240" s="252" t="s">
        <v>1</v>
      </c>
      <c r="F240" s="253" t="s">
        <v>97</v>
      </c>
      <c r="G240" s="254"/>
      <c r="H240" s="312"/>
      <c r="I240" s="255">
        <v>279</v>
      </c>
      <c r="J240" s="254"/>
      <c r="K240" s="254"/>
      <c r="L240" s="256"/>
      <c r="M240" s="257"/>
      <c r="N240" s="258"/>
      <c r="O240" s="258"/>
      <c r="P240" s="258"/>
      <c r="Q240" s="258"/>
      <c r="R240" s="258"/>
      <c r="S240" s="258"/>
      <c r="T240" s="259"/>
      <c r="AT240" s="260" t="s">
        <v>214</v>
      </c>
      <c r="AU240" s="260" t="s">
        <v>92</v>
      </c>
      <c r="AV240" s="249" t="s">
        <v>92</v>
      </c>
      <c r="AW240" s="249" t="s">
        <v>39</v>
      </c>
      <c r="AX240" s="249" t="s">
        <v>18</v>
      </c>
      <c r="AY240" s="260" t="s">
        <v>206</v>
      </c>
    </row>
    <row r="241" spans="1:65" s="136" customFormat="1" ht="21.75" customHeight="1">
      <c r="A241" s="131"/>
      <c r="B241" s="132"/>
      <c r="C241" s="235">
        <v>34</v>
      </c>
      <c r="D241" s="236" t="s">
        <v>208</v>
      </c>
      <c r="E241" s="237" t="s">
        <v>374</v>
      </c>
      <c r="F241" s="238" t="s">
        <v>375</v>
      </c>
      <c r="G241" s="239" t="s">
        <v>376</v>
      </c>
      <c r="H241" s="72"/>
      <c r="I241" s="241">
        <f>I242+I243</f>
        <v>3</v>
      </c>
      <c r="J241" s="240">
        <f aca="true" t="shared" si="0" ref="J241:J255">ROUND($H241*I241,2)</f>
        <v>0</v>
      </c>
      <c r="K241" s="242"/>
      <c r="L241" s="211"/>
      <c r="M241" s="243" t="s">
        <v>1</v>
      </c>
      <c r="N241" s="244" t="s">
        <v>47</v>
      </c>
      <c r="O241" s="245">
        <v>0.759</v>
      </c>
      <c r="P241" s="245">
        <f aca="true" t="shared" si="1" ref="P241:P255">O241*I241</f>
        <v>2.277</v>
      </c>
      <c r="Q241" s="245">
        <v>0.00167</v>
      </c>
      <c r="R241" s="245">
        <f aca="true" t="shared" si="2" ref="R241:R255">Q241*I241</f>
        <v>0.0050100000000000006</v>
      </c>
      <c r="S241" s="245">
        <v>0</v>
      </c>
      <c r="T241" s="246">
        <f aca="true" t="shared" si="3" ref="T241:T255">S241*I241</f>
        <v>0</v>
      </c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R241" s="247" t="s">
        <v>212</v>
      </c>
      <c r="AT241" s="247" t="s">
        <v>208</v>
      </c>
      <c r="AU241" s="247" t="s">
        <v>92</v>
      </c>
      <c r="AY241" s="120" t="s">
        <v>206</v>
      </c>
      <c r="BE241" s="248">
        <f aca="true" t="shared" si="4" ref="BE241:BE255">IF(N241="základní",J241,0)</f>
        <v>0</v>
      </c>
      <c r="BF241" s="248">
        <f aca="true" t="shared" si="5" ref="BF241:BF255">IF(N241="snížená",J241,0)</f>
        <v>0</v>
      </c>
      <c r="BG241" s="248">
        <f aca="true" t="shared" si="6" ref="BG241:BG255">IF(N241="zákl. přenesená",J241,0)</f>
        <v>0</v>
      </c>
      <c r="BH241" s="248">
        <f aca="true" t="shared" si="7" ref="BH241:BH255">IF(N241="sníž. přenesená",J241,0)</f>
        <v>0</v>
      </c>
      <c r="BI241" s="248">
        <f aca="true" t="shared" si="8" ref="BI241:BI255">IF(N241="nulová",J241,0)</f>
        <v>0</v>
      </c>
      <c r="BJ241" s="120" t="s">
        <v>18</v>
      </c>
      <c r="BK241" s="248">
        <f aca="true" t="shared" si="9" ref="BK241:BK255">ROUND(H241*I241,2)</f>
        <v>0</v>
      </c>
      <c r="BL241" s="120" t="s">
        <v>212</v>
      </c>
      <c r="BM241" s="247" t="s">
        <v>377</v>
      </c>
    </row>
    <row r="242" spans="1:65" s="136" customFormat="1" ht="16.5" customHeight="1">
      <c r="A242" s="131"/>
      <c r="B242" s="132"/>
      <c r="C242" s="283">
        <f aca="true" t="shared" si="10" ref="C242:C255">C241+1</f>
        <v>35</v>
      </c>
      <c r="D242" s="284" t="s">
        <v>324</v>
      </c>
      <c r="E242" s="285" t="s">
        <v>378</v>
      </c>
      <c r="F242" s="286" t="s">
        <v>379</v>
      </c>
      <c r="G242" s="287" t="s">
        <v>380</v>
      </c>
      <c r="H242" s="73"/>
      <c r="I242" s="288">
        <v>1</v>
      </c>
      <c r="J242" s="240">
        <f t="shared" si="0"/>
        <v>0</v>
      </c>
      <c r="K242" s="289"/>
      <c r="L242" s="290"/>
      <c r="M242" s="291" t="s">
        <v>1</v>
      </c>
      <c r="N242" s="292" t="s">
        <v>47</v>
      </c>
      <c r="O242" s="245">
        <v>0</v>
      </c>
      <c r="P242" s="245">
        <f t="shared" si="1"/>
        <v>0</v>
      </c>
      <c r="Q242" s="245">
        <v>0.0163</v>
      </c>
      <c r="R242" s="245">
        <f t="shared" si="2"/>
        <v>0.0163</v>
      </c>
      <c r="S242" s="245">
        <v>0</v>
      </c>
      <c r="T242" s="246">
        <f t="shared" si="3"/>
        <v>0</v>
      </c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R242" s="247" t="s">
        <v>256</v>
      </c>
      <c r="AT242" s="247" t="s">
        <v>324</v>
      </c>
      <c r="AU242" s="247" t="s">
        <v>92</v>
      </c>
      <c r="AY242" s="120" t="s">
        <v>206</v>
      </c>
      <c r="BE242" s="248">
        <f t="shared" si="4"/>
        <v>0</v>
      </c>
      <c r="BF242" s="248">
        <f t="shared" si="5"/>
        <v>0</v>
      </c>
      <c r="BG242" s="248">
        <f t="shared" si="6"/>
        <v>0</v>
      </c>
      <c r="BH242" s="248">
        <f t="shared" si="7"/>
        <v>0</v>
      </c>
      <c r="BI242" s="248">
        <f t="shared" si="8"/>
        <v>0</v>
      </c>
      <c r="BJ242" s="120" t="s">
        <v>18</v>
      </c>
      <c r="BK242" s="248">
        <f t="shared" si="9"/>
        <v>0</v>
      </c>
      <c r="BL242" s="120" t="s">
        <v>212</v>
      </c>
      <c r="BM242" s="247" t="s">
        <v>381</v>
      </c>
    </row>
    <row r="243" spans="1:65" s="136" customFormat="1" ht="21.75" customHeight="1">
      <c r="A243" s="131"/>
      <c r="B243" s="132"/>
      <c r="C243" s="283">
        <f t="shared" si="10"/>
        <v>36</v>
      </c>
      <c r="D243" s="284" t="s">
        <v>324</v>
      </c>
      <c r="E243" s="285" t="s">
        <v>382</v>
      </c>
      <c r="F243" s="286" t="s">
        <v>383</v>
      </c>
      <c r="G243" s="287" t="s">
        <v>376</v>
      </c>
      <c r="H243" s="73"/>
      <c r="I243" s="288">
        <v>2</v>
      </c>
      <c r="J243" s="240">
        <f t="shared" si="0"/>
        <v>0</v>
      </c>
      <c r="K243" s="289"/>
      <c r="L243" s="290"/>
      <c r="M243" s="291" t="s">
        <v>1</v>
      </c>
      <c r="N243" s="292" t="s">
        <v>47</v>
      </c>
      <c r="O243" s="245">
        <v>0</v>
      </c>
      <c r="P243" s="245">
        <f t="shared" si="1"/>
        <v>0</v>
      </c>
      <c r="Q243" s="245">
        <v>0.0069</v>
      </c>
      <c r="R243" s="245">
        <f t="shared" si="2"/>
        <v>0.0138</v>
      </c>
      <c r="S243" s="245">
        <v>0</v>
      </c>
      <c r="T243" s="246">
        <f t="shared" si="3"/>
        <v>0</v>
      </c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R243" s="247" t="s">
        <v>256</v>
      </c>
      <c r="AT243" s="247" t="s">
        <v>324</v>
      </c>
      <c r="AU243" s="247" t="s">
        <v>92</v>
      </c>
      <c r="AY243" s="120" t="s">
        <v>206</v>
      </c>
      <c r="BE243" s="248">
        <f t="shared" si="4"/>
        <v>0</v>
      </c>
      <c r="BF243" s="248">
        <f t="shared" si="5"/>
        <v>0</v>
      </c>
      <c r="BG243" s="248">
        <f t="shared" si="6"/>
        <v>0</v>
      </c>
      <c r="BH243" s="248">
        <f t="shared" si="7"/>
        <v>0</v>
      </c>
      <c r="BI243" s="248">
        <f t="shared" si="8"/>
        <v>0</v>
      </c>
      <c r="BJ243" s="120" t="s">
        <v>18</v>
      </c>
      <c r="BK243" s="248">
        <f t="shared" si="9"/>
        <v>0</v>
      </c>
      <c r="BL243" s="120" t="s">
        <v>212</v>
      </c>
      <c r="BM243" s="247" t="s">
        <v>384</v>
      </c>
    </row>
    <row r="244" spans="1:65" s="136" customFormat="1" ht="21.75" customHeight="1">
      <c r="A244" s="131"/>
      <c r="B244" s="132"/>
      <c r="C244" s="283">
        <f t="shared" si="10"/>
        <v>37</v>
      </c>
      <c r="D244" s="236" t="s">
        <v>208</v>
      </c>
      <c r="E244" s="237" t="s">
        <v>385</v>
      </c>
      <c r="F244" s="238" t="s">
        <v>386</v>
      </c>
      <c r="G244" s="239" t="s">
        <v>376</v>
      </c>
      <c r="H244" s="72"/>
      <c r="I244" s="241">
        <f>I245+I246+I247+I248+I249+I250</f>
        <v>17</v>
      </c>
      <c r="J244" s="240">
        <f t="shared" si="0"/>
        <v>0</v>
      </c>
      <c r="K244" s="242"/>
      <c r="L244" s="211"/>
      <c r="M244" s="243" t="s">
        <v>1</v>
      </c>
      <c r="N244" s="244" t="s">
        <v>47</v>
      </c>
      <c r="O244" s="245">
        <v>1.592</v>
      </c>
      <c r="P244" s="245">
        <f t="shared" si="1"/>
        <v>27.064</v>
      </c>
      <c r="Q244" s="245">
        <v>0</v>
      </c>
      <c r="R244" s="245">
        <f t="shared" si="2"/>
        <v>0</v>
      </c>
      <c r="S244" s="245">
        <v>0</v>
      </c>
      <c r="T244" s="246">
        <f t="shared" si="3"/>
        <v>0</v>
      </c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R244" s="247" t="s">
        <v>212</v>
      </c>
      <c r="AT244" s="247" t="s">
        <v>208</v>
      </c>
      <c r="AU244" s="247" t="s">
        <v>92</v>
      </c>
      <c r="AY244" s="120" t="s">
        <v>206</v>
      </c>
      <c r="BE244" s="248">
        <f t="shared" si="4"/>
        <v>0</v>
      </c>
      <c r="BF244" s="248">
        <f t="shared" si="5"/>
        <v>0</v>
      </c>
      <c r="BG244" s="248">
        <f t="shared" si="6"/>
        <v>0</v>
      </c>
      <c r="BH244" s="248">
        <f t="shared" si="7"/>
        <v>0</v>
      </c>
      <c r="BI244" s="248">
        <f t="shared" si="8"/>
        <v>0</v>
      </c>
      <c r="BJ244" s="120" t="s">
        <v>18</v>
      </c>
      <c r="BK244" s="248">
        <f t="shared" si="9"/>
        <v>0</v>
      </c>
      <c r="BL244" s="120" t="s">
        <v>212</v>
      </c>
      <c r="BM244" s="247" t="s">
        <v>387</v>
      </c>
    </row>
    <row r="245" spans="1:65" s="136" customFormat="1" ht="21.75" customHeight="1">
      <c r="A245" s="131"/>
      <c r="B245" s="132"/>
      <c r="C245" s="283">
        <f t="shared" si="10"/>
        <v>38</v>
      </c>
      <c r="D245" s="284" t="s">
        <v>324</v>
      </c>
      <c r="E245" s="285" t="s">
        <v>388</v>
      </c>
      <c r="F245" s="286" t="s">
        <v>389</v>
      </c>
      <c r="G245" s="287" t="s">
        <v>376</v>
      </c>
      <c r="H245" s="73"/>
      <c r="I245" s="288">
        <v>1</v>
      </c>
      <c r="J245" s="240">
        <f t="shared" si="0"/>
        <v>0</v>
      </c>
      <c r="K245" s="289"/>
      <c r="L245" s="290"/>
      <c r="M245" s="291" t="s">
        <v>1</v>
      </c>
      <c r="N245" s="292" t="s">
        <v>47</v>
      </c>
      <c r="O245" s="245">
        <v>0</v>
      </c>
      <c r="P245" s="245">
        <f t="shared" si="1"/>
        <v>0</v>
      </c>
      <c r="Q245" s="245">
        <v>0.0083</v>
      </c>
      <c r="R245" s="245">
        <f t="shared" si="2"/>
        <v>0.0083</v>
      </c>
      <c r="S245" s="245">
        <v>0</v>
      </c>
      <c r="T245" s="246">
        <f t="shared" si="3"/>
        <v>0</v>
      </c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R245" s="247" t="s">
        <v>256</v>
      </c>
      <c r="AT245" s="247" t="s">
        <v>324</v>
      </c>
      <c r="AU245" s="247" t="s">
        <v>92</v>
      </c>
      <c r="AY245" s="120" t="s">
        <v>206</v>
      </c>
      <c r="BE245" s="248">
        <f t="shared" si="4"/>
        <v>0</v>
      </c>
      <c r="BF245" s="248">
        <f t="shared" si="5"/>
        <v>0</v>
      </c>
      <c r="BG245" s="248">
        <f t="shared" si="6"/>
        <v>0</v>
      </c>
      <c r="BH245" s="248">
        <f t="shared" si="7"/>
        <v>0</v>
      </c>
      <c r="BI245" s="248">
        <f t="shared" si="8"/>
        <v>0</v>
      </c>
      <c r="BJ245" s="120" t="s">
        <v>18</v>
      </c>
      <c r="BK245" s="248">
        <f t="shared" si="9"/>
        <v>0</v>
      </c>
      <c r="BL245" s="120" t="s">
        <v>212</v>
      </c>
      <c r="BM245" s="247" t="s">
        <v>390</v>
      </c>
    </row>
    <row r="246" spans="1:65" s="136" customFormat="1" ht="21.75" customHeight="1">
      <c r="A246" s="131"/>
      <c r="B246" s="132"/>
      <c r="C246" s="283">
        <f t="shared" si="10"/>
        <v>39</v>
      </c>
      <c r="D246" s="284" t="s">
        <v>324</v>
      </c>
      <c r="E246" s="285" t="s">
        <v>391</v>
      </c>
      <c r="F246" s="286" t="s">
        <v>392</v>
      </c>
      <c r="G246" s="287" t="s">
        <v>376</v>
      </c>
      <c r="H246" s="73"/>
      <c r="I246" s="288">
        <v>2</v>
      </c>
      <c r="J246" s="240">
        <f t="shared" si="0"/>
        <v>0</v>
      </c>
      <c r="K246" s="289"/>
      <c r="L246" s="290"/>
      <c r="M246" s="291" t="s">
        <v>1</v>
      </c>
      <c r="N246" s="292" t="s">
        <v>47</v>
      </c>
      <c r="O246" s="245">
        <v>0</v>
      </c>
      <c r="P246" s="245">
        <f t="shared" si="1"/>
        <v>0</v>
      </c>
      <c r="Q246" s="245">
        <v>0.0071</v>
      </c>
      <c r="R246" s="245">
        <f t="shared" si="2"/>
        <v>0.0142</v>
      </c>
      <c r="S246" s="245">
        <v>0</v>
      </c>
      <c r="T246" s="246">
        <f t="shared" si="3"/>
        <v>0</v>
      </c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R246" s="247" t="s">
        <v>256</v>
      </c>
      <c r="AT246" s="247" t="s">
        <v>324</v>
      </c>
      <c r="AU246" s="247" t="s">
        <v>92</v>
      </c>
      <c r="AY246" s="120" t="s">
        <v>206</v>
      </c>
      <c r="BE246" s="248">
        <f t="shared" si="4"/>
        <v>0</v>
      </c>
      <c r="BF246" s="248">
        <f t="shared" si="5"/>
        <v>0</v>
      </c>
      <c r="BG246" s="248">
        <f t="shared" si="6"/>
        <v>0</v>
      </c>
      <c r="BH246" s="248">
        <f t="shared" si="7"/>
        <v>0</v>
      </c>
      <c r="BI246" s="248">
        <f t="shared" si="8"/>
        <v>0</v>
      </c>
      <c r="BJ246" s="120" t="s">
        <v>18</v>
      </c>
      <c r="BK246" s="248">
        <f t="shared" si="9"/>
        <v>0</v>
      </c>
      <c r="BL246" s="120" t="s">
        <v>212</v>
      </c>
      <c r="BM246" s="247" t="s">
        <v>393</v>
      </c>
    </row>
    <row r="247" spans="1:65" s="136" customFormat="1" ht="21.75" customHeight="1">
      <c r="A247" s="131"/>
      <c r="B247" s="132"/>
      <c r="C247" s="283">
        <f t="shared" si="10"/>
        <v>40</v>
      </c>
      <c r="D247" s="284" t="s">
        <v>324</v>
      </c>
      <c r="E247" s="285" t="s">
        <v>394</v>
      </c>
      <c r="F247" s="286" t="s">
        <v>395</v>
      </c>
      <c r="G247" s="287" t="s">
        <v>376</v>
      </c>
      <c r="H247" s="73"/>
      <c r="I247" s="288">
        <v>2</v>
      </c>
      <c r="J247" s="240">
        <f t="shared" si="0"/>
        <v>0</v>
      </c>
      <c r="K247" s="289"/>
      <c r="L247" s="290"/>
      <c r="M247" s="291" t="s">
        <v>1</v>
      </c>
      <c r="N247" s="292" t="s">
        <v>47</v>
      </c>
      <c r="O247" s="245">
        <v>0</v>
      </c>
      <c r="P247" s="245">
        <f t="shared" si="1"/>
        <v>0</v>
      </c>
      <c r="Q247" s="245">
        <v>0.0135</v>
      </c>
      <c r="R247" s="245">
        <f t="shared" si="2"/>
        <v>0.027</v>
      </c>
      <c r="S247" s="245">
        <v>0</v>
      </c>
      <c r="T247" s="246">
        <f t="shared" si="3"/>
        <v>0</v>
      </c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R247" s="247" t="s">
        <v>256</v>
      </c>
      <c r="AT247" s="247" t="s">
        <v>324</v>
      </c>
      <c r="AU247" s="247" t="s">
        <v>92</v>
      </c>
      <c r="AY247" s="120" t="s">
        <v>206</v>
      </c>
      <c r="BE247" s="248">
        <f t="shared" si="4"/>
        <v>0</v>
      </c>
      <c r="BF247" s="248">
        <f t="shared" si="5"/>
        <v>0</v>
      </c>
      <c r="BG247" s="248">
        <f t="shared" si="6"/>
        <v>0</v>
      </c>
      <c r="BH247" s="248">
        <f t="shared" si="7"/>
        <v>0</v>
      </c>
      <c r="BI247" s="248">
        <f t="shared" si="8"/>
        <v>0</v>
      </c>
      <c r="BJ247" s="120" t="s">
        <v>18</v>
      </c>
      <c r="BK247" s="248">
        <f t="shared" si="9"/>
        <v>0</v>
      </c>
      <c r="BL247" s="120" t="s">
        <v>212</v>
      </c>
      <c r="BM247" s="247" t="s">
        <v>396</v>
      </c>
    </row>
    <row r="248" spans="1:65" s="136" customFormat="1" ht="21.75" customHeight="1">
      <c r="A248" s="131"/>
      <c r="B248" s="132"/>
      <c r="C248" s="283">
        <f t="shared" si="10"/>
        <v>41</v>
      </c>
      <c r="D248" s="284" t="s">
        <v>324</v>
      </c>
      <c r="E248" s="285" t="s">
        <v>397</v>
      </c>
      <c r="F248" s="286" t="s">
        <v>398</v>
      </c>
      <c r="G248" s="287" t="s">
        <v>376</v>
      </c>
      <c r="H248" s="73"/>
      <c r="I248" s="288">
        <v>4</v>
      </c>
      <c r="J248" s="240">
        <f t="shared" si="0"/>
        <v>0</v>
      </c>
      <c r="K248" s="289"/>
      <c r="L248" s="290"/>
      <c r="M248" s="291" t="s">
        <v>1</v>
      </c>
      <c r="N248" s="292" t="s">
        <v>47</v>
      </c>
      <c r="O248" s="245">
        <v>0</v>
      </c>
      <c r="P248" s="245">
        <f t="shared" si="1"/>
        <v>0</v>
      </c>
      <c r="Q248" s="245">
        <v>0.0088</v>
      </c>
      <c r="R248" s="245">
        <f t="shared" si="2"/>
        <v>0.0352</v>
      </c>
      <c r="S248" s="245">
        <v>0</v>
      </c>
      <c r="T248" s="246">
        <f t="shared" si="3"/>
        <v>0</v>
      </c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R248" s="247" t="s">
        <v>256</v>
      </c>
      <c r="AT248" s="247" t="s">
        <v>324</v>
      </c>
      <c r="AU248" s="247" t="s">
        <v>92</v>
      </c>
      <c r="AY248" s="120" t="s">
        <v>206</v>
      </c>
      <c r="BE248" s="248">
        <f t="shared" si="4"/>
        <v>0</v>
      </c>
      <c r="BF248" s="248">
        <f t="shared" si="5"/>
        <v>0</v>
      </c>
      <c r="BG248" s="248">
        <f t="shared" si="6"/>
        <v>0</v>
      </c>
      <c r="BH248" s="248">
        <f t="shared" si="7"/>
        <v>0</v>
      </c>
      <c r="BI248" s="248">
        <f t="shared" si="8"/>
        <v>0</v>
      </c>
      <c r="BJ248" s="120" t="s">
        <v>18</v>
      </c>
      <c r="BK248" s="248">
        <f t="shared" si="9"/>
        <v>0</v>
      </c>
      <c r="BL248" s="120" t="s">
        <v>212</v>
      </c>
      <c r="BM248" s="247" t="s">
        <v>399</v>
      </c>
    </row>
    <row r="249" spans="1:65" s="136" customFormat="1" ht="21.75" customHeight="1">
      <c r="A249" s="131"/>
      <c r="B249" s="132"/>
      <c r="C249" s="283">
        <f t="shared" si="10"/>
        <v>42</v>
      </c>
      <c r="D249" s="284" t="s">
        <v>324</v>
      </c>
      <c r="E249" s="285" t="s">
        <v>400</v>
      </c>
      <c r="F249" s="286" t="s">
        <v>401</v>
      </c>
      <c r="G249" s="287" t="s">
        <v>376</v>
      </c>
      <c r="H249" s="73"/>
      <c r="I249" s="288">
        <v>2</v>
      </c>
      <c r="J249" s="240">
        <f t="shared" si="0"/>
        <v>0</v>
      </c>
      <c r="K249" s="289"/>
      <c r="L249" s="290"/>
      <c r="M249" s="291" t="s">
        <v>1</v>
      </c>
      <c r="N249" s="292" t="s">
        <v>47</v>
      </c>
      <c r="O249" s="245">
        <v>0</v>
      </c>
      <c r="P249" s="245">
        <f t="shared" si="1"/>
        <v>0</v>
      </c>
      <c r="Q249" s="245">
        <v>0.0092</v>
      </c>
      <c r="R249" s="245">
        <f t="shared" si="2"/>
        <v>0.0184</v>
      </c>
      <c r="S249" s="245">
        <v>0</v>
      </c>
      <c r="T249" s="246">
        <f t="shared" si="3"/>
        <v>0</v>
      </c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R249" s="247" t="s">
        <v>256</v>
      </c>
      <c r="AT249" s="247" t="s">
        <v>324</v>
      </c>
      <c r="AU249" s="247" t="s">
        <v>92</v>
      </c>
      <c r="AY249" s="120" t="s">
        <v>206</v>
      </c>
      <c r="BE249" s="248">
        <f t="shared" si="4"/>
        <v>0</v>
      </c>
      <c r="BF249" s="248">
        <f t="shared" si="5"/>
        <v>0</v>
      </c>
      <c r="BG249" s="248">
        <f t="shared" si="6"/>
        <v>0</v>
      </c>
      <c r="BH249" s="248">
        <f t="shared" si="7"/>
        <v>0</v>
      </c>
      <c r="BI249" s="248">
        <f t="shared" si="8"/>
        <v>0</v>
      </c>
      <c r="BJ249" s="120" t="s">
        <v>18</v>
      </c>
      <c r="BK249" s="248">
        <f t="shared" si="9"/>
        <v>0</v>
      </c>
      <c r="BL249" s="120" t="s">
        <v>212</v>
      </c>
      <c r="BM249" s="247" t="s">
        <v>402</v>
      </c>
    </row>
    <row r="250" spans="1:65" s="136" customFormat="1" ht="21.75" customHeight="1">
      <c r="A250" s="131"/>
      <c r="B250" s="132"/>
      <c r="C250" s="283">
        <f t="shared" si="10"/>
        <v>43</v>
      </c>
      <c r="D250" s="284" t="s">
        <v>324</v>
      </c>
      <c r="E250" s="285" t="s">
        <v>403</v>
      </c>
      <c r="F250" s="286" t="s">
        <v>404</v>
      </c>
      <c r="G250" s="287" t="s">
        <v>376</v>
      </c>
      <c r="H250" s="73"/>
      <c r="I250" s="288">
        <v>6</v>
      </c>
      <c r="J250" s="240">
        <f t="shared" si="0"/>
        <v>0</v>
      </c>
      <c r="K250" s="289"/>
      <c r="L250" s="290"/>
      <c r="M250" s="291" t="s">
        <v>1</v>
      </c>
      <c r="N250" s="292" t="s">
        <v>47</v>
      </c>
      <c r="O250" s="245">
        <v>0</v>
      </c>
      <c r="P250" s="245">
        <f t="shared" si="1"/>
        <v>0</v>
      </c>
      <c r="Q250" s="245">
        <v>0.0101</v>
      </c>
      <c r="R250" s="245">
        <f t="shared" si="2"/>
        <v>0.0606</v>
      </c>
      <c r="S250" s="245">
        <v>0</v>
      </c>
      <c r="T250" s="246">
        <f t="shared" si="3"/>
        <v>0</v>
      </c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R250" s="247" t="s">
        <v>256</v>
      </c>
      <c r="AT250" s="247" t="s">
        <v>324</v>
      </c>
      <c r="AU250" s="247" t="s">
        <v>92</v>
      </c>
      <c r="AY250" s="120" t="s">
        <v>206</v>
      </c>
      <c r="BE250" s="248">
        <f t="shared" si="4"/>
        <v>0</v>
      </c>
      <c r="BF250" s="248">
        <f t="shared" si="5"/>
        <v>0</v>
      </c>
      <c r="BG250" s="248">
        <f t="shared" si="6"/>
        <v>0</v>
      </c>
      <c r="BH250" s="248">
        <f t="shared" si="7"/>
        <v>0</v>
      </c>
      <c r="BI250" s="248">
        <f t="shared" si="8"/>
        <v>0</v>
      </c>
      <c r="BJ250" s="120" t="s">
        <v>18</v>
      </c>
      <c r="BK250" s="248">
        <f t="shared" si="9"/>
        <v>0</v>
      </c>
      <c r="BL250" s="120" t="s">
        <v>212</v>
      </c>
      <c r="BM250" s="247" t="s">
        <v>405</v>
      </c>
    </row>
    <row r="251" spans="1:65" s="136" customFormat="1" ht="21.75" customHeight="1">
      <c r="A251" s="131"/>
      <c r="B251" s="132"/>
      <c r="C251" s="283">
        <f t="shared" si="10"/>
        <v>44</v>
      </c>
      <c r="D251" s="236" t="s">
        <v>208</v>
      </c>
      <c r="E251" s="237" t="s">
        <v>406</v>
      </c>
      <c r="F251" s="238" t="s">
        <v>407</v>
      </c>
      <c r="G251" s="239" t="s">
        <v>376</v>
      </c>
      <c r="H251" s="72"/>
      <c r="I251" s="241">
        <v>1</v>
      </c>
      <c r="J251" s="240">
        <f t="shared" si="0"/>
        <v>0</v>
      </c>
      <c r="K251" s="242"/>
      <c r="L251" s="211"/>
      <c r="M251" s="243" t="s">
        <v>1</v>
      </c>
      <c r="N251" s="244" t="s">
        <v>47</v>
      </c>
      <c r="O251" s="245">
        <v>0.856</v>
      </c>
      <c r="P251" s="245">
        <f t="shared" si="1"/>
        <v>0.856</v>
      </c>
      <c r="Q251" s="245">
        <v>0.00167</v>
      </c>
      <c r="R251" s="245">
        <f t="shared" si="2"/>
        <v>0.00167</v>
      </c>
      <c r="S251" s="245">
        <v>0</v>
      </c>
      <c r="T251" s="246">
        <f t="shared" si="3"/>
        <v>0</v>
      </c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R251" s="247" t="s">
        <v>212</v>
      </c>
      <c r="AT251" s="247" t="s">
        <v>208</v>
      </c>
      <c r="AU251" s="247" t="s">
        <v>92</v>
      </c>
      <c r="AY251" s="120" t="s">
        <v>206</v>
      </c>
      <c r="BE251" s="248">
        <f t="shared" si="4"/>
        <v>0</v>
      </c>
      <c r="BF251" s="248">
        <f t="shared" si="5"/>
        <v>0</v>
      </c>
      <c r="BG251" s="248">
        <f t="shared" si="6"/>
        <v>0</v>
      </c>
      <c r="BH251" s="248">
        <f t="shared" si="7"/>
        <v>0</v>
      </c>
      <c r="BI251" s="248">
        <f t="shared" si="8"/>
        <v>0</v>
      </c>
      <c r="BJ251" s="120" t="s">
        <v>18</v>
      </c>
      <c r="BK251" s="248">
        <f t="shared" si="9"/>
        <v>0</v>
      </c>
      <c r="BL251" s="120" t="s">
        <v>212</v>
      </c>
      <c r="BM251" s="247" t="s">
        <v>408</v>
      </c>
    </row>
    <row r="252" spans="1:65" s="136" customFormat="1" ht="21.75" customHeight="1">
      <c r="A252" s="131"/>
      <c r="B252" s="132"/>
      <c r="C252" s="283">
        <f t="shared" si="10"/>
        <v>45</v>
      </c>
      <c r="D252" s="284" t="s">
        <v>324</v>
      </c>
      <c r="E252" s="285" t="s">
        <v>409</v>
      </c>
      <c r="F252" s="286" t="s">
        <v>410</v>
      </c>
      <c r="G252" s="287" t="s">
        <v>376</v>
      </c>
      <c r="H252" s="73"/>
      <c r="I252" s="288">
        <v>1</v>
      </c>
      <c r="J252" s="240">
        <f t="shared" si="0"/>
        <v>0</v>
      </c>
      <c r="K252" s="289"/>
      <c r="L252" s="290"/>
      <c r="M252" s="291" t="s">
        <v>1</v>
      </c>
      <c r="N252" s="292" t="s">
        <v>47</v>
      </c>
      <c r="O252" s="245">
        <v>0</v>
      </c>
      <c r="P252" s="245">
        <f t="shared" si="1"/>
        <v>0</v>
      </c>
      <c r="Q252" s="245">
        <v>0.0088</v>
      </c>
      <c r="R252" s="245">
        <f t="shared" si="2"/>
        <v>0.0088</v>
      </c>
      <c r="S252" s="245">
        <v>0</v>
      </c>
      <c r="T252" s="246">
        <f t="shared" si="3"/>
        <v>0</v>
      </c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R252" s="247" t="s">
        <v>256</v>
      </c>
      <c r="AT252" s="247" t="s">
        <v>324</v>
      </c>
      <c r="AU252" s="247" t="s">
        <v>92</v>
      </c>
      <c r="AY252" s="120" t="s">
        <v>206</v>
      </c>
      <c r="BE252" s="248">
        <f t="shared" si="4"/>
        <v>0</v>
      </c>
      <c r="BF252" s="248">
        <f t="shared" si="5"/>
        <v>0</v>
      </c>
      <c r="BG252" s="248">
        <f t="shared" si="6"/>
        <v>0</v>
      </c>
      <c r="BH252" s="248">
        <f t="shared" si="7"/>
        <v>0</v>
      </c>
      <c r="BI252" s="248">
        <f t="shared" si="8"/>
        <v>0</v>
      </c>
      <c r="BJ252" s="120" t="s">
        <v>18</v>
      </c>
      <c r="BK252" s="248">
        <f t="shared" si="9"/>
        <v>0</v>
      </c>
      <c r="BL252" s="120" t="s">
        <v>212</v>
      </c>
      <c r="BM252" s="247" t="s">
        <v>411</v>
      </c>
    </row>
    <row r="253" spans="1:65" s="136" customFormat="1" ht="21.75" customHeight="1">
      <c r="A253" s="131"/>
      <c r="B253" s="132"/>
      <c r="C253" s="283">
        <f t="shared" si="10"/>
        <v>46</v>
      </c>
      <c r="D253" s="236" t="s">
        <v>208</v>
      </c>
      <c r="E253" s="237" t="s">
        <v>412</v>
      </c>
      <c r="F253" s="238" t="s">
        <v>413</v>
      </c>
      <c r="G253" s="239" t="s">
        <v>376</v>
      </c>
      <c r="H253" s="72"/>
      <c r="I253" s="241">
        <v>1</v>
      </c>
      <c r="J253" s="240">
        <f t="shared" si="0"/>
        <v>0</v>
      </c>
      <c r="K253" s="242"/>
      <c r="L253" s="211"/>
      <c r="M253" s="243" t="s">
        <v>1</v>
      </c>
      <c r="N253" s="244" t="s">
        <v>47</v>
      </c>
      <c r="O253" s="245">
        <v>1.24</v>
      </c>
      <c r="P253" s="245">
        <f t="shared" si="1"/>
        <v>1.24</v>
      </c>
      <c r="Q253" s="245">
        <v>0.00171</v>
      </c>
      <c r="R253" s="245">
        <f t="shared" si="2"/>
        <v>0.00171</v>
      </c>
      <c r="S253" s="245">
        <v>0</v>
      </c>
      <c r="T253" s="246">
        <f t="shared" si="3"/>
        <v>0</v>
      </c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R253" s="247" t="s">
        <v>212</v>
      </c>
      <c r="AT253" s="247" t="s">
        <v>208</v>
      </c>
      <c r="AU253" s="247" t="s">
        <v>92</v>
      </c>
      <c r="AY253" s="120" t="s">
        <v>206</v>
      </c>
      <c r="BE253" s="248">
        <f t="shared" si="4"/>
        <v>0</v>
      </c>
      <c r="BF253" s="248">
        <f t="shared" si="5"/>
        <v>0</v>
      </c>
      <c r="BG253" s="248">
        <f t="shared" si="6"/>
        <v>0</v>
      </c>
      <c r="BH253" s="248">
        <f t="shared" si="7"/>
        <v>0</v>
      </c>
      <c r="BI253" s="248">
        <f t="shared" si="8"/>
        <v>0</v>
      </c>
      <c r="BJ253" s="120" t="s">
        <v>18</v>
      </c>
      <c r="BK253" s="248">
        <f t="shared" si="9"/>
        <v>0</v>
      </c>
      <c r="BL253" s="120" t="s">
        <v>212</v>
      </c>
      <c r="BM253" s="247" t="s">
        <v>414</v>
      </c>
    </row>
    <row r="254" spans="1:65" s="136" customFormat="1" ht="16.5" customHeight="1">
      <c r="A254" s="131"/>
      <c r="B254" s="132"/>
      <c r="C254" s="283">
        <f t="shared" si="10"/>
        <v>47</v>
      </c>
      <c r="D254" s="284" t="s">
        <v>324</v>
      </c>
      <c r="E254" s="285" t="s">
        <v>415</v>
      </c>
      <c r="F254" s="286" t="s">
        <v>416</v>
      </c>
      <c r="G254" s="287" t="s">
        <v>376</v>
      </c>
      <c r="H254" s="73"/>
      <c r="I254" s="288">
        <v>1</v>
      </c>
      <c r="J254" s="240">
        <f t="shared" si="0"/>
        <v>0</v>
      </c>
      <c r="K254" s="289"/>
      <c r="L254" s="290"/>
      <c r="M254" s="291" t="s">
        <v>1</v>
      </c>
      <c r="N254" s="292" t="s">
        <v>47</v>
      </c>
      <c r="O254" s="245">
        <v>0</v>
      </c>
      <c r="P254" s="245">
        <f t="shared" si="1"/>
        <v>0</v>
      </c>
      <c r="Q254" s="245">
        <v>0.0264</v>
      </c>
      <c r="R254" s="245">
        <f t="shared" si="2"/>
        <v>0.0264</v>
      </c>
      <c r="S254" s="245">
        <v>0</v>
      </c>
      <c r="T254" s="246">
        <f t="shared" si="3"/>
        <v>0</v>
      </c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R254" s="247" t="s">
        <v>256</v>
      </c>
      <c r="AT254" s="247" t="s">
        <v>324</v>
      </c>
      <c r="AU254" s="247" t="s">
        <v>92</v>
      </c>
      <c r="AY254" s="120" t="s">
        <v>206</v>
      </c>
      <c r="BE254" s="248">
        <f t="shared" si="4"/>
        <v>0</v>
      </c>
      <c r="BF254" s="248">
        <f t="shared" si="5"/>
        <v>0</v>
      </c>
      <c r="BG254" s="248">
        <f t="shared" si="6"/>
        <v>0</v>
      </c>
      <c r="BH254" s="248">
        <f t="shared" si="7"/>
        <v>0</v>
      </c>
      <c r="BI254" s="248">
        <f t="shared" si="8"/>
        <v>0</v>
      </c>
      <c r="BJ254" s="120" t="s">
        <v>18</v>
      </c>
      <c r="BK254" s="248">
        <f t="shared" si="9"/>
        <v>0</v>
      </c>
      <c r="BL254" s="120" t="s">
        <v>212</v>
      </c>
      <c r="BM254" s="247" t="s">
        <v>417</v>
      </c>
    </row>
    <row r="255" spans="1:65" s="136" customFormat="1" ht="21.75" customHeight="1">
      <c r="A255" s="131"/>
      <c r="B255" s="132"/>
      <c r="C255" s="283">
        <f t="shared" si="10"/>
        <v>48</v>
      </c>
      <c r="D255" s="236" t="s">
        <v>208</v>
      </c>
      <c r="E255" s="237" t="s">
        <v>419</v>
      </c>
      <c r="F255" s="238" t="s">
        <v>420</v>
      </c>
      <c r="G255" s="239" t="s">
        <v>238</v>
      </c>
      <c r="H255" s="72"/>
      <c r="I255" s="241">
        <v>7.5</v>
      </c>
      <c r="J255" s="240">
        <f t="shared" si="0"/>
        <v>0</v>
      </c>
      <c r="K255" s="242"/>
      <c r="L255" s="211"/>
      <c r="M255" s="243" t="s">
        <v>1</v>
      </c>
      <c r="N255" s="244" t="s">
        <v>47</v>
      </c>
      <c r="O255" s="245">
        <v>0.171</v>
      </c>
      <c r="P255" s="245">
        <f t="shared" si="1"/>
        <v>1.2825000000000002</v>
      </c>
      <c r="Q255" s="245">
        <v>0</v>
      </c>
      <c r="R255" s="245">
        <f t="shared" si="2"/>
        <v>0</v>
      </c>
      <c r="S255" s="245">
        <v>0</v>
      </c>
      <c r="T255" s="246">
        <f t="shared" si="3"/>
        <v>0</v>
      </c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R255" s="247" t="s">
        <v>212</v>
      </c>
      <c r="AT255" s="247" t="s">
        <v>208</v>
      </c>
      <c r="AU255" s="247" t="s">
        <v>92</v>
      </c>
      <c r="AY255" s="120" t="s">
        <v>206</v>
      </c>
      <c r="BE255" s="248">
        <f t="shared" si="4"/>
        <v>0</v>
      </c>
      <c r="BF255" s="248">
        <f t="shared" si="5"/>
        <v>0</v>
      </c>
      <c r="BG255" s="248">
        <f t="shared" si="6"/>
        <v>0</v>
      </c>
      <c r="BH255" s="248">
        <f t="shared" si="7"/>
        <v>0</v>
      </c>
      <c r="BI255" s="248">
        <f t="shared" si="8"/>
        <v>0</v>
      </c>
      <c r="BJ255" s="120" t="s">
        <v>18</v>
      </c>
      <c r="BK255" s="248">
        <f t="shared" si="9"/>
        <v>0</v>
      </c>
      <c r="BL255" s="120" t="s">
        <v>212</v>
      </c>
      <c r="BM255" s="247" t="s">
        <v>421</v>
      </c>
    </row>
    <row r="256" spans="2:51" s="249" customFormat="1" ht="12">
      <c r="B256" s="250"/>
      <c r="C256" s="133"/>
      <c r="D256" s="251" t="s">
        <v>214</v>
      </c>
      <c r="E256" s="252" t="s">
        <v>1</v>
      </c>
      <c r="F256" s="253" t="s">
        <v>422</v>
      </c>
      <c r="G256" s="254"/>
      <c r="H256" s="312"/>
      <c r="I256" s="255">
        <v>7.5</v>
      </c>
      <c r="J256" s="254"/>
      <c r="K256" s="254"/>
      <c r="L256" s="256"/>
      <c r="M256" s="257"/>
      <c r="N256" s="258"/>
      <c r="O256" s="258"/>
      <c r="P256" s="258"/>
      <c r="Q256" s="258"/>
      <c r="R256" s="258"/>
      <c r="S256" s="258"/>
      <c r="T256" s="259"/>
      <c r="AT256" s="260" t="s">
        <v>214</v>
      </c>
      <c r="AU256" s="260" t="s">
        <v>92</v>
      </c>
      <c r="AV256" s="249" t="s">
        <v>92</v>
      </c>
      <c r="AW256" s="249" t="s">
        <v>39</v>
      </c>
      <c r="AX256" s="249" t="s">
        <v>18</v>
      </c>
      <c r="AY256" s="260" t="s">
        <v>206</v>
      </c>
    </row>
    <row r="257" spans="1:65" s="136" customFormat="1" ht="16.5" customHeight="1">
      <c r="A257" s="131"/>
      <c r="B257" s="132"/>
      <c r="C257" s="283">
        <f>C255+1</f>
        <v>49</v>
      </c>
      <c r="D257" s="284" t="s">
        <v>324</v>
      </c>
      <c r="E257" s="285" t="s">
        <v>423</v>
      </c>
      <c r="F257" s="286" t="s">
        <v>424</v>
      </c>
      <c r="G257" s="287" t="s">
        <v>238</v>
      </c>
      <c r="H257" s="73"/>
      <c r="I257" s="288">
        <v>7.5</v>
      </c>
      <c r="J257" s="240">
        <f>ROUND($H257*I257,2)</f>
        <v>0</v>
      </c>
      <c r="K257" s="289"/>
      <c r="L257" s="290"/>
      <c r="M257" s="291" t="s">
        <v>1</v>
      </c>
      <c r="N257" s="292" t="s">
        <v>47</v>
      </c>
      <c r="O257" s="245">
        <v>0</v>
      </c>
      <c r="P257" s="245">
        <f>O257*I257</f>
        <v>0</v>
      </c>
      <c r="Q257" s="245">
        <v>0.00028</v>
      </c>
      <c r="R257" s="245">
        <f>Q257*I257</f>
        <v>0.0021</v>
      </c>
      <c r="S257" s="245">
        <v>0</v>
      </c>
      <c r="T257" s="246">
        <f>S257*I257</f>
        <v>0</v>
      </c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R257" s="247" t="s">
        <v>256</v>
      </c>
      <c r="AT257" s="247" t="s">
        <v>324</v>
      </c>
      <c r="AU257" s="247" t="s">
        <v>92</v>
      </c>
      <c r="AY257" s="120" t="s">
        <v>206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20" t="s">
        <v>18</v>
      </c>
      <c r="BK257" s="248">
        <f>ROUND(H257*I257,2)</f>
        <v>0</v>
      </c>
      <c r="BL257" s="120" t="s">
        <v>212</v>
      </c>
      <c r="BM257" s="247" t="s">
        <v>425</v>
      </c>
    </row>
    <row r="258" spans="2:51" s="249" customFormat="1" ht="12">
      <c r="B258" s="250"/>
      <c r="C258" s="133"/>
      <c r="D258" s="251" t="s">
        <v>214</v>
      </c>
      <c r="E258" s="252" t="s">
        <v>1</v>
      </c>
      <c r="F258" s="253" t="s">
        <v>422</v>
      </c>
      <c r="G258" s="254"/>
      <c r="H258" s="312"/>
      <c r="I258" s="255">
        <v>7.5</v>
      </c>
      <c r="J258" s="254"/>
      <c r="K258" s="254"/>
      <c r="L258" s="256"/>
      <c r="M258" s="257"/>
      <c r="N258" s="258"/>
      <c r="O258" s="258"/>
      <c r="P258" s="258"/>
      <c r="Q258" s="258"/>
      <c r="R258" s="258"/>
      <c r="S258" s="258"/>
      <c r="T258" s="259"/>
      <c r="AT258" s="260" t="s">
        <v>214</v>
      </c>
      <c r="AU258" s="260" t="s">
        <v>92</v>
      </c>
      <c r="AV258" s="249" t="s">
        <v>92</v>
      </c>
      <c r="AW258" s="249" t="s">
        <v>39</v>
      </c>
      <c r="AX258" s="249" t="s">
        <v>18</v>
      </c>
      <c r="AY258" s="260" t="s">
        <v>206</v>
      </c>
    </row>
    <row r="259" spans="1:65" s="136" customFormat="1" ht="21.75" customHeight="1">
      <c r="A259" s="131"/>
      <c r="B259" s="132"/>
      <c r="C259" s="283">
        <f>C257+1</f>
        <v>50</v>
      </c>
      <c r="D259" s="236" t="s">
        <v>208</v>
      </c>
      <c r="E259" s="237" t="s">
        <v>426</v>
      </c>
      <c r="F259" s="238" t="s">
        <v>427</v>
      </c>
      <c r="G259" s="239" t="s">
        <v>238</v>
      </c>
      <c r="H259" s="72"/>
      <c r="I259" s="241">
        <v>2</v>
      </c>
      <c r="J259" s="240">
        <f>ROUND($H259*I259,2)</f>
        <v>0</v>
      </c>
      <c r="K259" s="242"/>
      <c r="L259" s="211"/>
      <c r="M259" s="243" t="s">
        <v>1</v>
      </c>
      <c r="N259" s="244" t="s">
        <v>47</v>
      </c>
      <c r="O259" s="245">
        <v>0.184</v>
      </c>
      <c r="P259" s="245">
        <f>O259*I259</f>
        <v>0.368</v>
      </c>
      <c r="Q259" s="245">
        <v>0</v>
      </c>
      <c r="R259" s="245">
        <f>Q259*I259</f>
        <v>0</v>
      </c>
      <c r="S259" s="245">
        <v>0</v>
      </c>
      <c r="T259" s="246">
        <f>S259*I259</f>
        <v>0</v>
      </c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R259" s="247" t="s">
        <v>212</v>
      </c>
      <c r="AT259" s="247" t="s">
        <v>208</v>
      </c>
      <c r="AU259" s="247" t="s">
        <v>92</v>
      </c>
      <c r="AY259" s="120" t="s">
        <v>206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120" t="s">
        <v>18</v>
      </c>
      <c r="BK259" s="248">
        <f>ROUND(H259*I259,2)</f>
        <v>0</v>
      </c>
      <c r="BL259" s="120" t="s">
        <v>212</v>
      </c>
      <c r="BM259" s="247" t="s">
        <v>428</v>
      </c>
    </row>
    <row r="260" spans="1:65" s="136" customFormat="1" ht="16.5" customHeight="1">
      <c r="A260" s="131"/>
      <c r="B260" s="132"/>
      <c r="C260" s="283">
        <f aca="true" t="shared" si="11" ref="C260:C263">C259+1</f>
        <v>51</v>
      </c>
      <c r="D260" s="284" t="s">
        <v>324</v>
      </c>
      <c r="E260" s="285" t="s">
        <v>429</v>
      </c>
      <c r="F260" s="286" t="s">
        <v>430</v>
      </c>
      <c r="G260" s="287" t="s">
        <v>238</v>
      </c>
      <c r="H260" s="73"/>
      <c r="I260" s="288">
        <v>2</v>
      </c>
      <c r="J260" s="240">
        <f>ROUND($H260*I260,2)</f>
        <v>0</v>
      </c>
      <c r="K260" s="289"/>
      <c r="L260" s="290"/>
      <c r="M260" s="291" t="s">
        <v>1</v>
      </c>
      <c r="N260" s="292" t="s">
        <v>47</v>
      </c>
      <c r="O260" s="245">
        <v>0</v>
      </c>
      <c r="P260" s="245">
        <f>O260*I260</f>
        <v>0</v>
      </c>
      <c r="Q260" s="245">
        <v>0.00043</v>
      </c>
      <c r="R260" s="245">
        <f>Q260*I260</f>
        <v>0.00086</v>
      </c>
      <c r="S260" s="245">
        <v>0</v>
      </c>
      <c r="T260" s="246">
        <f>S260*I260</f>
        <v>0</v>
      </c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R260" s="247" t="s">
        <v>256</v>
      </c>
      <c r="AT260" s="247" t="s">
        <v>324</v>
      </c>
      <c r="AU260" s="247" t="s">
        <v>92</v>
      </c>
      <c r="AY260" s="120" t="s">
        <v>206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20" t="s">
        <v>18</v>
      </c>
      <c r="BK260" s="248">
        <f>ROUND(H260*I260,2)</f>
        <v>0</v>
      </c>
      <c r="BL260" s="120" t="s">
        <v>212</v>
      </c>
      <c r="BM260" s="247" t="s">
        <v>431</v>
      </c>
    </row>
    <row r="261" spans="1:65" s="136" customFormat="1" ht="21.75" customHeight="1">
      <c r="A261" s="131"/>
      <c r="B261" s="132"/>
      <c r="C261" s="283">
        <f t="shared" si="11"/>
        <v>52</v>
      </c>
      <c r="D261" s="236" t="s">
        <v>208</v>
      </c>
      <c r="E261" s="237" t="s">
        <v>432</v>
      </c>
      <c r="F261" s="238" t="s">
        <v>433</v>
      </c>
      <c r="G261" s="239" t="s">
        <v>238</v>
      </c>
      <c r="H261" s="72"/>
      <c r="I261" s="241">
        <v>1</v>
      </c>
      <c r="J261" s="240">
        <f>ROUND($H261*I261,2)</f>
        <v>0</v>
      </c>
      <c r="K261" s="242"/>
      <c r="L261" s="211"/>
      <c r="M261" s="243" t="s">
        <v>1</v>
      </c>
      <c r="N261" s="244" t="s">
        <v>47</v>
      </c>
      <c r="O261" s="245">
        <v>0.199</v>
      </c>
      <c r="P261" s="245">
        <f>O261*I261</f>
        <v>0.199</v>
      </c>
      <c r="Q261" s="245">
        <v>0</v>
      </c>
      <c r="R261" s="245">
        <f>Q261*I261</f>
        <v>0</v>
      </c>
      <c r="S261" s="245">
        <v>0</v>
      </c>
      <c r="T261" s="246">
        <f>S261*I261</f>
        <v>0</v>
      </c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R261" s="247" t="s">
        <v>212</v>
      </c>
      <c r="AT261" s="247" t="s">
        <v>208</v>
      </c>
      <c r="AU261" s="247" t="s">
        <v>92</v>
      </c>
      <c r="AY261" s="120" t="s">
        <v>206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20" t="s">
        <v>18</v>
      </c>
      <c r="BK261" s="248">
        <f>ROUND(H261*I261,2)</f>
        <v>0</v>
      </c>
      <c r="BL261" s="120" t="s">
        <v>212</v>
      </c>
      <c r="BM261" s="247" t="s">
        <v>434</v>
      </c>
    </row>
    <row r="262" spans="1:65" s="136" customFormat="1" ht="16.5" customHeight="1">
      <c r="A262" s="131"/>
      <c r="B262" s="132"/>
      <c r="C262" s="283">
        <f t="shared" si="11"/>
        <v>53</v>
      </c>
      <c r="D262" s="284" t="s">
        <v>324</v>
      </c>
      <c r="E262" s="285" t="s">
        <v>435</v>
      </c>
      <c r="F262" s="286" t="s">
        <v>436</v>
      </c>
      <c r="G262" s="287" t="s">
        <v>238</v>
      </c>
      <c r="H262" s="73"/>
      <c r="I262" s="288">
        <v>1</v>
      </c>
      <c r="J262" s="240">
        <f>ROUND($H262*I262,2)</f>
        <v>0</v>
      </c>
      <c r="K262" s="289"/>
      <c r="L262" s="290"/>
      <c r="M262" s="291" t="s">
        <v>1</v>
      </c>
      <c r="N262" s="292" t="s">
        <v>47</v>
      </c>
      <c r="O262" s="245">
        <v>0</v>
      </c>
      <c r="P262" s="245">
        <f>O262*I262</f>
        <v>0</v>
      </c>
      <c r="Q262" s="245">
        <v>0.00067</v>
      </c>
      <c r="R262" s="245">
        <f>Q262*I262</f>
        <v>0.00067</v>
      </c>
      <c r="S262" s="245">
        <v>0</v>
      </c>
      <c r="T262" s="246">
        <f>S262*I262</f>
        <v>0</v>
      </c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R262" s="247" t="s">
        <v>256</v>
      </c>
      <c r="AT262" s="247" t="s">
        <v>324</v>
      </c>
      <c r="AU262" s="247" t="s">
        <v>92</v>
      </c>
      <c r="AY262" s="120" t="s">
        <v>206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20" t="s">
        <v>18</v>
      </c>
      <c r="BK262" s="248">
        <f>ROUND(H262*I262,2)</f>
        <v>0</v>
      </c>
      <c r="BL262" s="120" t="s">
        <v>212</v>
      </c>
      <c r="BM262" s="247" t="s">
        <v>437</v>
      </c>
    </row>
    <row r="263" spans="1:65" s="136" customFormat="1" ht="21.75" customHeight="1">
      <c r="A263" s="131"/>
      <c r="B263" s="132"/>
      <c r="C263" s="283">
        <f t="shared" si="11"/>
        <v>54</v>
      </c>
      <c r="D263" s="236" t="s">
        <v>208</v>
      </c>
      <c r="E263" s="237" t="s">
        <v>438</v>
      </c>
      <c r="F263" s="238" t="s">
        <v>439</v>
      </c>
      <c r="G263" s="239" t="s">
        <v>238</v>
      </c>
      <c r="H263" s="72"/>
      <c r="I263" s="241">
        <v>12</v>
      </c>
      <c r="J263" s="240">
        <f>ROUND($H263*I263,2)</f>
        <v>0</v>
      </c>
      <c r="K263" s="242"/>
      <c r="L263" s="211"/>
      <c r="M263" s="243" t="s">
        <v>1</v>
      </c>
      <c r="N263" s="244" t="s">
        <v>47</v>
      </c>
      <c r="O263" s="245">
        <v>0.271</v>
      </c>
      <c r="P263" s="245">
        <f>O263*I263</f>
        <v>3.2520000000000002</v>
      </c>
      <c r="Q263" s="245">
        <v>0</v>
      </c>
      <c r="R263" s="245">
        <f>Q263*I263</f>
        <v>0</v>
      </c>
      <c r="S263" s="245">
        <v>0</v>
      </c>
      <c r="T263" s="246">
        <f>S263*I263</f>
        <v>0</v>
      </c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R263" s="247" t="s">
        <v>212</v>
      </c>
      <c r="AT263" s="247" t="s">
        <v>208</v>
      </c>
      <c r="AU263" s="247" t="s">
        <v>92</v>
      </c>
      <c r="AY263" s="120" t="s">
        <v>206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20" t="s">
        <v>18</v>
      </c>
      <c r="BK263" s="248">
        <f>ROUND(H263*I263,2)</f>
        <v>0</v>
      </c>
      <c r="BL263" s="120" t="s">
        <v>212</v>
      </c>
      <c r="BM263" s="247" t="s">
        <v>440</v>
      </c>
    </row>
    <row r="264" spans="2:51" s="249" customFormat="1" ht="12">
      <c r="B264" s="250"/>
      <c r="C264" s="133"/>
      <c r="D264" s="251" t="s">
        <v>214</v>
      </c>
      <c r="E264" s="252" t="s">
        <v>114</v>
      </c>
      <c r="F264" s="253" t="s">
        <v>441</v>
      </c>
      <c r="G264" s="254"/>
      <c r="H264" s="312"/>
      <c r="I264" s="255">
        <v>12</v>
      </c>
      <c r="J264" s="254"/>
      <c r="K264" s="254"/>
      <c r="L264" s="256"/>
      <c r="M264" s="257"/>
      <c r="N264" s="258"/>
      <c r="O264" s="258"/>
      <c r="P264" s="258"/>
      <c r="Q264" s="258"/>
      <c r="R264" s="258"/>
      <c r="S264" s="258"/>
      <c r="T264" s="259"/>
      <c r="AT264" s="260" t="s">
        <v>214</v>
      </c>
      <c r="AU264" s="260" t="s">
        <v>92</v>
      </c>
      <c r="AV264" s="249" t="s">
        <v>92</v>
      </c>
      <c r="AW264" s="249" t="s">
        <v>39</v>
      </c>
      <c r="AX264" s="249" t="s">
        <v>18</v>
      </c>
      <c r="AY264" s="260" t="s">
        <v>206</v>
      </c>
    </row>
    <row r="265" spans="1:65" s="136" customFormat="1" ht="21.75" customHeight="1">
      <c r="A265" s="131"/>
      <c r="B265" s="132"/>
      <c r="C265" s="283">
        <f>C263+1</f>
        <v>55</v>
      </c>
      <c r="D265" s="284" t="s">
        <v>324</v>
      </c>
      <c r="E265" s="285" t="s">
        <v>442</v>
      </c>
      <c r="F265" s="286" t="s">
        <v>443</v>
      </c>
      <c r="G265" s="287" t="s">
        <v>238</v>
      </c>
      <c r="H265" s="73"/>
      <c r="I265" s="288">
        <v>12</v>
      </c>
      <c r="J265" s="240">
        <f>ROUND($H265*I265,2)</f>
        <v>0</v>
      </c>
      <c r="K265" s="289"/>
      <c r="L265" s="290"/>
      <c r="M265" s="291" t="s">
        <v>1</v>
      </c>
      <c r="N265" s="292" t="s">
        <v>47</v>
      </c>
      <c r="O265" s="245">
        <v>0</v>
      </c>
      <c r="P265" s="245">
        <f>O265*I265</f>
        <v>0</v>
      </c>
      <c r="Q265" s="245">
        <v>0.00447</v>
      </c>
      <c r="R265" s="245">
        <f>Q265*I265</f>
        <v>0.05364</v>
      </c>
      <c r="S265" s="245">
        <v>0</v>
      </c>
      <c r="T265" s="246">
        <f>S265*I265</f>
        <v>0</v>
      </c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R265" s="247" t="s">
        <v>256</v>
      </c>
      <c r="AT265" s="247" t="s">
        <v>324</v>
      </c>
      <c r="AU265" s="247" t="s">
        <v>92</v>
      </c>
      <c r="AY265" s="120" t="s">
        <v>206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120" t="s">
        <v>18</v>
      </c>
      <c r="BK265" s="248">
        <f>ROUND(H265*I265,2)</f>
        <v>0</v>
      </c>
      <c r="BL265" s="120" t="s">
        <v>212</v>
      </c>
      <c r="BM265" s="247" t="s">
        <v>444</v>
      </c>
    </row>
    <row r="266" spans="2:51" s="249" customFormat="1" ht="12">
      <c r="B266" s="250"/>
      <c r="C266" s="133"/>
      <c r="D266" s="251" t="s">
        <v>214</v>
      </c>
      <c r="E266" s="252" t="s">
        <v>1</v>
      </c>
      <c r="F266" s="253" t="s">
        <v>445</v>
      </c>
      <c r="G266" s="254"/>
      <c r="H266" s="312"/>
      <c r="I266" s="255">
        <v>12</v>
      </c>
      <c r="J266" s="254"/>
      <c r="K266" s="254"/>
      <c r="L266" s="256"/>
      <c r="M266" s="257"/>
      <c r="N266" s="258"/>
      <c r="O266" s="258"/>
      <c r="P266" s="258"/>
      <c r="Q266" s="258"/>
      <c r="R266" s="258"/>
      <c r="S266" s="258"/>
      <c r="T266" s="259"/>
      <c r="AT266" s="260" t="s">
        <v>214</v>
      </c>
      <c r="AU266" s="260" t="s">
        <v>92</v>
      </c>
      <c r="AV266" s="249" t="s">
        <v>92</v>
      </c>
      <c r="AW266" s="249" t="s">
        <v>39</v>
      </c>
      <c r="AX266" s="249" t="s">
        <v>18</v>
      </c>
      <c r="AY266" s="260" t="s">
        <v>206</v>
      </c>
    </row>
    <row r="267" spans="1:65" s="300" customFormat="1" ht="21.75" customHeight="1">
      <c r="A267" s="134"/>
      <c r="B267" s="132"/>
      <c r="C267" s="283">
        <f>C265+1</f>
        <v>56</v>
      </c>
      <c r="D267" s="236" t="s">
        <v>208</v>
      </c>
      <c r="E267" s="237"/>
      <c r="F267" s="238" t="s">
        <v>922</v>
      </c>
      <c r="G267" s="239" t="s">
        <v>238</v>
      </c>
      <c r="H267" s="72"/>
      <c r="I267" s="241">
        <v>26</v>
      </c>
      <c r="J267" s="240">
        <f>ROUND($H267*I267,2)</f>
        <v>0</v>
      </c>
      <c r="K267" s="242"/>
      <c r="L267" s="132"/>
      <c r="M267" s="296" t="s">
        <v>1</v>
      </c>
      <c r="N267" s="297" t="s">
        <v>47</v>
      </c>
      <c r="O267" s="298">
        <v>0.271</v>
      </c>
      <c r="P267" s="298">
        <f>O267*I267</f>
        <v>7.046</v>
      </c>
      <c r="Q267" s="298">
        <v>0</v>
      </c>
      <c r="R267" s="298">
        <f>Q267*I267</f>
        <v>0</v>
      </c>
      <c r="S267" s="298">
        <v>0</v>
      </c>
      <c r="T267" s="299">
        <f>S267*I267</f>
        <v>0</v>
      </c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R267" s="301" t="s">
        <v>212</v>
      </c>
      <c r="AT267" s="301" t="s">
        <v>208</v>
      </c>
      <c r="AU267" s="301" t="s">
        <v>92</v>
      </c>
      <c r="AY267" s="302" t="s">
        <v>206</v>
      </c>
      <c r="BE267" s="303">
        <f>IF(N267="základní",J267,0)</f>
        <v>0</v>
      </c>
      <c r="BF267" s="303">
        <f>IF(N267="snížená",J267,0)</f>
        <v>0</v>
      </c>
      <c r="BG267" s="303">
        <f>IF(N267="zákl. přenesená",J267,0)</f>
        <v>0</v>
      </c>
      <c r="BH267" s="303">
        <f>IF(N267="sníž. přenesená",J267,0)</f>
        <v>0</v>
      </c>
      <c r="BI267" s="303">
        <f>IF(N267="nulová",J267,0)</f>
        <v>0</v>
      </c>
      <c r="BJ267" s="302" t="s">
        <v>18</v>
      </c>
      <c r="BK267" s="303">
        <f>ROUND(H267*I267,2)</f>
        <v>0</v>
      </c>
      <c r="BL267" s="302" t="s">
        <v>212</v>
      </c>
      <c r="BM267" s="301" t="s">
        <v>440</v>
      </c>
    </row>
    <row r="268" spans="2:51" s="254" customFormat="1" ht="12">
      <c r="B268" s="250"/>
      <c r="C268" s="133"/>
      <c r="D268" s="251" t="s">
        <v>214</v>
      </c>
      <c r="E268" s="252" t="s">
        <v>923</v>
      </c>
      <c r="F268" s="253" t="s">
        <v>924</v>
      </c>
      <c r="H268" s="312"/>
      <c r="I268" s="255"/>
      <c r="L268" s="250"/>
      <c r="M268" s="293"/>
      <c r="N268" s="294"/>
      <c r="O268" s="294"/>
      <c r="P268" s="294"/>
      <c r="Q268" s="294"/>
      <c r="R268" s="294"/>
      <c r="S268" s="294"/>
      <c r="T268" s="295"/>
      <c r="AT268" s="252" t="s">
        <v>214</v>
      </c>
      <c r="AU268" s="252" t="s">
        <v>92</v>
      </c>
      <c r="AV268" s="254" t="s">
        <v>92</v>
      </c>
      <c r="AW268" s="254" t="s">
        <v>39</v>
      </c>
      <c r="AX268" s="254" t="s">
        <v>18</v>
      </c>
      <c r="AY268" s="252" t="s">
        <v>206</v>
      </c>
    </row>
    <row r="269" spans="1:65" s="300" customFormat="1" ht="21.75" customHeight="1">
      <c r="A269" s="134"/>
      <c r="B269" s="132"/>
      <c r="C269" s="283">
        <f>C267+1</f>
        <v>57</v>
      </c>
      <c r="D269" s="284" t="s">
        <v>324</v>
      </c>
      <c r="E269" s="285" t="s">
        <v>442</v>
      </c>
      <c r="F269" s="286" t="s">
        <v>925</v>
      </c>
      <c r="G269" s="287" t="s">
        <v>238</v>
      </c>
      <c r="H269" s="73"/>
      <c r="I269" s="288">
        <v>26</v>
      </c>
      <c r="J269" s="240">
        <f>ROUND($H269*I269,2)</f>
        <v>0</v>
      </c>
      <c r="K269" s="289"/>
      <c r="L269" s="304"/>
      <c r="M269" s="305" t="s">
        <v>1</v>
      </c>
      <c r="N269" s="306" t="s">
        <v>47</v>
      </c>
      <c r="O269" s="298">
        <v>0</v>
      </c>
      <c r="P269" s="298">
        <f>O269*I269</f>
        <v>0</v>
      </c>
      <c r="Q269" s="298">
        <v>0.00447</v>
      </c>
      <c r="R269" s="298">
        <f>Q269*I269</f>
        <v>0.11622</v>
      </c>
      <c r="S269" s="298">
        <v>0</v>
      </c>
      <c r="T269" s="299">
        <f>S269*I269</f>
        <v>0</v>
      </c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R269" s="301" t="s">
        <v>256</v>
      </c>
      <c r="AT269" s="301" t="s">
        <v>324</v>
      </c>
      <c r="AU269" s="301" t="s">
        <v>92</v>
      </c>
      <c r="AY269" s="302" t="s">
        <v>206</v>
      </c>
      <c r="BE269" s="303">
        <f>IF(N269="základní",J269,0)</f>
        <v>0</v>
      </c>
      <c r="BF269" s="303">
        <f>IF(N269="snížená",J269,0)</f>
        <v>0</v>
      </c>
      <c r="BG269" s="303">
        <f>IF(N269="zákl. přenesená",J269,0)</f>
        <v>0</v>
      </c>
      <c r="BH269" s="303">
        <f>IF(N269="sníž. přenesená",J269,0)</f>
        <v>0</v>
      </c>
      <c r="BI269" s="303">
        <f>IF(N269="nulová",J269,0)</f>
        <v>0</v>
      </c>
      <c r="BJ269" s="302" t="s">
        <v>18</v>
      </c>
      <c r="BK269" s="303">
        <f>ROUND(H269*I269,2)</f>
        <v>0</v>
      </c>
      <c r="BL269" s="302" t="s">
        <v>212</v>
      </c>
      <c r="BM269" s="301" t="s">
        <v>444</v>
      </c>
    </row>
    <row r="270" spans="1:65" s="136" customFormat="1" ht="54" customHeight="1">
      <c r="A270" s="131"/>
      <c r="B270" s="132"/>
      <c r="C270" s="283">
        <f aca="true" t="shared" si="12" ref="C270:C272">C269+1</f>
        <v>58</v>
      </c>
      <c r="D270" s="236" t="s">
        <v>208</v>
      </c>
      <c r="E270" s="237"/>
      <c r="F270" s="238" t="s">
        <v>926</v>
      </c>
      <c r="G270" s="239" t="s">
        <v>238</v>
      </c>
      <c r="H270" s="72"/>
      <c r="I270" s="241">
        <v>26</v>
      </c>
      <c r="J270" s="240">
        <f>ROUND($H270*I270,2)</f>
        <v>0</v>
      </c>
      <c r="K270" s="242"/>
      <c r="L270" s="211"/>
      <c r="M270" s="243" t="s">
        <v>1</v>
      </c>
      <c r="N270" s="244" t="s">
        <v>47</v>
      </c>
      <c r="O270" s="245">
        <v>0.448</v>
      </c>
      <c r="P270" s="245">
        <f>O270*I270</f>
        <v>11.648</v>
      </c>
      <c r="Q270" s="245">
        <v>0</v>
      </c>
      <c r="R270" s="245">
        <f>Q270*I270</f>
        <v>0</v>
      </c>
      <c r="S270" s="245">
        <v>0</v>
      </c>
      <c r="T270" s="246">
        <f>S270*I270</f>
        <v>0</v>
      </c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R270" s="247" t="s">
        <v>212</v>
      </c>
      <c r="AT270" s="247" t="s">
        <v>208</v>
      </c>
      <c r="AU270" s="247" t="s">
        <v>92</v>
      </c>
      <c r="AY270" s="120" t="s">
        <v>206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20" t="s">
        <v>18</v>
      </c>
      <c r="BK270" s="248">
        <f>ROUND(H270*I270,2)</f>
        <v>0</v>
      </c>
      <c r="BL270" s="120" t="s">
        <v>212</v>
      </c>
      <c r="BM270" s="247" t="s">
        <v>370</v>
      </c>
    </row>
    <row r="271" spans="1:65" s="136" customFormat="1" ht="45.75" customHeight="1">
      <c r="A271" s="131"/>
      <c r="B271" s="132"/>
      <c r="C271" s="283">
        <f t="shared" si="12"/>
        <v>59</v>
      </c>
      <c r="D271" s="236" t="s">
        <v>208</v>
      </c>
      <c r="E271" s="237"/>
      <c r="F271" s="238" t="s">
        <v>927</v>
      </c>
      <c r="G271" s="239" t="s">
        <v>380</v>
      </c>
      <c r="H271" s="72"/>
      <c r="I271" s="241">
        <v>2</v>
      </c>
      <c r="J271" s="240">
        <f>ROUND($H271*I271,2)</f>
        <v>0</v>
      </c>
      <c r="K271" s="242"/>
      <c r="L271" s="211"/>
      <c r="M271" s="243" t="s">
        <v>1</v>
      </c>
      <c r="N271" s="244" t="s">
        <v>47</v>
      </c>
      <c r="O271" s="245">
        <v>0.448</v>
      </c>
      <c r="P271" s="245">
        <f>O271*I271</f>
        <v>0.896</v>
      </c>
      <c r="Q271" s="245">
        <v>0</v>
      </c>
      <c r="R271" s="245">
        <f>Q271*I271</f>
        <v>0</v>
      </c>
      <c r="S271" s="245">
        <v>0</v>
      </c>
      <c r="T271" s="246">
        <f>S271*I271</f>
        <v>0</v>
      </c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R271" s="247" t="s">
        <v>212</v>
      </c>
      <c r="AT271" s="247" t="s">
        <v>208</v>
      </c>
      <c r="AU271" s="247" t="s">
        <v>92</v>
      </c>
      <c r="AY271" s="120" t="s">
        <v>206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20" t="s">
        <v>18</v>
      </c>
      <c r="BK271" s="248">
        <f>ROUND(H271*I271,2)</f>
        <v>0</v>
      </c>
      <c r="BL271" s="120" t="s">
        <v>212</v>
      </c>
      <c r="BM271" s="247" t="s">
        <v>370</v>
      </c>
    </row>
    <row r="272" spans="1:65" s="136" customFormat="1" ht="21.75" customHeight="1">
      <c r="A272" s="131"/>
      <c r="B272" s="132"/>
      <c r="C272" s="283">
        <f t="shared" si="12"/>
        <v>60</v>
      </c>
      <c r="D272" s="236" t="s">
        <v>208</v>
      </c>
      <c r="E272" s="237" t="s">
        <v>446</v>
      </c>
      <c r="F272" s="238" t="s">
        <v>447</v>
      </c>
      <c r="G272" s="239" t="s">
        <v>376</v>
      </c>
      <c r="H272" s="72"/>
      <c r="I272" s="241">
        <v>1</v>
      </c>
      <c r="J272" s="240">
        <f aca="true" t="shared" si="13" ref="J272:J277">ROUND($H272*I272,2)</f>
        <v>0</v>
      </c>
      <c r="K272" s="242"/>
      <c r="L272" s="211"/>
      <c r="M272" s="243" t="s">
        <v>1</v>
      </c>
      <c r="N272" s="244" t="s">
        <v>47</v>
      </c>
      <c r="O272" s="245">
        <v>0.526</v>
      </c>
      <c r="P272" s="245">
        <f aca="true" t="shared" si="14" ref="P272:P290">O272*I272</f>
        <v>0.526</v>
      </c>
      <c r="Q272" s="245">
        <v>0</v>
      </c>
      <c r="R272" s="245">
        <f aca="true" t="shared" si="15" ref="R272:R290">Q272*I272</f>
        <v>0</v>
      </c>
      <c r="S272" s="245">
        <v>0</v>
      </c>
      <c r="T272" s="246">
        <f aca="true" t="shared" si="16" ref="T272:T290">S272*I272</f>
        <v>0</v>
      </c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R272" s="247" t="s">
        <v>212</v>
      </c>
      <c r="AT272" s="247" t="s">
        <v>208</v>
      </c>
      <c r="AU272" s="247" t="s">
        <v>92</v>
      </c>
      <c r="AY272" s="120" t="s">
        <v>206</v>
      </c>
      <c r="BE272" s="248">
        <f aca="true" t="shared" si="17" ref="BE272:BE290">IF(N272="základní",J272,0)</f>
        <v>0</v>
      </c>
      <c r="BF272" s="248">
        <f aca="true" t="shared" si="18" ref="BF272:BF290">IF(N272="snížená",J272,0)</f>
        <v>0</v>
      </c>
      <c r="BG272" s="248">
        <f aca="true" t="shared" si="19" ref="BG272:BG290">IF(N272="zákl. přenesená",J272,0)</f>
        <v>0</v>
      </c>
      <c r="BH272" s="248">
        <f aca="true" t="shared" si="20" ref="BH272:BH290">IF(N272="sníž. přenesená",J272,0)</f>
        <v>0</v>
      </c>
      <c r="BI272" s="248">
        <f aca="true" t="shared" si="21" ref="BI272:BI290">IF(N272="nulová",J272,0)</f>
        <v>0</v>
      </c>
      <c r="BJ272" s="120" t="s">
        <v>18</v>
      </c>
      <c r="BK272" s="248">
        <f aca="true" t="shared" si="22" ref="BK272:BK290">ROUND(H272*I272,2)</f>
        <v>0</v>
      </c>
      <c r="BL272" s="120" t="s">
        <v>212</v>
      </c>
      <c r="BM272" s="247" t="s">
        <v>448</v>
      </c>
    </row>
    <row r="273" spans="1:65" s="136" customFormat="1" ht="16.5" customHeight="1">
      <c r="A273" s="131"/>
      <c r="B273" s="132"/>
      <c r="C273" s="283">
        <f>C272+1</f>
        <v>61</v>
      </c>
      <c r="D273" s="284" t="s">
        <v>324</v>
      </c>
      <c r="E273" s="285" t="s">
        <v>449</v>
      </c>
      <c r="F273" s="286" t="s">
        <v>450</v>
      </c>
      <c r="G273" s="287" t="s">
        <v>376</v>
      </c>
      <c r="H273" s="73"/>
      <c r="I273" s="288">
        <v>1</v>
      </c>
      <c r="J273" s="240">
        <f t="shared" si="13"/>
        <v>0</v>
      </c>
      <c r="K273" s="289"/>
      <c r="L273" s="290"/>
      <c r="M273" s="291" t="s">
        <v>1</v>
      </c>
      <c r="N273" s="292" t="s">
        <v>47</v>
      </c>
      <c r="O273" s="245">
        <v>0</v>
      </c>
      <c r="P273" s="245">
        <f t="shared" si="14"/>
        <v>0</v>
      </c>
      <c r="Q273" s="245">
        <v>0.00014</v>
      </c>
      <c r="R273" s="245">
        <f t="shared" si="15"/>
        <v>0.00014</v>
      </c>
      <c r="S273" s="245">
        <v>0</v>
      </c>
      <c r="T273" s="246">
        <f t="shared" si="16"/>
        <v>0</v>
      </c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R273" s="247" t="s">
        <v>256</v>
      </c>
      <c r="AT273" s="247" t="s">
        <v>324</v>
      </c>
      <c r="AU273" s="247" t="s">
        <v>92</v>
      </c>
      <c r="AY273" s="120" t="s">
        <v>206</v>
      </c>
      <c r="BE273" s="248">
        <f t="shared" si="17"/>
        <v>0</v>
      </c>
      <c r="BF273" s="248">
        <f t="shared" si="18"/>
        <v>0</v>
      </c>
      <c r="BG273" s="248">
        <f t="shared" si="19"/>
        <v>0</v>
      </c>
      <c r="BH273" s="248">
        <f t="shared" si="20"/>
        <v>0</v>
      </c>
      <c r="BI273" s="248">
        <f t="shared" si="21"/>
        <v>0</v>
      </c>
      <c r="BJ273" s="120" t="s">
        <v>18</v>
      </c>
      <c r="BK273" s="248">
        <f t="shared" si="22"/>
        <v>0</v>
      </c>
      <c r="BL273" s="120" t="s">
        <v>212</v>
      </c>
      <c r="BM273" s="247" t="s">
        <v>451</v>
      </c>
    </row>
    <row r="274" spans="1:65" s="136" customFormat="1" ht="21.75" customHeight="1">
      <c r="A274" s="131"/>
      <c r="B274" s="132"/>
      <c r="C274" s="283">
        <f aca="true" t="shared" si="23" ref="C274:C290">C273+1</f>
        <v>62</v>
      </c>
      <c r="D274" s="236" t="s">
        <v>208</v>
      </c>
      <c r="E274" s="237" t="s">
        <v>452</v>
      </c>
      <c r="F274" s="238" t="s">
        <v>453</v>
      </c>
      <c r="G274" s="239" t="s">
        <v>376</v>
      </c>
      <c r="H274" s="72"/>
      <c r="I274" s="241">
        <v>7</v>
      </c>
      <c r="J274" s="240">
        <f t="shared" si="13"/>
        <v>0</v>
      </c>
      <c r="K274" s="242"/>
      <c r="L274" s="211"/>
      <c r="M274" s="243" t="s">
        <v>1</v>
      </c>
      <c r="N274" s="244" t="s">
        <v>47</v>
      </c>
      <c r="O274" s="245">
        <v>0.384</v>
      </c>
      <c r="P274" s="245">
        <f t="shared" si="14"/>
        <v>2.688</v>
      </c>
      <c r="Q274" s="245">
        <v>2E-05</v>
      </c>
      <c r="R274" s="245">
        <f t="shared" si="15"/>
        <v>0.00014000000000000001</v>
      </c>
      <c r="S274" s="245">
        <v>0</v>
      </c>
      <c r="T274" s="246">
        <f t="shared" si="16"/>
        <v>0</v>
      </c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R274" s="247" t="s">
        <v>212</v>
      </c>
      <c r="AT274" s="247" t="s">
        <v>208</v>
      </c>
      <c r="AU274" s="247" t="s">
        <v>92</v>
      </c>
      <c r="AY274" s="120" t="s">
        <v>206</v>
      </c>
      <c r="BE274" s="248">
        <f t="shared" si="17"/>
        <v>0</v>
      </c>
      <c r="BF274" s="248">
        <f t="shared" si="18"/>
        <v>0</v>
      </c>
      <c r="BG274" s="248">
        <f t="shared" si="19"/>
        <v>0</v>
      </c>
      <c r="BH274" s="248">
        <f t="shared" si="20"/>
        <v>0</v>
      </c>
      <c r="BI274" s="248">
        <f t="shared" si="21"/>
        <v>0</v>
      </c>
      <c r="BJ274" s="120" t="s">
        <v>18</v>
      </c>
      <c r="BK274" s="248">
        <f t="shared" si="22"/>
        <v>0</v>
      </c>
      <c r="BL274" s="120" t="s">
        <v>212</v>
      </c>
      <c r="BM274" s="247" t="s">
        <v>454</v>
      </c>
    </row>
    <row r="275" spans="1:65" s="136" customFormat="1" ht="21.75" customHeight="1">
      <c r="A275" s="131"/>
      <c r="B275" s="132"/>
      <c r="C275" s="283">
        <f t="shared" si="23"/>
        <v>63</v>
      </c>
      <c r="D275" s="284" t="s">
        <v>324</v>
      </c>
      <c r="E275" s="285" t="s">
        <v>455</v>
      </c>
      <c r="F275" s="307" t="s">
        <v>456</v>
      </c>
      <c r="G275" s="287" t="s">
        <v>380</v>
      </c>
      <c r="H275" s="73"/>
      <c r="I275" s="288">
        <v>7</v>
      </c>
      <c r="J275" s="240">
        <f t="shared" si="13"/>
        <v>0</v>
      </c>
      <c r="K275" s="289"/>
      <c r="L275" s="290"/>
      <c r="M275" s="291" t="s">
        <v>1</v>
      </c>
      <c r="N275" s="292" t="s">
        <v>47</v>
      </c>
      <c r="O275" s="245">
        <v>0</v>
      </c>
      <c r="P275" s="245">
        <f t="shared" si="14"/>
        <v>0</v>
      </c>
      <c r="Q275" s="245">
        <v>0.003</v>
      </c>
      <c r="R275" s="245">
        <f t="shared" si="15"/>
        <v>0.021</v>
      </c>
      <c r="S275" s="245">
        <v>0</v>
      </c>
      <c r="T275" s="246">
        <f t="shared" si="16"/>
        <v>0</v>
      </c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R275" s="247" t="s">
        <v>256</v>
      </c>
      <c r="AT275" s="247" t="s">
        <v>324</v>
      </c>
      <c r="AU275" s="247" t="s">
        <v>92</v>
      </c>
      <c r="AY275" s="120" t="s">
        <v>206</v>
      </c>
      <c r="BE275" s="248">
        <f t="shared" si="17"/>
        <v>0</v>
      </c>
      <c r="BF275" s="248">
        <f t="shared" si="18"/>
        <v>0</v>
      </c>
      <c r="BG275" s="248">
        <f t="shared" si="19"/>
        <v>0</v>
      </c>
      <c r="BH275" s="248">
        <f t="shared" si="20"/>
        <v>0</v>
      </c>
      <c r="BI275" s="248">
        <f t="shared" si="21"/>
        <v>0</v>
      </c>
      <c r="BJ275" s="120" t="s">
        <v>18</v>
      </c>
      <c r="BK275" s="248">
        <f t="shared" si="22"/>
        <v>0</v>
      </c>
      <c r="BL275" s="120" t="s">
        <v>212</v>
      </c>
      <c r="BM275" s="247" t="s">
        <v>457</v>
      </c>
    </row>
    <row r="276" spans="1:65" s="136" customFormat="1" ht="21.75" customHeight="1">
      <c r="A276" s="131"/>
      <c r="B276" s="132"/>
      <c r="C276" s="283">
        <f t="shared" si="23"/>
        <v>64</v>
      </c>
      <c r="D276" s="236" t="s">
        <v>208</v>
      </c>
      <c r="E276" s="237" t="s">
        <v>459</v>
      </c>
      <c r="F276" s="238" t="s">
        <v>460</v>
      </c>
      <c r="G276" s="239" t="s">
        <v>376</v>
      </c>
      <c r="H276" s="72"/>
      <c r="I276" s="241">
        <v>3</v>
      </c>
      <c r="J276" s="240">
        <f t="shared" si="13"/>
        <v>0</v>
      </c>
      <c r="K276" s="242"/>
      <c r="L276" s="211"/>
      <c r="M276" s="243" t="s">
        <v>1</v>
      </c>
      <c r="N276" s="244" t="s">
        <v>47</v>
      </c>
      <c r="O276" s="245">
        <v>0.432</v>
      </c>
      <c r="P276" s="245">
        <f t="shared" si="14"/>
        <v>1.296</v>
      </c>
      <c r="Q276" s="245">
        <v>2E-05</v>
      </c>
      <c r="R276" s="245">
        <f t="shared" si="15"/>
        <v>6.000000000000001E-05</v>
      </c>
      <c r="S276" s="245">
        <v>0</v>
      </c>
      <c r="T276" s="246">
        <f t="shared" si="16"/>
        <v>0</v>
      </c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R276" s="247" t="s">
        <v>212</v>
      </c>
      <c r="AT276" s="247" t="s">
        <v>208</v>
      </c>
      <c r="AU276" s="247" t="s">
        <v>92</v>
      </c>
      <c r="AY276" s="120" t="s">
        <v>206</v>
      </c>
      <c r="BE276" s="248">
        <f t="shared" si="17"/>
        <v>0</v>
      </c>
      <c r="BF276" s="248">
        <f t="shared" si="18"/>
        <v>0</v>
      </c>
      <c r="BG276" s="248">
        <f t="shared" si="19"/>
        <v>0</v>
      </c>
      <c r="BH276" s="248">
        <f t="shared" si="20"/>
        <v>0</v>
      </c>
      <c r="BI276" s="248">
        <f t="shared" si="21"/>
        <v>0</v>
      </c>
      <c r="BJ276" s="120" t="s">
        <v>18</v>
      </c>
      <c r="BK276" s="248">
        <f t="shared" si="22"/>
        <v>0</v>
      </c>
      <c r="BL276" s="120" t="s">
        <v>212</v>
      </c>
      <c r="BM276" s="247" t="s">
        <v>461</v>
      </c>
    </row>
    <row r="277" spans="1:65" s="136" customFormat="1" ht="21.75" customHeight="1">
      <c r="A277" s="131"/>
      <c r="B277" s="132"/>
      <c r="C277" s="283">
        <f t="shared" si="23"/>
        <v>65</v>
      </c>
      <c r="D277" s="284" t="s">
        <v>324</v>
      </c>
      <c r="E277" s="285" t="s">
        <v>462</v>
      </c>
      <c r="F277" s="307" t="s">
        <v>463</v>
      </c>
      <c r="G277" s="287" t="s">
        <v>380</v>
      </c>
      <c r="H277" s="73"/>
      <c r="I277" s="288">
        <v>3</v>
      </c>
      <c r="J277" s="240">
        <f t="shared" si="13"/>
        <v>0</v>
      </c>
      <c r="K277" s="289"/>
      <c r="L277" s="290"/>
      <c r="M277" s="291" t="s">
        <v>1</v>
      </c>
      <c r="N277" s="292" t="s">
        <v>47</v>
      </c>
      <c r="O277" s="245">
        <v>0</v>
      </c>
      <c r="P277" s="245">
        <f t="shared" si="14"/>
        <v>0</v>
      </c>
      <c r="Q277" s="245">
        <v>0.0031</v>
      </c>
      <c r="R277" s="245">
        <f t="shared" si="15"/>
        <v>0.0093</v>
      </c>
      <c r="S277" s="245">
        <v>0</v>
      </c>
      <c r="T277" s="246">
        <f t="shared" si="16"/>
        <v>0</v>
      </c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R277" s="247" t="s">
        <v>256</v>
      </c>
      <c r="AT277" s="247" t="s">
        <v>324</v>
      </c>
      <c r="AU277" s="247" t="s">
        <v>92</v>
      </c>
      <c r="AY277" s="120" t="s">
        <v>206</v>
      </c>
      <c r="BE277" s="248">
        <f t="shared" si="17"/>
        <v>0</v>
      </c>
      <c r="BF277" s="248">
        <f t="shared" si="18"/>
        <v>0</v>
      </c>
      <c r="BG277" s="248">
        <f t="shared" si="19"/>
        <v>0</v>
      </c>
      <c r="BH277" s="248">
        <f t="shared" si="20"/>
        <v>0</v>
      </c>
      <c r="BI277" s="248">
        <f t="shared" si="21"/>
        <v>0</v>
      </c>
      <c r="BJ277" s="120" t="s">
        <v>18</v>
      </c>
      <c r="BK277" s="248">
        <f t="shared" si="22"/>
        <v>0</v>
      </c>
      <c r="BL277" s="120" t="s">
        <v>212</v>
      </c>
      <c r="BM277" s="247" t="s">
        <v>464</v>
      </c>
    </row>
    <row r="278" spans="1:65" s="136" customFormat="1" ht="21.75" customHeight="1">
      <c r="A278" s="131"/>
      <c r="B278" s="132"/>
      <c r="C278" s="283">
        <f t="shared" si="23"/>
        <v>66</v>
      </c>
      <c r="D278" s="284" t="s">
        <v>324</v>
      </c>
      <c r="E278" s="285" t="s">
        <v>465</v>
      </c>
      <c r="F278" s="307" t="s">
        <v>466</v>
      </c>
      <c r="G278" s="287" t="s">
        <v>380</v>
      </c>
      <c r="H278" s="73"/>
      <c r="I278" s="288">
        <v>10</v>
      </c>
      <c r="J278" s="240">
        <f aca="true" t="shared" si="24" ref="J278:J279">ROUND($H278*I278,2)</f>
        <v>0</v>
      </c>
      <c r="K278" s="289"/>
      <c r="L278" s="290"/>
      <c r="M278" s="291" t="s">
        <v>1</v>
      </c>
      <c r="N278" s="292" t="s">
        <v>47</v>
      </c>
      <c r="O278" s="245">
        <v>0</v>
      </c>
      <c r="P278" s="245">
        <f t="shared" si="14"/>
        <v>0</v>
      </c>
      <c r="Q278" s="245">
        <v>0.005</v>
      </c>
      <c r="R278" s="245">
        <f t="shared" si="15"/>
        <v>0.05</v>
      </c>
      <c r="S278" s="245">
        <v>0</v>
      </c>
      <c r="T278" s="246">
        <f t="shared" si="16"/>
        <v>0</v>
      </c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R278" s="247" t="s">
        <v>256</v>
      </c>
      <c r="AT278" s="247" t="s">
        <v>324</v>
      </c>
      <c r="AU278" s="247" t="s">
        <v>92</v>
      </c>
      <c r="AY278" s="120" t="s">
        <v>206</v>
      </c>
      <c r="BE278" s="248">
        <f t="shared" si="17"/>
        <v>0</v>
      </c>
      <c r="BF278" s="248">
        <f t="shared" si="18"/>
        <v>0</v>
      </c>
      <c r="BG278" s="248">
        <f t="shared" si="19"/>
        <v>0</v>
      </c>
      <c r="BH278" s="248">
        <f t="shared" si="20"/>
        <v>0</v>
      </c>
      <c r="BI278" s="248">
        <f t="shared" si="21"/>
        <v>0</v>
      </c>
      <c r="BJ278" s="120" t="s">
        <v>18</v>
      </c>
      <c r="BK278" s="248">
        <f t="shared" si="22"/>
        <v>0</v>
      </c>
      <c r="BL278" s="120" t="s">
        <v>212</v>
      </c>
      <c r="BM278" s="247" t="s">
        <v>467</v>
      </c>
    </row>
    <row r="279" spans="1:65" s="136" customFormat="1" ht="16.5" customHeight="1">
      <c r="A279" s="131"/>
      <c r="B279" s="132"/>
      <c r="C279" s="283">
        <f t="shared" si="23"/>
        <v>67</v>
      </c>
      <c r="D279" s="236" t="s">
        <v>208</v>
      </c>
      <c r="E279" s="237" t="s">
        <v>468</v>
      </c>
      <c r="F279" s="238" t="s">
        <v>469</v>
      </c>
      <c r="G279" s="239" t="s">
        <v>376</v>
      </c>
      <c r="H279" s="72"/>
      <c r="I279" s="241">
        <v>1</v>
      </c>
      <c r="J279" s="240">
        <f t="shared" si="24"/>
        <v>0</v>
      </c>
      <c r="K279" s="242"/>
      <c r="L279" s="211"/>
      <c r="M279" s="243" t="s">
        <v>1</v>
      </c>
      <c r="N279" s="244" t="s">
        <v>47</v>
      </c>
      <c r="O279" s="245">
        <v>1.554</v>
      </c>
      <c r="P279" s="245">
        <f t="shared" si="14"/>
        <v>1.554</v>
      </c>
      <c r="Q279" s="245">
        <v>0.00162</v>
      </c>
      <c r="R279" s="245">
        <f t="shared" si="15"/>
        <v>0.00162</v>
      </c>
      <c r="S279" s="245">
        <v>0</v>
      </c>
      <c r="T279" s="246">
        <f t="shared" si="16"/>
        <v>0</v>
      </c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R279" s="247" t="s">
        <v>212</v>
      </c>
      <c r="AT279" s="247" t="s">
        <v>208</v>
      </c>
      <c r="AU279" s="247" t="s">
        <v>92</v>
      </c>
      <c r="AY279" s="120" t="s">
        <v>206</v>
      </c>
      <c r="BE279" s="248">
        <f t="shared" si="17"/>
        <v>0</v>
      </c>
      <c r="BF279" s="248">
        <f t="shared" si="18"/>
        <v>0</v>
      </c>
      <c r="BG279" s="248">
        <f t="shared" si="19"/>
        <v>0</v>
      </c>
      <c r="BH279" s="248">
        <f t="shared" si="20"/>
        <v>0</v>
      </c>
      <c r="BI279" s="248">
        <f t="shared" si="21"/>
        <v>0</v>
      </c>
      <c r="BJ279" s="120" t="s">
        <v>18</v>
      </c>
      <c r="BK279" s="248">
        <f t="shared" si="22"/>
        <v>0</v>
      </c>
      <c r="BL279" s="120" t="s">
        <v>212</v>
      </c>
      <c r="BM279" s="247" t="s">
        <v>470</v>
      </c>
    </row>
    <row r="280" spans="1:65" s="136" customFormat="1" ht="16.5" customHeight="1">
      <c r="A280" s="131"/>
      <c r="B280" s="132"/>
      <c r="C280" s="283">
        <f t="shared" si="23"/>
        <v>68</v>
      </c>
      <c r="D280" s="284" t="s">
        <v>324</v>
      </c>
      <c r="E280" s="285" t="s">
        <v>471</v>
      </c>
      <c r="F280" s="307" t="s">
        <v>472</v>
      </c>
      <c r="G280" s="287" t="s">
        <v>376</v>
      </c>
      <c r="H280" s="73"/>
      <c r="I280" s="288">
        <v>1</v>
      </c>
      <c r="J280" s="240">
        <f>ROUND($H280*I280,2)</f>
        <v>0</v>
      </c>
      <c r="K280" s="289"/>
      <c r="L280" s="290"/>
      <c r="M280" s="291" t="s">
        <v>1</v>
      </c>
      <c r="N280" s="292" t="s">
        <v>47</v>
      </c>
      <c r="O280" s="245">
        <v>0</v>
      </c>
      <c r="P280" s="245">
        <f t="shared" si="14"/>
        <v>0</v>
      </c>
      <c r="Q280" s="245">
        <v>0.015</v>
      </c>
      <c r="R280" s="245">
        <f t="shared" si="15"/>
        <v>0.015</v>
      </c>
      <c r="S280" s="245">
        <v>0</v>
      </c>
      <c r="T280" s="246">
        <f t="shared" si="16"/>
        <v>0</v>
      </c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R280" s="247" t="s">
        <v>256</v>
      </c>
      <c r="AT280" s="247" t="s">
        <v>324</v>
      </c>
      <c r="AU280" s="247" t="s">
        <v>92</v>
      </c>
      <c r="AY280" s="120" t="s">
        <v>206</v>
      </c>
      <c r="BE280" s="248">
        <f t="shared" si="17"/>
        <v>0</v>
      </c>
      <c r="BF280" s="248">
        <f t="shared" si="18"/>
        <v>0</v>
      </c>
      <c r="BG280" s="248">
        <f t="shared" si="19"/>
        <v>0</v>
      </c>
      <c r="BH280" s="248">
        <f t="shared" si="20"/>
        <v>0</v>
      </c>
      <c r="BI280" s="248">
        <f t="shared" si="21"/>
        <v>0</v>
      </c>
      <c r="BJ280" s="120" t="s">
        <v>18</v>
      </c>
      <c r="BK280" s="248">
        <f t="shared" si="22"/>
        <v>0</v>
      </c>
      <c r="BL280" s="120" t="s">
        <v>212</v>
      </c>
      <c r="BM280" s="247" t="s">
        <v>473</v>
      </c>
    </row>
    <row r="281" spans="1:65" s="136" customFormat="1" ht="21.75" customHeight="1">
      <c r="A281" s="131"/>
      <c r="B281" s="132"/>
      <c r="C281" s="283">
        <f t="shared" si="23"/>
        <v>69</v>
      </c>
      <c r="D281" s="284" t="s">
        <v>324</v>
      </c>
      <c r="E281" s="285" t="s">
        <v>474</v>
      </c>
      <c r="F281" s="307" t="s">
        <v>475</v>
      </c>
      <c r="G281" s="287" t="s">
        <v>376</v>
      </c>
      <c r="H281" s="73"/>
      <c r="I281" s="288">
        <v>1</v>
      </c>
      <c r="J281" s="240">
        <f>ROUND($H281*I281,2)</f>
        <v>0</v>
      </c>
      <c r="K281" s="289"/>
      <c r="L281" s="290"/>
      <c r="M281" s="291" t="s">
        <v>1</v>
      </c>
      <c r="N281" s="292" t="s">
        <v>47</v>
      </c>
      <c r="O281" s="245">
        <v>0</v>
      </c>
      <c r="P281" s="245">
        <f t="shared" si="14"/>
        <v>0</v>
      </c>
      <c r="Q281" s="245">
        <v>0.006</v>
      </c>
      <c r="R281" s="245">
        <f t="shared" si="15"/>
        <v>0.006</v>
      </c>
      <c r="S281" s="245">
        <v>0</v>
      </c>
      <c r="T281" s="246">
        <f t="shared" si="16"/>
        <v>0</v>
      </c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R281" s="247" t="s">
        <v>256</v>
      </c>
      <c r="AT281" s="247" t="s">
        <v>324</v>
      </c>
      <c r="AU281" s="247" t="s">
        <v>92</v>
      </c>
      <c r="AY281" s="120" t="s">
        <v>206</v>
      </c>
      <c r="BE281" s="248">
        <f t="shared" si="17"/>
        <v>0</v>
      </c>
      <c r="BF281" s="248">
        <f t="shared" si="18"/>
        <v>0</v>
      </c>
      <c r="BG281" s="248">
        <f t="shared" si="19"/>
        <v>0</v>
      </c>
      <c r="BH281" s="248">
        <f t="shared" si="20"/>
        <v>0</v>
      </c>
      <c r="BI281" s="248">
        <f t="shared" si="21"/>
        <v>0</v>
      </c>
      <c r="BJ281" s="120" t="s">
        <v>18</v>
      </c>
      <c r="BK281" s="248">
        <f t="shared" si="22"/>
        <v>0</v>
      </c>
      <c r="BL281" s="120" t="s">
        <v>212</v>
      </c>
      <c r="BM281" s="247" t="s">
        <v>476</v>
      </c>
    </row>
    <row r="282" spans="1:65" s="136" customFormat="1" ht="16.5" customHeight="1">
      <c r="A282" s="131"/>
      <c r="B282" s="132"/>
      <c r="C282" s="283">
        <f t="shared" si="23"/>
        <v>70</v>
      </c>
      <c r="D282" s="236" t="s">
        <v>208</v>
      </c>
      <c r="E282" s="237" t="s">
        <v>477</v>
      </c>
      <c r="F282" s="238" t="s">
        <v>478</v>
      </c>
      <c r="G282" s="239" t="s">
        <v>376</v>
      </c>
      <c r="H282" s="72"/>
      <c r="I282" s="241">
        <v>1</v>
      </c>
      <c r="J282" s="240">
        <f aca="true" t="shared" si="25" ref="J282:J289">ROUND($H282*I282,2)</f>
        <v>0</v>
      </c>
      <c r="K282" s="242"/>
      <c r="L282" s="211"/>
      <c r="M282" s="243" t="s">
        <v>1</v>
      </c>
      <c r="N282" s="244" t="s">
        <v>47</v>
      </c>
      <c r="O282" s="245">
        <v>0.708</v>
      </c>
      <c r="P282" s="245">
        <f t="shared" si="14"/>
        <v>0.708</v>
      </c>
      <c r="Q282" s="245">
        <v>0.00034</v>
      </c>
      <c r="R282" s="245">
        <f t="shared" si="15"/>
        <v>0.00034</v>
      </c>
      <c r="S282" s="245">
        <v>0</v>
      </c>
      <c r="T282" s="246">
        <f t="shared" si="16"/>
        <v>0</v>
      </c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R282" s="247" t="s">
        <v>212</v>
      </c>
      <c r="AT282" s="247" t="s">
        <v>208</v>
      </c>
      <c r="AU282" s="247" t="s">
        <v>92</v>
      </c>
      <c r="AY282" s="120" t="s">
        <v>206</v>
      </c>
      <c r="BE282" s="248">
        <f t="shared" si="17"/>
        <v>0</v>
      </c>
      <c r="BF282" s="248">
        <f t="shared" si="18"/>
        <v>0</v>
      </c>
      <c r="BG282" s="248">
        <f t="shared" si="19"/>
        <v>0</v>
      </c>
      <c r="BH282" s="248">
        <f t="shared" si="20"/>
        <v>0</v>
      </c>
      <c r="BI282" s="248">
        <f t="shared" si="21"/>
        <v>0</v>
      </c>
      <c r="BJ282" s="120" t="s">
        <v>18</v>
      </c>
      <c r="BK282" s="248">
        <f t="shared" si="22"/>
        <v>0</v>
      </c>
      <c r="BL282" s="120" t="s">
        <v>212</v>
      </c>
      <c r="BM282" s="247" t="s">
        <v>479</v>
      </c>
    </row>
    <row r="283" spans="1:65" s="136" customFormat="1" ht="21.75" customHeight="1">
      <c r="A283" s="131"/>
      <c r="B283" s="132"/>
      <c r="C283" s="283">
        <f t="shared" si="23"/>
        <v>71</v>
      </c>
      <c r="D283" s="284" t="s">
        <v>324</v>
      </c>
      <c r="E283" s="285" t="s">
        <v>480</v>
      </c>
      <c r="F283" s="307" t="s">
        <v>481</v>
      </c>
      <c r="G283" s="287" t="s">
        <v>380</v>
      </c>
      <c r="H283" s="73"/>
      <c r="I283" s="288">
        <v>1</v>
      </c>
      <c r="J283" s="240">
        <f t="shared" si="25"/>
        <v>0</v>
      </c>
      <c r="K283" s="289"/>
      <c r="L283" s="290"/>
      <c r="M283" s="291" t="s">
        <v>1</v>
      </c>
      <c r="N283" s="292" t="s">
        <v>47</v>
      </c>
      <c r="O283" s="245">
        <v>0</v>
      </c>
      <c r="P283" s="245">
        <f t="shared" si="14"/>
        <v>0</v>
      </c>
      <c r="Q283" s="245">
        <v>0.0365</v>
      </c>
      <c r="R283" s="245">
        <f t="shared" si="15"/>
        <v>0.0365</v>
      </c>
      <c r="S283" s="245">
        <v>0</v>
      </c>
      <c r="T283" s="246">
        <f t="shared" si="16"/>
        <v>0</v>
      </c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R283" s="247" t="s">
        <v>256</v>
      </c>
      <c r="AT283" s="247" t="s">
        <v>324</v>
      </c>
      <c r="AU283" s="247" t="s">
        <v>92</v>
      </c>
      <c r="AY283" s="120" t="s">
        <v>206</v>
      </c>
      <c r="BE283" s="248">
        <f t="shared" si="17"/>
        <v>0</v>
      </c>
      <c r="BF283" s="248">
        <f t="shared" si="18"/>
        <v>0</v>
      </c>
      <c r="BG283" s="248">
        <f t="shared" si="19"/>
        <v>0</v>
      </c>
      <c r="BH283" s="248">
        <f t="shared" si="20"/>
        <v>0</v>
      </c>
      <c r="BI283" s="248">
        <f t="shared" si="21"/>
        <v>0</v>
      </c>
      <c r="BJ283" s="120" t="s">
        <v>18</v>
      </c>
      <c r="BK283" s="248">
        <f t="shared" si="22"/>
        <v>0</v>
      </c>
      <c r="BL283" s="120" t="s">
        <v>212</v>
      </c>
      <c r="BM283" s="247" t="s">
        <v>482</v>
      </c>
    </row>
    <row r="284" spans="1:65" s="136" customFormat="1" ht="16.5" customHeight="1">
      <c r="A284" s="131"/>
      <c r="B284" s="132"/>
      <c r="C284" s="283">
        <f t="shared" si="23"/>
        <v>72</v>
      </c>
      <c r="D284" s="284" t="s">
        <v>324</v>
      </c>
      <c r="E284" s="285" t="s">
        <v>483</v>
      </c>
      <c r="F284" s="307" t="s">
        <v>484</v>
      </c>
      <c r="G284" s="287" t="s">
        <v>380</v>
      </c>
      <c r="H284" s="73"/>
      <c r="I284" s="288">
        <v>1</v>
      </c>
      <c r="J284" s="240">
        <f t="shared" si="25"/>
        <v>0</v>
      </c>
      <c r="K284" s="289"/>
      <c r="L284" s="290"/>
      <c r="M284" s="291" t="s">
        <v>1</v>
      </c>
      <c r="N284" s="292" t="s">
        <v>47</v>
      </c>
      <c r="O284" s="245">
        <v>0</v>
      </c>
      <c r="P284" s="245">
        <f t="shared" si="14"/>
        <v>0</v>
      </c>
      <c r="Q284" s="245">
        <v>0.032</v>
      </c>
      <c r="R284" s="245">
        <f t="shared" si="15"/>
        <v>0.032</v>
      </c>
      <c r="S284" s="245">
        <v>0</v>
      </c>
      <c r="T284" s="246">
        <f t="shared" si="16"/>
        <v>0</v>
      </c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R284" s="247" t="s">
        <v>256</v>
      </c>
      <c r="AT284" s="247" t="s">
        <v>324</v>
      </c>
      <c r="AU284" s="247" t="s">
        <v>92</v>
      </c>
      <c r="AY284" s="120" t="s">
        <v>206</v>
      </c>
      <c r="BE284" s="248">
        <f t="shared" si="17"/>
        <v>0</v>
      </c>
      <c r="BF284" s="248">
        <f t="shared" si="18"/>
        <v>0</v>
      </c>
      <c r="BG284" s="248">
        <f t="shared" si="19"/>
        <v>0</v>
      </c>
      <c r="BH284" s="248">
        <f t="shared" si="20"/>
        <v>0</v>
      </c>
      <c r="BI284" s="248">
        <f t="shared" si="21"/>
        <v>0</v>
      </c>
      <c r="BJ284" s="120" t="s">
        <v>18</v>
      </c>
      <c r="BK284" s="248">
        <f t="shared" si="22"/>
        <v>0</v>
      </c>
      <c r="BL284" s="120" t="s">
        <v>212</v>
      </c>
      <c r="BM284" s="247" t="s">
        <v>485</v>
      </c>
    </row>
    <row r="285" spans="1:65" s="136" customFormat="1" ht="16.5" customHeight="1">
      <c r="A285" s="131"/>
      <c r="B285" s="132"/>
      <c r="C285" s="283">
        <f t="shared" si="23"/>
        <v>73</v>
      </c>
      <c r="D285" s="236" t="s">
        <v>208</v>
      </c>
      <c r="E285" s="237" t="s">
        <v>486</v>
      </c>
      <c r="F285" s="238" t="s">
        <v>487</v>
      </c>
      <c r="G285" s="239" t="s">
        <v>376</v>
      </c>
      <c r="H285" s="72"/>
      <c r="I285" s="241">
        <v>3</v>
      </c>
      <c r="J285" s="240">
        <f t="shared" si="25"/>
        <v>0</v>
      </c>
      <c r="K285" s="242"/>
      <c r="L285" s="211"/>
      <c r="M285" s="243" t="s">
        <v>1</v>
      </c>
      <c r="N285" s="244" t="s">
        <v>47</v>
      </c>
      <c r="O285" s="245">
        <v>1.866</v>
      </c>
      <c r="P285" s="245">
        <f t="shared" si="14"/>
        <v>5.598000000000001</v>
      </c>
      <c r="Q285" s="245">
        <v>0.00165</v>
      </c>
      <c r="R285" s="245">
        <f t="shared" si="15"/>
        <v>0.0049499999999999995</v>
      </c>
      <c r="S285" s="245">
        <v>0</v>
      </c>
      <c r="T285" s="246">
        <f t="shared" si="16"/>
        <v>0</v>
      </c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R285" s="247" t="s">
        <v>212</v>
      </c>
      <c r="AT285" s="247" t="s">
        <v>208</v>
      </c>
      <c r="AU285" s="247" t="s">
        <v>92</v>
      </c>
      <c r="AY285" s="120" t="s">
        <v>206</v>
      </c>
      <c r="BE285" s="248">
        <f t="shared" si="17"/>
        <v>0</v>
      </c>
      <c r="BF285" s="248">
        <f t="shared" si="18"/>
        <v>0</v>
      </c>
      <c r="BG285" s="248">
        <f t="shared" si="19"/>
        <v>0</v>
      </c>
      <c r="BH285" s="248">
        <f t="shared" si="20"/>
        <v>0</v>
      </c>
      <c r="BI285" s="248">
        <f t="shared" si="21"/>
        <v>0</v>
      </c>
      <c r="BJ285" s="120" t="s">
        <v>18</v>
      </c>
      <c r="BK285" s="248">
        <f t="shared" si="22"/>
        <v>0</v>
      </c>
      <c r="BL285" s="120" t="s">
        <v>212</v>
      </c>
      <c r="BM285" s="247" t="s">
        <v>488</v>
      </c>
    </row>
    <row r="286" spans="1:65" s="136" customFormat="1" ht="16.5" customHeight="1">
      <c r="A286" s="131"/>
      <c r="B286" s="132"/>
      <c r="C286" s="283">
        <f t="shared" si="23"/>
        <v>74</v>
      </c>
      <c r="D286" s="284" t="s">
        <v>324</v>
      </c>
      <c r="E286" s="285" t="s">
        <v>489</v>
      </c>
      <c r="F286" s="307" t="s">
        <v>490</v>
      </c>
      <c r="G286" s="287" t="s">
        <v>376</v>
      </c>
      <c r="H286" s="73"/>
      <c r="I286" s="288">
        <v>3</v>
      </c>
      <c r="J286" s="240">
        <f t="shared" si="25"/>
        <v>0</v>
      </c>
      <c r="K286" s="289"/>
      <c r="L286" s="290"/>
      <c r="M286" s="291" t="s">
        <v>1</v>
      </c>
      <c r="N286" s="292" t="s">
        <v>47</v>
      </c>
      <c r="O286" s="245">
        <v>0</v>
      </c>
      <c r="P286" s="245">
        <f t="shared" si="14"/>
        <v>0</v>
      </c>
      <c r="Q286" s="245">
        <v>0.017</v>
      </c>
      <c r="R286" s="245">
        <f t="shared" si="15"/>
        <v>0.051000000000000004</v>
      </c>
      <c r="S286" s="245">
        <v>0</v>
      </c>
      <c r="T286" s="246">
        <f t="shared" si="16"/>
        <v>0</v>
      </c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R286" s="247" t="s">
        <v>256</v>
      </c>
      <c r="AT286" s="247" t="s">
        <v>324</v>
      </c>
      <c r="AU286" s="247" t="s">
        <v>92</v>
      </c>
      <c r="AY286" s="120" t="s">
        <v>206</v>
      </c>
      <c r="BE286" s="248">
        <f t="shared" si="17"/>
        <v>0</v>
      </c>
      <c r="BF286" s="248">
        <f t="shared" si="18"/>
        <v>0</v>
      </c>
      <c r="BG286" s="248">
        <f t="shared" si="19"/>
        <v>0</v>
      </c>
      <c r="BH286" s="248">
        <f t="shared" si="20"/>
        <v>0</v>
      </c>
      <c r="BI286" s="248">
        <f t="shared" si="21"/>
        <v>0</v>
      </c>
      <c r="BJ286" s="120" t="s">
        <v>18</v>
      </c>
      <c r="BK286" s="248">
        <f t="shared" si="22"/>
        <v>0</v>
      </c>
      <c r="BL286" s="120" t="s">
        <v>212</v>
      </c>
      <c r="BM286" s="247" t="s">
        <v>491</v>
      </c>
    </row>
    <row r="287" spans="1:65" s="136" customFormat="1" ht="21.75" customHeight="1">
      <c r="A287" s="131"/>
      <c r="B287" s="132"/>
      <c r="C287" s="283">
        <f t="shared" si="23"/>
        <v>75</v>
      </c>
      <c r="D287" s="284" t="s">
        <v>324</v>
      </c>
      <c r="E287" s="285" t="s">
        <v>492</v>
      </c>
      <c r="F287" s="307" t="s">
        <v>493</v>
      </c>
      <c r="G287" s="287" t="s">
        <v>376</v>
      </c>
      <c r="H287" s="73"/>
      <c r="I287" s="288">
        <v>3</v>
      </c>
      <c r="J287" s="240">
        <f t="shared" si="25"/>
        <v>0</v>
      </c>
      <c r="K287" s="289"/>
      <c r="L287" s="290"/>
      <c r="M287" s="291" t="s">
        <v>1</v>
      </c>
      <c r="N287" s="292" t="s">
        <v>47</v>
      </c>
      <c r="O287" s="245">
        <v>0</v>
      </c>
      <c r="P287" s="245">
        <f t="shared" si="14"/>
        <v>0</v>
      </c>
      <c r="Q287" s="245">
        <v>0</v>
      </c>
      <c r="R287" s="245">
        <f t="shared" si="15"/>
        <v>0</v>
      </c>
      <c r="S287" s="245">
        <v>0</v>
      </c>
      <c r="T287" s="246">
        <f t="shared" si="16"/>
        <v>0</v>
      </c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R287" s="247" t="s">
        <v>256</v>
      </c>
      <c r="AT287" s="247" t="s">
        <v>324</v>
      </c>
      <c r="AU287" s="247" t="s">
        <v>92</v>
      </c>
      <c r="AY287" s="120" t="s">
        <v>206</v>
      </c>
      <c r="BE287" s="248">
        <f t="shared" si="17"/>
        <v>0</v>
      </c>
      <c r="BF287" s="248">
        <f t="shared" si="18"/>
        <v>0</v>
      </c>
      <c r="BG287" s="248">
        <f t="shared" si="19"/>
        <v>0</v>
      </c>
      <c r="BH287" s="248">
        <f t="shared" si="20"/>
        <v>0</v>
      </c>
      <c r="BI287" s="248">
        <f t="shared" si="21"/>
        <v>0</v>
      </c>
      <c r="BJ287" s="120" t="s">
        <v>18</v>
      </c>
      <c r="BK287" s="248">
        <f t="shared" si="22"/>
        <v>0</v>
      </c>
      <c r="BL287" s="120" t="s">
        <v>212</v>
      </c>
      <c r="BM287" s="247" t="s">
        <v>494</v>
      </c>
    </row>
    <row r="288" spans="1:65" s="136" customFormat="1" ht="21.75" customHeight="1">
      <c r="A288" s="131"/>
      <c r="B288" s="132"/>
      <c r="C288" s="283">
        <f t="shared" si="23"/>
        <v>76</v>
      </c>
      <c r="D288" s="236" t="s">
        <v>208</v>
      </c>
      <c r="E288" s="237" t="s">
        <v>495</v>
      </c>
      <c r="F288" s="238" t="s">
        <v>496</v>
      </c>
      <c r="G288" s="239" t="s">
        <v>376</v>
      </c>
      <c r="H288" s="72"/>
      <c r="I288" s="241">
        <v>10</v>
      </c>
      <c r="J288" s="240">
        <f t="shared" si="25"/>
        <v>0</v>
      </c>
      <c r="K288" s="242"/>
      <c r="L288" s="211"/>
      <c r="M288" s="243" t="s">
        <v>1</v>
      </c>
      <c r="N288" s="244" t="s">
        <v>47</v>
      </c>
      <c r="O288" s="245">
        <v>3.51</v>
      </c>
      <c r="P288" s="245">
        <f t="shared" si="14"/>
        <v>35.099999999999994</v>
      </c>
      <c r="Q288" s="245">
        <v>0</v>
      </c>
      <c r="R288" s="245">
        <f t="shared" si="15"/>
        <v>0</v>
      </c>
      <c r="S288" s="245">
        <v>0</v>
      </c>
      <c r="T288" s="246">
        <f t="shared" si="16"/>
        <v>0</v>
      </c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R288" s="247" t="s">
        <v>212</v>
      </c>
      <c r="AT288" s="247" t="s">
        <v>208</v>
      </c>
      <c r="AU288" s="247" t="s">
        <v>92</v>
      </c>
      <c r="AY288" s="120" t="s">
        <v>206</v>
      </c>
      <c r="BE288" s="248">
        <f t="shared" si="17"/>
        <v>0</v>
      </c>
      <c r="BF288" s="248">
        <f t="shared" si="18"/>
        <v>0</v>
      </c>
      <c r="BG288" s="248">
        <f t="shared" si="19"/>
        <v>0</v>
      </c>
      <c r="BH288" s="248">
        <f t="shared" si="20"/>
        <v>0</v>
      </c>
      <c r="BI288" s="248">
        <f t="shared" si="21"/>
        <v>0</v>
      </c>
      <c r="BJ288" s="120" t="s">
        <v>18</v>
      </c>
      <c r="BK288" s="248">
        <f t="shared" si="22"/>
        <v>0</v>
      </c>
      <c r="BL288" s="120" t="s">
        <v>212</v>
      </c>
      <c r="BM288" s="247" t="s">
        <v>497</v>
      </c>
    </row>
    <row r="289" spans="1:65" s="136" customFormat="1" ht="16.5" customHeight="1">
      <c r="A289" s="131"/>
      <c r="B289" s="132"/>
      <c r="C289" s="283">
        <f t="shared" si="23"/>
        <v>77</v>
      </c>
      <c r="D289" s="284" t="s">
        <v>324</v>
      </c>
      <c r="E289" s="285" t="s">
        <v>498</v>
      </c>
      <c r="F289" s="307" t="s">
        <v>499</v>
      </c>
      <c r="G289" s="287" t="s">
        <v>380</v>
      </c>
      <c r="H289" s="73"/>
      <c r="I289" s="288">
        <v>10</v>
      </c>
      <c r="J289" s="240">
        <f t="shared" si="25"/>
        <v>0</v>
      </c>
      <c r="K289" s="289"/>
      <c r="L289" s="290"/>
      <c r="M289" s="291" t="s">
        <v>1</v>
      </c>
      <c r="N289" s="292" t="s">
        <v>47</v>
      </c>
      <c r="O289" s="245">
        <v>0</v>
      </c>
      <c r="P289" s="245">
        <f t="shared" si="14"/>
        <v>0</v>
      </c>
      <c r="Q289" s="245">
        <v>0.0025</v>
      </c>
      <c r="R289" s="245">
        <f t="shared" si="15"/>
        <v>0.025</v>
      </c>
      <c r="S289" s="245">
        <v>0</v>
      </c>
      <c r="T289" s="246">
        <f t="shared" si="16"/>
        <v>0</v>
      </c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R289" s="247" t="s">
        <v>256</v>
      </c>
      <c r="AT289" s="247" t="s">
        <v>324</v>
      </c>
      <c r="AU289" s="247" t="s">
        <v>92</v>
      </c>
      <c r="AY289" s="120" t="s">
        <v>206</v>
      </c>
      <c r="BE289" s="248">
        <f t="shared" si="17"/>
        <v>0</v>
      </c>
      <c r="BF289" s="248">
        <f t="shared" si="18"/>
        <v>0</v>
      </c>
      <c r="BG289" s="248">
        <f t="shared" si="19"/>
        <v>0</v>
      </c>
      <c r="BH289" s="248">
        <f t="shared" si="20"/>
        <v>0</v>
      </c>
      <c r="BI289" s="248">
        <f t="shared" si="21"/>
        <v>0</v>
      </c>
      <c r="BJ289" s="120" t="s">
        <v>18</v>
      </c>
      <c r="BK289" s="248">
        <f t="shared" si="22"/>
        <v>0</v>
      </c>
      <c r="BL289" s="120" t="s">
        <v>212</v>
      </c>
      <c r="BM289" s="247" t="s">
        <v>500</v>
      </c>
    </row>
    <row r="290" spans="1:65" s="136" customFormat="1" ht="16.5" customHeight="1">
      <c r="A290" s="131"/>
      <c r="B290" s="132"/>
      <c r="C290" s="283">
        <f t="shared" si="23"/>
        <v>78</v>
      </c>
      <c r="D290" s="236" t="s">
        <v>208</v>
      </c>
      <c r="E290" s="237" t="s">
        <v>501</v>
      </c>
      <c r="F290" s="238" t="s">
        <v>502</v>
      </c>
      <c r="G290" s="239" t="s">
        <v>238</v>
      </c>
      <c r="H290" s="72"/>
      <c r="I290" s="241">
        <v>279</v>
      </c>
      <c r="J290" s="240">
        <f>ROUND($H290*I290,2)</f>
        <v>0</v>
      </c>
      <c r="K290" s="242"/>
      <c r="L290" s="211"/>
      <c r="M290" s="243" t="s">
        <v>1</v>
      </c>
      <c r="N290" s="244" t="s">
        <v>47</v>
      </c>
      <c r="O290" s="245">
        <v>0.044</v>
      </c>
      <c r="P290" s="245">
        <f t="shared" si="14"/>
        <v>12.276</v>
      </c>
      <c r="Q290" s="245">
        <v>0</v>
      </c>
      <c r="R290" s="245">
        <f t="shared" si="15"/>
        <v>0</v>
      </c>
      <c r="S290" s="245">
        <v>0</v>
      </c>
      <c r="T290" s="246">
        <f t="shared" si="16"/>
        <v>0</v>
      </c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R290" s="247" t="s">
        <v>212</v>
      </c>
      <c r="AT290" s="247" t="s">
        <v>208</v>
      </c>
      <c r="AU290" s="247" t="s">
        <v>92</v>
      </c>
      <c r="AY290" s="120" t="s">
        <v>206</v>
      </c>
      <c r="BE290" s="248">
        <f t="shared" si="17"/>
        <v>0</v>
      </c>
      <c r="BF290" s="248">
        <f t="shared" si="18"/>
        <v>0</v>
      </c>
      <c r="BG290" s="248">
        <f t="shared" si="19"/>
        <v>0</v>
      </c>
      <c r="BH290" s="248">
        <f t="shared" si="20"/>
        <v>0</v>
      </c>
      <c r="BI290" s="248">
        <f t="shared" si="21"/>
        <v>0</v>
      </c>
      <c r="BJ290" s="120" t="s">
        <v>18</v>
      </c>
      <c r="BK290" s="248">
        <f t="shared" si="22"/>
        <v>0</v>
      </c>
      <c r="BL290" s="120" t="s">
        <v>212</v>
      </c>
      <c r="BM290" s="247" t="s">
        <v>503</v>
      </c>
    </row>
    <row r="291" spans="2:51" s="249" customFormat="1" ht="12">
      <c r="B291" s="250"/>
      <c r="C291" s="133"/>
      <c r="D291" s="251" t="s">
        <v>214</v>
      </c>
      <c r="E291" s="252" t="s">
        <v>1</v>
      </c>
      <c r="F291" s="253" t="s">
        <v>97</v>
      </c>
      <c r="G291" s="254"/>
      <c r="H291" s="312"/>
      <c r="I291" s="255">
        <v>279</v>
      </c>
      <c r="J291" s="254"/>
      <c r="K291" s="254"/>
      <c r="L291" s="256"/>
      <c r="M291" s="257"/>
      <c r="N291" s="258"/>
      <c r="O291" s="258"/>
      <c r="P291" s="258"/>
      <c r="Q291" s="258"/>
      <c r="R291" s="258"/>
      <c r="S291" s="258"/>
      <c r="T291" s="259"/>
      <c r="AT291" s="260" t="s">
        <v>214</v>
      </c>
      <c r="AU291" s="260" t="s">
        <v>92</v>
      </c>
      <c r="AV291" s="249" t="s">
        <v>92</v>
      </c>
      <c r="AW291" s="249" t="s">
        <v>39</v>
      </c>
      <c r="AX291" s="249" t="s">
        <v>18</v>
      </c>
      <c r="AY291" s="260" t="s">
        <v>206</v>
      </c>
    </row>
    <row r="292" spans="1:65" s="136" customFormat="1" ht="27" customHeight="1">
      <c r="A292" s="131"/>
      <c r="B292" s="132"/>
      <c r="C292" s="283">
        <f>C290+1</f>
        <v>79</v>
      </c>
      <c r="D292" s="236" t="s">
        <v>208</v>
      </c>
      <c r="E292" s="237" t="s">
        <v>501</v>
      </c>
      <c r="F292" s="238" t="s">
        <v>857</v>
      </c>
      <c r="G292" s="239" t="s">
        <v>238</v>
      </c>
      <c r="H292" s="72"/>
      <c r="I292" s="241">
        <v>279</v>
      </c>
      <c r="J292" s="240">
        <f aca="true" t="shared" si="26" ref="J292:J293">ROUND($H292*I292,2)</f>
        <v>0</v>
      </c>
      <c r="K292" s="242"/>
      <c r="L292" s="211"/>
      <c r="M292" s="243" t="s">
        <v>1</v>
      </c>
      <c r="N292" s="244" t="s">
        <v>47</v>
      </c>
      <c r="O292" s="245">
        <v>0.044</v>
      </c>
      <c r="P292" s="245">
        <f>O292*I292</f>
        <v>12.276</v>
      </c>
      <c r="Q292" s="245">
        <v>0</v>
      </c>
      <c r="R292" s="245">
        <f>Q292*I292</f>
        <v>0</v>
      </c>
      <c r="S292" s="245">
        <v>0</v>
      </c>
      <c r="T292" s="246">
        <f>S292*I292</f>
        <v>0</v>
      </c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R292" s="247" t="s">
        <v>212</v>
      </c>
      <c r="AT292" s="247" t="s">
        <v>208</v>
      </c>
      <c r="AU292" s="247" t="s">
        <v>92</v>
      </c>
      <c r="AY292" s="120" t="s">
        <v>206</v>
      </c>
      <c r="BE292" s="248">
        <f aca="true" t="shared" si="27" ref="BE292">IF(N292="základní",J292,0)</f>
        <v>0</v>
      </c>
      <c r="BF292" s="248">
        <f aca="true" t="shared" si="28" ref="BF292">IF(N292="snížená",J292,0)</f>
        <v>0</v>
      </c>
      <c r="BG292" s="248">
        <f aca="true" t="shared" si="29" ref="BG292">IF(N292="zákl. přenesená",J292,0)</f>
        <v>0</v>
      </c>
      <c r="BH292" s="248">
        <f aca="true" t="shared" si="30" ref="BH292">IF(N292="sníž. přenesená",J292,0)</f>
        <v>0</v>
      </c>
      <c r="BI292" s="248">
        <f aca="true" t="shared" si="31" ref="BI292">IF(N292="nulová",J292,0)</f>
        <v>0</v>
      </c>
      <c r="BJ292" s="120" t="s">
        <v>18</v>
      </c>
      <c r="BK292" s="248">
        <f>ROUND(H292*I292,2)</f>
        <v>0</v>
      </c>
      <c r="BL292" s="120" t="s">
        <v>212</v>
      </c>
      <c r="BM292" s="247" t="s">
        <v>503</v>
      </c>
    </row>
    <row r="293" spans="1:65" s="136" customFormat="1" ht="21.75" customHeight="1">
      <c r="A293" s="131"/>
      <c r="B293" s="132"/>
      <c r="C293" s="283">
        <f>C292+1</f>
        <v>80</v>
      </c>
      <c r="D293" s="236" t="s">
        <v>208</v>
      </c>
      <c r="E293" s="237" t="s">
        <v>504</v>
      </c>
      <c r="F293" s="238" t="s">
        <v>505</v>
      </c>
      <c r="G293" s="239" t="s">
        <v>238</v>
      </c>
      <c r="H293" s="72"/>
      <c r="I293" s="241">
        <v>458</v>
      </c>
      <c r="J293" s="240">
        <f t="shared" si="26"/>
        <v>0</v>
      </c>
      <c r="K293" s="242"/>
      <c r="L293" s="211"/>
      <c r="M293" s="243" t="s">
        <v>1</v>
      </c>
      <c r="N293" s="244" t="s">
        <v>47</v>
      </c>
      <c r="O293" s="245">
        <v>0.079</v>
      </c>
      <c r="P293" s="245">
        <f>O293*I293</f>
        <v>36.182</v>
      </c>
      <c r="Q293" s="245">
        <v>0</v>
      </c>
      <c r="R293" s="245">
        <f>Q293*I293</f>
        <v>0</v>
      </c>
      <c r="S293" s="245">
        <v>0</v>
      </c>
      <c r="T293" s="246">
        <f>S293*I293</f>
        <v>0</v>
      </c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R293" s="247" t="s">
        <v>212</v>
      </c>
      <c r="AT293" s="247" t="s">
        <v>208</v>
      </c>
      <c r="AU293" s="247" t="s">
        <v>92</v>
      </c>
      <c r="AY293" s="120" t="s">
        <v>206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120" t="s">
        <v>18</v>
      </c>
      <c r="BK293" s="248">
        <f>ROUND(H293*I293,2)</f>
        <v>0</v>
      </c>
      <c r="BL293" s="120" t="s">
        <v>212</v>
      </c>
      <c r="BM293" s="247" t="s">
        <v>506</v>
      </c>
    </row>
    <row r="294" spans="2:51" s="249" customFormat="1" ht="12">
      <c r="B294" s="250"/>
      <c r="C294" s="133"/>
      <c r="D294" s="251" t="s">
        <v>214</v>
      </c>
      <c r="E294" s="252" t="s">
        <v>1</v>
      </c>
      <c r="F294" s="253" t="s">
        <v>507</v>
      </c>
      <c r="G294" s="254"/>
      <c r="H294" s="312"/>
      <c r="I294" s="255">
        <v>458</v>
      </c>
      <c r="J294" s="254"/>
      <c r="K294" s="254"/>
      <c r="L294" s="256"/>
      <c r="M294" s="257"/>
      <c r="N294" s="258"/>
      <c r="O294" s="258"/>
      <c r="P294" s="258"/>
      <c r="Q294" s="258"/>
      <c r="R294" s="258"/>
      <c r="S294" s="258"/>
      <c r="T294" s="259"/>
      <c r="AT294" s="260" t="s">
        <v>214</v>
      </c>
      <c r="AU294" s="260" t="s">
        <v>92</v>
      </c>
      <c r="AV294" s="249" t="s">
        <v>92</v>
      </c>
      <c r="AW294" s="249" t="s">
        <v>39</v>
      </c>
      <c r="AX294" s="249" t="s">
        <v>18</v>
      </c>
      <c r="AY294" s="260" t="s">
        <v>206</v>
      </c>
    </row>
    <row r="295" spans="1:65" s="136" customFormat="1" ht="21.75" customHeight="1">
      <c r="A295" s="131"/>
      <c r="B295" s="132"/>
      <c r="C295" s="283">
        <f>C293+1</f>
        <v>81</v>
      </c>
      <c r="D295" s="236" t="s">
        <v>208</v>
      </c>
      <c r="E295" s="237" t="s">
        <v>509</v>
      </c>
      <c r="F295" s="238" t="s">
        <v>510</v>
      </c>
      <c r="G295" s="239" t="s">
        <v>376</v>
      </c>
      <c r="H295" s="72"/>
      <c r="I295" s="241">
        <v>4</v>
      </c>
      <c r="J295" s="240">
        <f>ROUND($H295*I295,2)</f>
        <v>0</v>
      </c>
      <c r="K295" s="242"/>
      <c r="L295" s="211"/>
      <c r="M295" s="243" t="s">
        <v>1</v>
      </c>
      <c r="N295" s="244" t="s">
        <v>47</v>
      </c>
      <c r="O295" s="245">
        <v>10.3</v>
      </c>
      <c r="P295" s="245">
        <f>O295*I295</f>
        <v>41.2</v>
      </c>
      <c r="Q295" s="245">
        <v>0.45937</v>
      </c>
      <c r="R295" s="245">
        <f>Q295*I295</f>
        <v>1.83748</v>
      </c>
      <c r="S295" s="245">
        <v>0</v>
      </c>
      <c r="T295" s="246">
        <f>S295*I295</f>
        <v>0</v>
      </c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R295" s="247" t="s">
        <v>212</v>
      </c>
      <c r="AT295" s="247" t="s">
        <v>208</v>
      </c>
      <c r="AU295" s="247" t="s">
        <v>92</v>
      </c>
      <c r="AY295" s="120" t="s">
        <v>206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120" t="s">
        <v>18</v>
      </c>
      <c r="BK295" s="248">
        <f>ROUND(H295*I295,2)</f>
        <v>0</v>
      </c>
      <c r="BL295" s="120" t="s">
        <v>212</v>
      </c>
      <c r="BM295" s="247" t="s">
        <v>511</v>
      </c>
    </row>
    <row r="296" spans="2:51" s="249" customFormat="1" ht="12">
      <c r="B296" s="250"/>
      <c r="C296" s="133"/>
      <c r="D296" s="251" t="s">
        <v>214</v>
      </c>
      <c r="E296" s="252" t="s">
        <v>1</v>
      </c>
      <c r="F296" s="253" t="s">
        <v>512</v>
      </c>
      <c r="G296" s="254"/>
      <c r="H296" s="312"/>
      <c r="I296" s="255">
        <v>4</v>
      </c>
      <c r="J296" s="254"/>
      <c r="K296" s="254"/>
      <c r="L296" s="256"/>
      <c r="M296" s="257"/>
      <c r="N296" s="258"/>
      <c r="O296" s="258"/>
      <c r="P296" s="258"/>
      <c r="Q296" s="258"/>
      <c r="R296" s="258"/>
      <c r="S296" s="258"/>
      <c r="T296" s="259"/>
      <c r="AT296" s="260" t="s">
        <v>214</v>
      </c>
      <c r="AU296" s="260" t="s">
        <v>92</v>
      </c>
      <c r="AV296" s="249" t="s">
        <v>92</v>
      </c>
      <c r="AW296" s="249" t="s">
        <v>39</v>
      </c>
      <c r="AX296" s="249" t="s">
        <v>18</v>
      </c>
      <c r="AY296" s="260" t="s">
        <v>206</v>
      </c>
    </row>
    <row r="297" spans="1:65" s="136" customFormat="1" ht="16.5" customHeight="1">
      <c r="A297" s="131"/>
      <c r="B297" s="132"/>
      <c r="C297" s="283">
        <f>C295+1</f>
        <v>82</v>
      </c>
      <c r="D297" s="236" t="s">
        <v>208</v>
      </c>
      <c r="E297" s="237" t="s">
        <v>513</v>
      </c>
      <c r="F297" s="238" t="s">
        <v>514</v>
      </c>
      <c r="G297" s="239" t="s">
        <v>376</v>
      </c>
      <c r="H297" s="72"/>
      <c r="I297" s="241">
        <v>10</v>
      </c>
      <c r="J297" s="240">
        <f aca="true" t="shared" si="32" ref="J297:J303">ROUND($H297*I297,2)</f>
        <v>0</v>
      </c>
      <c r="K297" s="242"/>
      <c r="L297" s="211"/>
      <c r="M297" s="243" t="s">
        <v>1</v>
      </c>
      <c r="N297" s="244" t="s">
        <v>47</v>
      </c>
      <c r="O297" s="245">
        <v>0.772</v>
      </c>
      <c r="P297" s="245">
        <f aca="true" t="shared" si="33" ref="P297:P303">O297*I297</f>
        <v>7.720000000000001</v>
      </c>
      <c r="Q297" s="245">
        <v>0.06383</v>
      </c>
      <c r="R297" s="245">
        <f aca="true" t="shared" si="34" ref="R297:R303">Q297*I297</f>
        <v>0.6383</v>
      </c>
      <c r="S297" s="245">
        <v>0</v>
      </c>
      <c r="T297" s="246">
        <f aca="true" t="shared" si="35" ref="T297:T303">S297*I297</f>
        <v>0</v>
      </c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R297" s="247" t="s">
        <v>212</v>
      </c>
      <c r="AT297" s="247" t="s">
        <v>208</v>
      </c>
      <c r="AU297" s="247" t="s">
        <v>92</v>
      </c>
      <c r="AY297" s="120" t="s">
        <v>206</v>
      </c>
      <c r="BE297" s="248">
        <f aca="true" t="shared" si="36" ref="BE297:BE302">IF(N297="základní",J297,0)</f>
        <v>0</v>
      </c>
      <c r="BF297" s="248">
        <f aca="true" t="shared" si="37" ref="BF297:BF302">IF(N297="snížená",J297,0)</f>
        <v>0</v>
      </c>
      <c r="BG297" s="248">
        <f aca="true" t="shared" si="38" ref="BG297:BG302">IF(N297="zákl. přenesená",J297,0)</f>
        <v>0</v>
      </c>
      <c r="BH297" s="248">
        <f aca="true" t="shared" si="39" ref="BH297:BH302">IF(N297="sníž. přenesená",J297,0)</f>
        <v>0</v>
      </c>
      <c r="BI297" s="248">
        <f aca="true" t="shared" si="40" ref="BI297:BI302">IF(N297="nulová",J297,0)</f>
        <v>0</v>
      </c>
      <c r="BJ297" s="120" t="s">
        <v>18</v>
      </c>
      <c r="BK297" s="248">
        <f aca="true" t="shared" si="41" ref="BK297:BK303">ROUND(H297*I297,2)</f>
        <v>0</v>
      </c>
      <c r="BL297" s="120" t="s">
        <v>212</v>
      </c>
      <c r="BM297" s="247" t="s">
        <v>515</v>
      </c>
    </row>
    <row r="298" spans="1:65" s="136" customFormat="1" ht="16.5" customHeight="1">
      <c r="A298" s="131"/>
      <c r="B298" s="132"/>
      <c r="C298" s="283">
        <f aca="true" t="shared" si="42" ref="C298:C303">C297+1</f>
        <v>83</v>
      </c>
      <c r="D298" s="236" t="s">
        <v>208</v>
      </c>
      <c r="E298" s="237" t="s">
        <v>516</v>
      </c>
      <c r="F298" s="238" t="s">
        <v>517</v>
      </c>
      <c r="G298" s="239" t="s">
        <v>376</v>
      </c>
      <c r="H298" s="72"/>
      <c r="I298" s="241">
        <v>4</v>
      </c>
      <c r="J298" s="240">
        <f t="shared" si="32"/>
        <v>0</v>
      </c>
      <c r="K298" s="242"/>
      <c r="L298" s="211"/>
      <c r="M298" s="243" t="s">
        <v>1</v>
      </c>
      <c r="N298" s="244" t="s">
        <v>47</v>
      </c>
      <c r="O298" s="245">
        <v>0.863</v>
      </c>
      <c r="P298" s="245">
        <f t="shared" si="33"/>
        <v>3.452</v>
      </c>
      <c r="Q298" s="245">
        <v>0.12303</v>
      </c>
      <c r="R298" s="245">
        <f t="shared" si="34"/>
        <v>0.49212</v>
      </c>
      <c r="S298" s="245">
        <v>0</v>
      </c>
      <c r="T298" s="246">
        <f t="shared" si="35"/>
        <v>0</v>
      </c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R298" s="247" t="s">
        <v>212</v>
      </c>
      <c r="AT298" s="247" t="s">
        <v>208</v>
      </c>
      <c r="AU298" s="247" t="s">
        <v>92</v>
      </c>
      <c r="AY298" s="120" t="s">
        <v>206</v>
      </c>
      <c r="BE298" s="248">
        <f t="shared" si="36"/>
        <v>0</v>
      </c>
      <c r="BF298" s="248">
        <f t="shared" si="37"/>
        <v>0</v>
      </c>
      <c r="BG298" s="248">
        <f t="shared" si="38"/>
        <v>0</v>
      </c>
      <c r="BH298" s="248">
        <f t="shared" si="39"/>
        <v>0</v>
      </c>
      <c r="BI298" s="248">
        <f t="shared" si="40"/>
        <v>0</v>
      </c>
      <c r="BJ298" s="120" t="s">
        <v>18</v>
      </c>
      <c r="BK298" s="248">
        <f t="shared" si="41"/>
        <v>0</v>
      </c>
      <c r="BL298" s="120" t="s">
        <v>212</v>
      </c>
      <c r="BM298" s="247" t="s">
        <v>518</v>
      </c>
    </row>
    <row r="299" spans="1:65" s="136" customFormat="1" ht="16.5" customHeight="1">
      <c r="A299" s="131"/>
      <c r="B299" s="132"/>
      <c r="C299" s="283">
        <f t="shared" si="42"/>
        <v>84</v>
      </c>
      <c r="D299" s="284" t="s">
        <v>324</v>
      </c>
      <c r="E299" s="285" t="s">
        <v>519</v>
      </c>
      <c r="F299" s="307" t="s">
        <v>520</v>
      </c>
      <c r="G299" s="287" t="s">
        <v>380</v>
      </c>
      <c r="H299" s="73"/>
      <c r="I299" s="288">
        <v>14</v>
      </c>
      <c r="J299" s="240">
        <f t="shared" si="32"/>
        <v>0</v>
      </c>
      <c r="K299" s="289"/>
      <c r="L299" s="290"/>
      <c r="M299" s="291" t="s">
        <v>1</v>
      </c>
      <c r="N299" s="292" t="s">
        <v>47</v>
      </c>
      <c r="O299" s="245">
        <v>0</v>
      </c>
      <c r="P299" s="245">
        <f t="shared" si="33"/>
        <v>0</v>
      </c>
      <c r="Q299" s="245">
        <v>0.0049</v>
      </c>
      <c r="R299" s="245">
        <f t="shared" si="34"/>
        <v>0.0686</v>
      </c>
      <c r="S299" s="245">
        <v>0</v>
      </c>
      <c r="T299" s="246">
        <f t="shared" si="35"/>
        <v>0</v>
      </c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R299" s="247" t="s">
        <v>256</v>
      </c>
      <c r="AT299" s="247" t="s">
        <v>324</v>
      </c>
      <c r="AU299" s="247" t="s">
        <v>92</v>
      </c>
      <c r="AY299" s="120" t="s">
        <v>206</v>
      </c>
      <c r="BE299" s="248">
        <f t="shared" si="36"/>
        <v>0</v>
      </c>
      <c r="BF299" s="248">
        <f t="shared" si="37"/>
        <v>0</v>
      </c>
      <c r="BG299" s="248">
        <f t="shared" si="38"/>
        <v>0</v>
      </c>
      <c r="BH299" s="248">
        <f t="shared" si="39"/>
        <v>0</v>
      </c>
      <c r="BI299" s="248">
        <f t="shared" si="40"/>
        <v>0</v>
      </c>
      <c r="BJ299" s="120" t="s">
        <v>18</v>
      </c>
      <c r="BK299" s="248">
        <f t="shared" si="41"/>
        <v>0</v>
      </c>
      <c r="BL299" s="120" t="s">
        <v>212</v>
      </c>
      <c r="BM299" s="247" t="s">
        <v>521</v>
      </c>
    </row>
    <row r="300" spans="1:65" s="136" customFormat="1" ht="16.5" customHeight="1">
      <c r="A300" s="131"/>
      <c r="B300" s="132"/>
      <c r="C300" s="283">
        <f t="shared" si="42"/>
        <v>85</v>
      </c>
      <c r="D300" s="236" t="s">
        <v>208</v>
      </c>
      <c r="E300" s="237" t="s">
        <v>522</v>
      </c>
      <c r="F300" s="238" t="s">
        <v>523</v>
      </c>
      <c r="G300" s="239" t="s">
        <v>376</v>
      </c>
      <c r="H300" s="72"/>
      <c r="I300" s="241">
        <v>1</v>
      </c>
      <c r="J300" s="240">
        <f t="shared" si="32"/>
        <v>0</v>
      </c>
      <c r="K300" s="242"/>
      <c r="L300" s="211"/>
      <c r="M300" s="243" t="s">
        <v>1</v>
      </c>
      <c r="N300" s="244" t="s">
        <v>47</v>
      </c>
      <c r="O300" s="245">
        <v>1.182</v>
      </c>
      <c r="P300" s="245">
        <f t="shared" si="33"/>
        <v>1.182</v>
      </c>
      <c r="Q300" s="245">
        <v>0.32906</v>
      </c>
      <c r="R300" s="245">
        <f t="shared" si="34"/>
        <v>0.32906</v>
      </c>
      <c r="S300" s="245">
        <v>0</v>
      </c>
      <c r="T300" s="246">
        <f t="shared" si="35"/>
        <v>0</v>
      </c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R300" s="247" t="s">
        <v>212</v>
      </c>
      <c r="AT300" s="247" t="s">
        <v>208</v>
      </c>
      <c r="AU300" s="247" t="s">
        <v>92</v>
      </c>
      <c r="AY300" s="120" t="s">
        <v>206</v>
      </c>
      <c r="BE300" s="248">
        <f t="shared" si="36"/>
        <v>0</v>
      </c>
      <c r="BF300" s="248">
        <f t="shared" si="37"/>
        <v>0</v>
      </c>
      <c r="BG300" s="248">
        <f t="shared" si="38"/>
        <v>0</v>
      </c>
      <c r="BH300" s="248">
        <f t="shared" si="39"/>
        <v>0</v>
      </c>
      <c r="BI300" s="248">
        <f t="shared" si="40"/>
        <v>0</v>
      </c>
      <c r="BJ300" s="120" t="s">
        <v>18</v>
      </c>
      <c r="BK300" s="248">
        <f t="shared" si="41"/>
        <v>0</v>
      </c>
      <c r="BL300" s="120" t="s">
        <v>212</v>
      </c>
      <c r="BM300" s="247" t="s">
        <v>524</v>
      </c>
    </row>
    <row r="301" spans="1:65" s="136" customFormat="1" ht="16.5" customHeight="1">
      <c r="A301" s="131"/>
      <c r="B301" s="132"/>
      <c r="C301" s="283">
        <f t="shared" si="42"/>
        <v>86</v>
      </c>
      <c r="D301" s="284" t="s">
        <v>324</v>
      </c>
      <c r="E301" s="285" t="s">
        <v>525</v>
      </c>
      <c r="F301" s="286" t="s">
        <v>526</v>
      </c>
      <c r="G301" s="287" t="s">
        <v>380</v>
      </c>
      <c r="H301" s="73"/>
      <c r="I301" s="288">
        <v>1</v>
      </c>
      <c r="J301" s="240">
        <f t="shared" si="32"/>
        <v>0</v>
      </c>
      <c r="K301" s="289"/>
      <c r="L301" s="290"/>
      <c r="M301" s="291" t="s">
        <v>1</v>
      </c>
      <c r="N301" s="292" t="s">
        <v>47</v>
      </c>
      <c r="O301" s="245">
        <v>0</v>
      </c>
      <c r="P301" s="245">
        <f t="shared" si="33"/>
        <v>0</v>
      </c>
      <c r="Q301" s="245">
        <v>0.002</v>
      </c>
      <c r="R301" s="245">
        <f t="shared" si="34"/>
        <v>0.002</v>
      </c>
      <c r="S301" s="245">
        <v>0</v>
      </c>
      <c r="T301" s="246">
        <f t="shared" si="35"/>
        <v>0</v>
      </c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R301" s="247" t="s">
        <v>256</v>
      </c>
      <c r="AT301" s="247" t="s">
        <v>324</v>
      </c>
      <c r="AU301" s="247" t="s">
        <v>92</v>
      </c>
      <c r="AY301" s="120" t="s">
        <v>206</v>
      </c>
      <c r="BE301" s="248">
        <f t="shared" si="36"/>
        <v>0</v>
      </c>
      <c r="BF301" s="248">
        <f t="shared" si="37"/>
        <v>0</v>
      </c>
      <c r="BG301" s="248">
        <f t="shared" si="38"/>
        <v>0</v>
      </c>
      <c r="BH301" s="248">
        <f t="shared" si="39"/>
        <v>0</v>
      </c>
      <c r="BI301" s="248">
        <f t="shared" si="40"/>
        <v>0</v>
      </c>
      <c r="BJ301" s="120" t="s">
        <v>18</v>
      </c>
      <c r="BK301" s="248">
        <f t="shared" si="41"/>
        <v>0</v>
      </c>
      <c r="BL301" s="120" t="s">
        <v>212</v>
      </c>
      <c r="BM301" s="247" t="s">
        <v>527</v>
      </c>
    </row>
    <row r="302" spans="1:65" s="136" customFormat="1" ht="16.5" customHeight="1">
      <c r="A302" s="131"/>
      <c r="B302" s="132"/>
      <c r="C302" s="283">
        <f t="shared" si="42"/>
        <v>87</v>
      </c>
      <c r="D302" s="284" t="s">
        <v>324</v>
      </c>
      <c r="E302" s="285" t="s">
        <v>528</v>
      </c>
      <c r="F302" s="307" t="s">
        <v>529</v>
      </c>
      <c r="G302" s="287" t="s">
        <v>380</v>
      </c>
      <c r="H302" s="73"/>
      <c r="I302" s="288">
        <v>1</v>
      </c>
      <c r="J302" s="240">
        <f t="shared" si="32"/>
        <v>0</v>
      </c>
      <c r="K302" s="289"/>
      <c r="L302" s="290"/>
      <c r="M302" s="291" t="s">
        <v>1</v>
      </c>
      <c r="N302" s="292" t="s">
        <v>47</v>
      </c>
      <c r="O302" s="245">
        <v>0</v>
      </c>
      <c r="P302" s="245">
        <f t="shared" si="33"/>
        <v>0</v>
      </c>
      <c r="Q302" s="245">
        <v>0.024</v>
      </c>
      <c r="R302" s="245">
        <f t="shared" si="34"/>
        <v>0.024</v>
      </c>
      <c r="S302" s="245">
        <v>0</v>
      </c>
      <c r="T302" s="246">
        <f t="shared" si="35"/>
        <v>0</v>
      </c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R302" s="247" t="s">
        <v>256</v>
      </c>
      <c r="AT302" s="247" t="s">
        <v>324</v>
      </c>
      <c r="AU302" s="247" t="s">
        <v>92</v>
      </c>
      <c r="AY302" s="120" t="s">
        <v>206</v>
      </c>
      <c r="BE302" s="248">
        <f t="shared" si="36"/>
        <v>0</v>
      </c>
      <c r="BF302" s="248">
        <f t="shared" si="37"/>
        <v>0</v>
      </c>
      <c r="BG302" s="248">
        <f t="shared" si="38"/>
        <v>0</v>
      </c>
      <c r="BH302" s="248">
        <f t="shared" si="39"/>
        <v>0</v>
      </c>
      <c r="BI302" s="248">
        <f t="shared" si="40"/>
        <v>0</v>
      </c>
      <c r="BJ302" s="120" t="s">
        <v>18</v>
      </c>
      <c r="BK302" s="248">
        <f t="shared" si="41"/>
        <v>0</v>
      </c>
      <c r="BL302" s="120" t="s">
        <v>212</v>
      </c>
      <c r="BM302" s="247" t="s">
        <v>530</v>
      </c>
    </row>
    <row r="303" spans="1:65" s="136" customFormat="1" ht="16.5" customHeight="1">
      <c r="A303" s="131"/>
      <c r="B303" s="132"/>
      <c r="C303" s="283">
        <f t="shared" si="42"/>
        <v>88</v>
      </c>
      <c r="D303" s="236" t="s">
        <v>208</v>
      </c>
      <c r="E303" s="237" t="s">
        <v>531</v>
      </c>
      <c r="F303" s="238" t="s">
        <v>532</v>
      </c>
      <c r="G303" s="239" t="s">
        <v>238</v>
      </c>
      <c r="H303" s="72"/>
      <c r="I303" s="241">
        <v>289.5</v>
      </c>
      <c r="J303" s="240">
        <f t="shared" si="32"/>
        <v>0</v>
      </c>
      <c r="K303" s="242"/>
      <c r="L303" s="211"/>
      <c r="M303" s="243" t="s">
        <v>1</v>
      </c>
      <c r="N303" s="244" t="s">
        <v>47</v>
      </c>
      <c r="O303" s="245">
        <v>0.025</v>
      </c>
      <c r="P303" s="245">
        <f t="shared" si="33"/>
        <v>7.237500000000001</v>
      </c>
      <c r="Q303" s="245">
        <v>9E-05</v>
      </c>
      <c r="R303" s="245">
        <f t="shared" si="34"/>
        <v>0.026055000000000002</v>
      </c>
      <c r="S303" s="245">
        <v>0</v>
      </c>
      <c r="T303" s="246">
        <f t="shared" si="35"/>
        <v>0</v>
      </c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R303" s="247" t="s">
        <v>212</v>
      </c>
      <c r="AT303" s="247" t="s">
        <v>208</v>
      </c>
      <c r="AU303" s="247" t="s">
        <v>92</v>
      </c>
      <c r="AY303" s="120" t="s">
        <v>206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120" t="s">
        <v>18</v>
      </c>
      <c r="BK303" s="248">
        <f t="shared" si="41"/>
        <v>0</v>
      </c>
      <c r="BL303" s="120" t="s">
        <v>212</v>
      </c>
      <c r="BM303" s="247" t="s">
        <v>533</v>
      </c>
    </row>
    <row r="304" spans="2:51" s="249" customFormat="1" ht="12">
      <c r="B304" s="250"/>
      <c r="C304" s="133"/>
      <c r="D304" s="251" t="s">
        <v>214</v>
      </c>
      <c r="E304" s="252" t="s">
        <v>1</v>
      </c>
      <c r="F304" s="253" t="s">
        <v>534</v>
      </c>
      <c r="G304" s="254"/>
      <c r="H304" s="312"/>
      <c r="I304" s="255">
        <v>289.5</v>
      </c>
      <c r="J304" s="254"/>
      <c r="K304" s="254"/>
      <c r="L304" s="256"/>
      <c r="M304" s="257"/>
      <c r="N304" s="258"/>
      <c r="O304" s="258"/>
      <c r="P304" s="258"/>
      <c r="Q304" s="258"/>
      <c r="R304" s="258"/>
      <c r="S304" s="258"/>
      <c r="T304" s="259"/>
      <c r="AT304" s="260" t="s">
        <v>214</v>
      </c>
      <c r="AU304" s="260" t="s">
        <v>92</v>
      </c>
      <c r="AV304" s="249" t="s">
        <v>92</v>
      </c>
      <c r="AW304" s="249" t="s">
        <v>39</v>
      </c>
      <c r="AX304" s="249" t="s">
        <v>18</v>
      </c>
      <c r="AY304" s="260" t="s">
        <v>206</v>
      </c>
    </row>
    <row r="305" spans="1:65" s="136" customFormat="1" ht="16.5" customHeight="1">
      <c r="A305" s="131"/>
      <c r="B305" s="132"/>
      <c r="C305" s="283">
        <f>C303+1</f>
        <v>89</v>
      </c>
      <c r="D305" s="236" t="s">
        <v>208</v>
      </c>
      <c r="E305" s="237" t="s">
        <v>535</v>
      </c>
      <c r="F305" s="238" t="s">
        <v>536</v>
      </c>
      <c r="G305" s="239" t="s">
        <v>376</v>
      </c>
      <c r="H305" s="72"/>
      <c r="I305" s="241">
        <v>6</v>
      </c>
      <c r="J305" s="240">
        <f>ROUND($H305*I305,2)</f>
        <v>0</v>
      </c>
      <c r="K305" s="242"/>
      <c r="L305" s="211"/>
      <c r="M305" s="243" t="s">
        <v>1</v>
      </c>
      <c r="N305" s="244" t="s">
        <v>47</v>
      </c>
      <c r="O305" s="245">
        <v>0.099</v>
      </c>
      <c r="P305" s="245">
        <f>O305*I305</f>
        <v>0.5940000000000001</v>
      </c>
      <c r="Q305" s="245">
        <v>0.0004</v>
      </c>
      <c r="R305" s="245">
        <f>Q305*I305</f>
        <v>0.0024000000000000002</v>
      </c>
      <c r="S305" s="245">
        <v>0</v>
      </c>
      <c r="T305" s="246">
        <f>S305*I305</f>
        <v>0</v>
      </c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R305" s="247" t="s">
        <v>212</v>
      </c>
      <c r="AT305" s="247" t="s">
        <v>208</v>
      </c>
      <c r="AU305" s="247" t="s">
        <v>92</v>
      </c>
      <c r="AY305" s="120" t="s">
        <v>206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120" t="s">
        <v>18</v>
      </c>
      <c r="BK305" s="248">
        <f>ROUND(H305*I305,2)</f>
        <v>0</v>
      </c>
      <c r="BL305" s="120" t="s">
        <v>212</v>
      </c>
      <c r="BM305" s="247" t="s">
        <v>537</v>
      </c>
    </row>
    <row r="306" spans="2:51" s="249" customFormat="1" ht="12">
      <c r="B306" s="250"/>
      <c r="C306" s="133"/>
      <c r="D306" s="251" t="s">
        <v>214</v>
      </c>
      <c r="E306" s="252" t="s">
        <v>1</v>
      </c>
      <c r="F306" s="253" t="s">
        <v>538</v>
      </c>
      <c r="G306" s="254"/>
      <c r="H306" s="312"/>
      <c r="I306" s="255">
        <v>6</v>
      </c>
      <c r="J306" s="254"/>
      <c r="K306" s="254"/>
      <c r="L306" s="256"/>
      <c r="M306" s="257"/>
      <c r="N306" s="258"/>
      <c r="O306" s="258"/>
      <c r="P306" s="258"/>
      <c r="Q306" s="258"/>
      <c r="R306" s="258"/>
      <c r="S306" s="258"/>
      <c r="T306" s="259"/>
      <c r="AT306" s="260" t="s">
        <v>214</v>
      </c>
      <c r="AU306" s="260" t="s">
        <v>92</v>
      </c>
      <c r="AV306" s="249" t="s">
        <v>92</v>
      </c>
      <c r="AW306" s="249" t="s">
        <v>39</v>
      </c>
      <c r="AX306" s="249" t="s">
        <v>18</v>
      </c>
      <c r="AY306" s="260" t="s">
        <v>206</v>
      </c>
    </row>
    <row r="307" spans="1:65" s="136" customFormat="1" ht="21.75" customHeight="1">
      <c r="A307" s="131"/>
      <c r="B307" s="132"/>
      <c r="C307" s="283">
        <f>C305+1</f>
        <v>90</v>
      </c>
      <c r="D307" s="236" t="s">
        <v>208</v>
      </c>
      <c r="E307" s="237" t="s">
        <v>539</v>
      </c>
      <c r="F307" s="238" t="s">
        <v>540</v>
      </c>
      <c r="G307" s="239" t="s">
        <v>376</v>
      </c>
      <c r="H307" s="72"/>
      <c r="I307" s="241">
        <v>10</v>
      </c>
      <c r="J307" s="240">
        <f aca="true" t="shared" si="43" ref="J307:J309">ROUND($H307*I307,2)</f>
        <v>0</v>
      </c>
      <c r="K307" s="242"/>
      <c r="L307" s="211"/>
      <c r="M307" s="243" t="s">
        <v>1</v>
      </c>
      <c r="N307" s="244" t="s">
        <v>47</v>
      </c>
      <c r="O307" s="245">
        <v>0</v>
      </c>
      <c r="P307" s="245">
        <f>O307*I307</f>
        <v>0</v>
      </c>
      <c r="Q307" s="245">
        <v>0</v>
      </c>
      <c r="R307" s="245">
        <f>Q307*I307</f>
        <v>0</v>
      </c>
      <c r="S307" s="245">
        <v>0</v>
      </c>
      <c r="T307" s="246">
        <f>S307*I307</f>
        <v>0</v>
      </c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R307" s="247" t="s">
        <v>212</v>
      </c>
      <c r="AT307" s="247" t="s">
        <v>208</v>
      </c>
      <c r="AU307" s="247" t="s">
        <v>92</v>
      </c>
      <c r="AY307" s="120" t="s">
        <v>206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20" t="s">
        <v>18</v>
      </c>
      <c r="BK307" s="248">
        <f>ROUND(H307*I307,2)</f>
        <v>0</v>
      </c>
      <c r="BL307" s="120" t="s">
        <v>212</v>
      </c>
      <c r="BM307" s="247" t="s">
        <v>541</v>
      </c>
    </row>
    <row r="308" spans="1:65" s="136" customFormat="1" ht="16.5" customHeight="1">
      <c r="A308" s="131"/>
      <c r="B308" s="132"/>
      <c r="C308" s="283">
        <f aca="true" t="shared" si="44" ref="C308:C309">C307+1</f>
        <v>91</v>
      </c>
      <c r="D308" s="236" t="s">
        <v>208</v>
      </c>
      <c r="E308" s="237" t="s">
        <v>542</v>
      </c>
      <c r="F308" s="238" t="s">
        <v>543</v>
      </c>
      <c r="G308" s="239" t="s">
        <v>560</v>
      </c>
      <c r="H308" s="72"/>
      <c r="I308" s="241">
        <v>1</v>
      </c>
      <c r="J308" s="240">
        <f t="shared" si="43"/>
        <v>0</v>
      </c>
      <c r="K308" s="242"/>
      <c r="L308" s="211"/>
      <c r="M308" s="243" t="s">
        <v>1</v>
      </c>
      <c r="N308" s="244" t="s">
        <v>47</v>
      </c>
      <c r="O308" s="245">
        <v>0</v>
      </c>
      <c r="P308" s="245">
        <f>O308*I308</f>
        <v>0</v>
      </c>
      <c r="Q308" s="245">
        <v>0</v>
      </c>
      <c r="R308" s="245">
        <f>Q308*I308</f>
        <v>0</v>
      </c>
      <c r="S308" s="245">
        <v>0</v>
      </c>
      <c r="T308" s="246">
        <f>S308*I308</f>
        <v>0</v>
      </c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R308" s="247" t="s">
        <v>212</v>
      </c>
      <c r="AT308" s="247" t="s">
        <v>208</v>
      </c>
      <c r="AU308" s="247" t="s">
        <v>92</v>
      </c>
      <c r="AY308" s="120" t="s">
        <v>206</v>
      </c>
      <c r="BE308" s="248">
        <f>IF(N308="základní",J308,0)</f>
        <v>0</v>
      </c>
      <c r="BF308" s="248">
        <f>IF(N308="snížená",J308,0)</f>
        <v>0</v>
      </c>
      <c r="BG308" s="248">
        <f>IF(N308="zákl. přenesená",J308,0)</f>
        <v>0</v>
      </c>
      <c r="BH308" s="248">
        <f>IF(N308="sníž. přenesená",J308,0)</f>
        <v>0</v>
      </c>
      <c r="BI308" s="248">
        <f>IF(N308="nulová",J308,0)</f>
        <v>0</v>
      </c>
      <c r="BJ308" s="120" t="s">
        <v>18</v>
      </c>
      <c r="BK308" s="248">
        <f>ROUND(H308*I308,2)</f>
        <v>0</v>
      </c>
      <c r="BL308" s="120" t="s">
        <v>212</v>
      </c>
      <c r="BM308" s="247" t="s">
        <v>544</v>
      </c>
    </row>
    <row r="309" spans="1:65" s="136" customFormat="1" ht="21.75" customHeight="1">
      <c r="A309" s="131"/>
      <c r="B309" s="132"/>
      <c r="C309" s="283">
        <f t="shared" si="44"/>
        <v>92</v>
      </c>
      <c r="D309" s="236" t="s">
        <v>208</v>
      </c>
      <c r="E309" s="237" t="s">
        <v>545</v>
      </c>
      <c r="F309" s="238" t="s">
        <v>546</v>
      </c>
      <c r="G309" s="239" t="s">
        <v>560</v>
      </c>
      <c r="H309" s="72"/>
      <c r="I309" s="241">
        <v>1</v>
      </c>
      <c r="J309" s="240">
        <f t="shared" si="43"/>
        <v>0</v>
      </c>
      <c r="K309" s="242"/>
      <c r="L309" s="211"/>
      <c r="M309" s="243" t="s">
        <v>1</v>
      </c>
      <c r="N309" s="244" t="s">
        <v>47</v>
      </c>
      <c r="O309" s="245">
        <v>0</v>
      </c>
      <c r="P309" s="245">
        <f>O309*I309</f>
        <v>0</v>
      </c>
      <c r="Q309" s="245">
        <v>0</v>
      </c>
      <c r="R309" s="245">
        <f>Q309*I309</f>
        <v>0</v>
      </c>
      <c r="S309" s="245">
        <v>0</v>
      </c>
      <c r="T309" s="246">
        <f>S309*I309</f>
        <v>0</v>
      </c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R309" s="247" t="s">
        <v>212</v>
      </c>
      <c r="AT309" s="247" t="s">
        <v>208</v>
      </c>
      <c r="AU309" s="247" t="s">
        <v>92</v>
      </c>
      <c r="AY309" s="120" t="s">
        <v>206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120" t="s">
        <v>18</v>
      </c>
      <c r="BK309" s="248">
        <f>ROUND(H309*I309,2)</f>
        <v>0</v>
      </c>
      <c r="BL309" s="120" t="s">
        <v>212</v>
      </c>
      <c r="BM309" s="247" t="s">
        <v>547</v>
      </c>
    </row>
    <row r="310" spans="2:63" s="218" customFormat="1" ht="22.9" customHeight="1">
      <c r="B310" s="219"/>
      <c r="C310" s="220"/>
      <c r="D310" s="221" t="s">
        <v>81</v>
      </c>
      <c r="E310" s="233" t="s">
        <v>261</v>
      </c>
      <c r="F310" s="233" t="s">
        <v>548</v>
      </c>
      <c r="G310" s="223"/>
      <c r="H310" s="315"/>
      <c r="I310" s="223"/>
      <c r="J310" s="234">
        <f>SUM(J311:J315)</f>
        <v>0</v>
      </c>
      <c r="K310" s="223"/>
      <c r="L310" s="225"/>
      <c r="M310" s="226"/>
      <c r="N310" s="227"/>
      <c r="O310" s="227"/>
      <c r="P310" s="228">
        <f>P311+SUM(P312:P317)</f>
        <v>1.3091</v>
      </c>
      <c r="Q310" s="227"/>
      <c r="R310" s="228">
        <f>R311+SUM(R312:R317)</f>
        <v>0.29526</v>
      </c>
      <c r="S310" s="227"/>
      <c r="T310" s="229">
        <f>T311+SUM(T312:T317)</f>
        <v>0</v>
      </c>
      <c r="AR310" s="230" t="s">
        <v>18</v>
      </c>
      <c r="AT310" s="231" t="s">
        <v>81</v>
      </c>
      <c r="AU310" s="231" t="s">
        <v>18</v>
      </c>
      <c r="AY310" s="230" t="s">
        <v>206</v>
      </c>
      <c r="BK310" s="232">
        <f>BK311+SUM(BK312:BK317)</f>
        <v>0</v>
      </c>
    </row>
    <row r="311" spans="1:65" s="136" customFormat="1" ht="21.75" customHeight="1">
      <c r="A311" s="131"/>
      <c r="B311" s="132"/>
      <c r="C311" s="283">
        <f>C309+1</f>
        <v>93</v>
      </c>
      <c r="D311" s="236" t="s">
        <v>208</v>
      </c>
      <c r="E311" s="237" t="s">
        <v>549</v>
      </c>
      <c r="F311" s="238" t="s">
        <v>550</v>
      </c>
      <c r="G311" s="239" t="s">
        <v>238</v>
      </c>
      <c r="H311" s="72"/>
      <c r="I311" s="241">
        <v>1.9</v>
      </c>
      <c r="J311" s="240">
        <f>ROUND($H311*I311,2)</f>
        <v>0</v>
      </c>
      <c r="K311" s="242"/>
      <c r="L311" s="211"/>
      <c r="M311" s="243" t="s">
        <v>1</v>
      </c>
      <c r="N311" s="244" t="s">
        <v>47</v>
      </c>
      <c r="O311" s="245">
        <v>0.268</v>
      </c>
      <c r="P311" s="245">
        <f>O311*I311</f>
        <v>0.5092</v>
      </c>
      <c r="Q311" s="245">
        <v>0.1554</v>
      </c>
      <c r="R311" s="245">
        <f>Q311*I311</f>
        <v>0.29526</v>
      </c>
      <c r="S311" s="245">
        <v>0</v>
      </c>
      <c r="T311" s="246">
        <f>S311*I311</f>
        <v>0</v>
      </c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R311" s="247" t="s">
        <v>212</v>
      </c>
      <c r="AT311" s="247" t="s">
        <v>208</v>
      </c>
      <c r="AU311" s="247" t="s">
        <v>92</v>
      </c>
      <c r="AY311" s="120" t="s">
        <v>206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120" t="s">
        <v>18</v>
      </c>
      <c r="BK311" s="248">
        <f>ROUND(H311*I311,2)</f>
        <v>0</v>
      </c>
      <c r="BL311" s="120" t="s">
        <v>212</v>
      </c>
      <c r="BM311" s="247" t="s">
        <v>551</v>
      </c>
    </row>
    <row r="312" spans="2:51" s="249" customFormat="1" ht="12">
      <c r="B312" s="250"/>
      <c r="C312" s="133"/>
      <c r="D312" s="251" t="s">
        <v>214</v>
      </c>
      <c r="E312" s="252" t="s">
        <v>1</v>
      </c>
      <c r="F312" s="253" t="s">
        <v>128</v>
      </c>
      <c r="G312" s="254"/>
      <c r="H312" s="312"/>
      <c r="I312" s="255">
        <v>1.9</v>
      </c>
      <c r="J312" s="254"/>
      <c r="K312" s="254"/>
      <c r="L312" s="256"/>
      <c r="M312" s="257"/>
      <c r="N312" s="258"/>
      <c r="O312" s="258"/>
      <c r="P312" s="258"/>
      <c r="Q312" s="258"/>
      <c r="R312" s="258"/>
      <c r="S312" s="258"/>
      <c r="T312" s="259"/>
      <c r="AT312" s="260" t="s">
        <v>214</v>
      </c>
      <c r="AU312" s="260" t="s">
        <v>92</v>
      </c>
      <c r="AV312" s="249" t="s">
        <v>92</v>
      </c>
      <c r="AW312" s="249" t="s">
        <v>39</v>
      </c>
      <c r="AX312" s="249" t="s">
        <v>18</v>
      </c>
      <c r="AY312" s="260" t="s">
        <v>206</v>
      </c>
    </row>
    <row r="313" spans="1:65" s="136" customFormat="1" ht="16.5" customHeight="1">
      <c r="A313" s="131"/>
      <c r="B313" s="132"/>
      <c r="C313" s="283">
        <f>C311+1</f>
        <v>94</v>
      </c>
      <c r="D313" s="236" t="s">
        <v>208</v>
      </c>
      <c r="E313" s="237" t="s">
        <v>552</v>
      </c>
      <c r="F313" s="238" t="s">
        <v>553</v>
      </c>
      <c r="G313" s="239" t="s">
        <v>238</v>
      </c>
      <c r="H313" s="72"/>
      <c r="I313" s="241">
        <v>1.9</v>
      </c>
      <c r="J313" s="240">
        <f>ROUND($H313*I313,2)</f>
        <v>0</v>
      </c>
      <c r="K313" s="242"/>
      <c r="L313" s="211"/>
      <c r="M313" s="243" t="s">
        <v>1</v>
      </c>
      <c r="N313" s="244" t="s">
        <v>47</v>
      </c>
      <c r="O313" s="245">
        <v>0.124</v>
      </c>
      <c r="P313" s="245">
        <f>O313*I313</f>
        <v>0.23559999999999998</v>
      </c>
      <c r="Q313" s="245">
        <v>0</v>
      </c>
      <c r="R313" s="245">
        <f>Q313*I313</f>
        <v>0</v>
      </c>
      <c r="S313" s="245">
        <v>0</v>
      </c>
      <c r="T313" s="246">
        <f>S313*I313</f>
        <v>0</v>
      </c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R313" s="247" t="s">
        <v>212</v>
      </c>
      <c r="AT313" s="247" t="s">
        <v>208</v>
      </c>
      <c r="AU313" s="247" t="s">
        <v>92</v>
      </c>
      <c r="AY313" s="120" t="s">
        <v>206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20" t="s">
        <v>18</v>
      </c>
      <c r="BK313" s="248">
        <f>ROUND(H313*I313,2)</f>
        <v>0</v>
      </c>
      <c r="BL313" s="120" t="s">
        <v>212</v>
      </c>
      <c r="BM313" s="247" t="s">
        <v>554</v>
      </c>
    </row>
    <row r="314" spans="2:51" s="249" customFormat="1" ht="12">
      <c r="B314" s="250"/>
      <c r="C314" s="133"/>
      <c r="D314" s="251" t="s">
        <v>214</v>
      </c>
      <c r="E314" s="252" t="s">
        <v>1</v>
      </c>
      <c r="F314" s="253" t="s">
        <v>128</v>
      </c>
      <c r="G314" s="254"/>
      <c r="H314" s="312"/>
      <c r="I314" s="255">
        <v>1.9</v>
      </c>
      <c r="J314" s="254"/>
      <c r="K314" s="254"/>
      <c r="L314" s="256"/>
      <c r="M314" s="257"/>
      <c r="N314" s="258"/>
      <c r="O314" s="258"/>
      <c r="P314" s="258"/>
      <c r="Q314" s="258"/>
      <c r="R314" s="258"/>
      <c r="S314" s="258"/>
      <c r="T314" s="259"/>
      <c r="AT314" s="260" t="s">
        <v>214</v>
      </c>
      <c r="AU314" s="260" t="s">
        <v>92</v>
      </c>
      <c r="AV314" s="249" t="s">
        <v>92</v>
      </c>
      <c r="AW314" s="249" t="s">
        <v>39</v>
      </c>
      <c r="AX314" s="249" t="s">
        <v>18</v>
      </c>
      <c r="AY314" s="260" t="s">
        <v>206</v>
      </c>
    </row>
    <row r="315" spans="1:65" s="136" customFormat="1" ht="21.75" customHeight="1">
      <c r="A315" s="131"/>
      <c r="B315" s="132"/>
      <c r="C315" s="283">
        <f>C313+1</f>
        <v>95</v>
      </c>
      <c r="D315" s="236" t="s">
        <v>208</v>
      </c>
      <c r="E315" s="237" t="s">
        <v>555</v>
      </c>
      <c r="F315" s="238" t="s">
        <v>556</v>
      </c>
      <c r="G315" s="239" t="s">
        <v>211</v>
      </c>
      <c r="H315" s="72"/>
      <c r="I315" s="241">
        <v>6.27</v>
      </c>
      <c r="J315" s="240">
        <f>ROUND($H315*I315,2)</f>
        <v>0</v>
      </c>
      <c r="K315" s="242"/>
      <c r="L315" s="211"/>
      <c r="M315" s="243" t="s">
        <v>1</v>
      </c>
      <c r="N315" s="244" t="s">
        <v>47</v>
      </c>
      <c r="O315" s="245">
        <v>0.09</v>
      </c>
      <c r="P315" s="245">
        <f>O315*I315</f>
        <v>0.5642999999999999</v>
      </c>
      <c r="Q315" s="245">
        <v>0</v>
      </c>
      <c r="R315" s="245">
        <f>Q315*I315</f>
        <v>0</v>
      </c>
      <c r="S315" s="245">
        <v>0</v>
      </c>
      <c r="T315" s="246">
        <f>S315*I315</f>
        <v>0</v>
      </c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R315" s="247" t="s">
        <v>212</v>
      </c>
      <c r="AT315" s="247" t="s">
        <v>208</v>
      </c>
      <c r="AU315" s="247" t="s">
        <v>92</v>
      </c>
      <c r="AY315" s="120" t="s">
        <v>206</v>
      </c>
      <c r="BE315" s="248">
        <f>IF(N315="základní",J315,0)</f>
        <v>0</v>
      </c>
      <c r="BF315" s="248">
        <f>IF(N315="snížená",J315,0)</f>
        <v>0</v>
      </c>
      <c r="BG315" s="248">
        <f>IF(N315="zákl. přenesená",J315,0)</f>
        <v>0</v>
      </c>
      <c r="BH315" s="248">
        <f>IF(N315="sníž. přenesená",J315,0)</f>
        <v>0</v>
      </c>
      <c r="BI315" s="248">
        <f>IF(N315="nulová",J315,0)</f>
        <v>0</v>
      </c>
      <c r="BJ315" s="120" t="s">
        <v>18</v>
      </c>
      <c r="BK315" s="248">
        <f>ROUND(H315*I315,2)</f>
        <v>0</v>
      </c>
      <c r="BL315" s="120" t="s">
        <v>212</v>
      </c>
      <c r="BM315" s="247" t="s">
        <v>557</v>
      </c>
    </row>
    <row r="316" spans="2:51" s="249" customFormat="1" ht="12">
      <c r="B316" s="250"/>
      <c r="C316" s="133"/>
      <c r="D316" s="251" t="s">
        <v>214</v>
      </c>
      <c r="E316" s="252" t="s">
        <v>1</v>
      </c>
      <c r="F316" s="253" t="s">
        <v>112</v>
      </c>
      <c r="G316" s="254"/>
      <c r="H316" s="312"/>
      <c r="I316" s="255">
        <v>6.27</v>
      </c>
      <c r="J316" s="254"/>
      <c r="K316" s="254"/>
      <c r="L316" s="256"/>
      <c r="M316" s="257"/>
      <c r="N316" s="258"/>
      <c r="O316" s="258"/>
      <c r="P316" s="258"/>
      <c r="Q316" s="258"/>
      <c r="R316" s="258"/>
      <c r="S316" s="258"/>
      <c r="T316" s="259"/>
      <c r="AT316" s="260" t="s">
        <v>214</v>
      </c>
      <c r="AU316" s="260" t="s">
        <v>92</v>
      </c>
      <c r="AV316" s="249" t="s">
        <v>92</v>
      </c>
      <c r="AW316" s="249" t="s">
        <v>39</v>
      </c>
      <c r="AX316" s="249" t="s">
        <v>18</v>
      </c>
      <c r="AY316" s="260" t="s">
        <v>206</v>
      </c>
    </row>
    <row r="317" spans="2:63" s="218" customFormat="1" ht="20.85" customHeight="1">
      <c r="B317" s="219"/>
      <c r="C317" s="220"/>
      <c r="D317" s="221" t="s">
        <v>81</v>
      </c>
      <c r="E317" s="233" t="s">
        <v>558</v>
      </c>
      <c r="F317" s="233" t="s">
        <v>559</v>
      </c>
      <c r="G317" s="223"/>
      <c r="H317" s="315"/>
      <c r="I317" s="223"/>
      <c r="J317" s="234">
        <f>SUM(J318:J335)</f>
        <v>0</v>
      </c>
      <c r="K317" s="223"/>
      <c r="L317" s="225"/>
      <c r="M317" s="226"/>
      <c r="N317" s="227"/>
      <c r="O317" s="227"/>
      <c r="P317" s="228">
        <f>SUM(P318:P335)</f>
        <v>0</v>
      </c>
      <c r="Q317" s="227"/>
      <c r="R317" s="228">
        <f>SUM(R318:R335)</f>
        <v>0</v>
      </c>
      <c r="S317" s="227"/>
      <c r="T317" s="229">
        <f>SUM(T318:T335)</f>
        <v>0</v>
      </c>
      <c r="AR317" s="230" t="s">
        <v>18</v>
      </c>
      <c r="AT317" s="231" t="s">
        <v>81</v>
      </c>
      <c r="AU317" s="231" t="s">
        <v>92</v>
      </c>
      <c r="AY317" s="230" t="s">
        <v>206</v>
      </c>
      <c r="BK317" s="232">
        <f>SUM(BK318:BK335)</f>
        <v>0</v>
      </c>
    </row>
    <row r="318" spans="1:65" s="136" customFormat="1" ht="16.5" customHeight="1">
      <c r="A318" s="131"/>
      <c r="B318" s="132"/>
      <c r="C318" s="235">
        <f>C315+1</f>
        <v>96</v>
      </c>
      <c r="D318" s="236" t="s">
        <v>208</v>
      </c>
      <c r="E318" s="237"/>
      <c r="F318" s="238" t="s">
        <v>854</v>
      </c>
      <c r="G318" s="239" t="s">
        <v>560</v>
      </c>
      <c r="H318" s="72"/>
      <c r="I318" s="241">
        <v>1</v>
      </c>
      <c r="J318" s="240">
        <f aca="true" t="shared" si="45" ref="J318:J326">ROUND($H318*I318,2)</f>
        <v>0</v>
      </c>
      <c r="K318" s="242"/>
      <c r="L318" s="211"/>
      <c r="M318" s="243" t="s">
        <v>1</v>
      </c>
      <c r="N318" s="244" t="s">
        <v>47</v>
      </c>
      <c r="O318" s="245">
        <v>0</v>
      </c>
      <c r="P318" s="245">
        <f>O318*I318</f>
        <v>0</v>
      </c>
      <c r="Q318" s="245">
        <v>0</v>
      </c>
      <c r="R318" s="245">
        <f>Q318*I318</f>
        <v>0</v>
      </c>
      <c r="S318" s="245">
        <v>0</v>
      </c>
      <c r="T318" s="246">
        <f>S318*I318</f>
        <v>0</v>
      </c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R318" s="247" t="s">
        <v>212</v>
      </c>
      <c r="AT318" s="247" t="s">
        <v>208</v>
      </c>
      <c r="AU318" s="247" t="s">
        <v>219</v>
      </c>
      <c r="AY318" s="120" t="s">
        <v>206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120" t="s">
        <v>18</v>
      </c>
      <c r="BK318" s="248">
        <f aca="true" t="shared" si="46" ref="BK318:BK326">ROUND(H318*I318,2)</f>
        <v>0</v>
      </c>
      <c r="BL318" s="120" t="s">
        <v>212</v>
      </c>
      <c r="BM318" s="247" t="s">
        <v>561</v>
      </c>
    </row>
    <row r="319" spans="1:65" s="136" customFormat="1" ht="26.25" customHeight="1">
      <c r="A319" s="131"/>
      <c r="B319" s="132"/>
      <c r="C319" s="283">
        <f aca="true" t="shared" si="47" ref="C319:C323">C318+1</f>
        <v>97</v>
      </c>
      <c r="D319" s="236" t="s">
        <v>208</v>
      </c>
      <c r="E319" s="237"/>
      <c r="F319" s="238" t="s">
        <v>855</v>
      </c>
      <c r="G319" s="239" t="s">
        <v>560</v>
      </c>
      <c r="H319" s="72"/>
      <c r="I319" s="241">
        <v>1</v>
      </c>
      <c r="J319" s="240">
        <f t="shared" si="45"/>
        <v>0</v>
      </c>
      <c r="K319" s="242"/>
      <c r="L319" s="211"/>
      <c r="M319" s="243" t="s">
        <v>1</v>
      </c>
      <c r="N319" s="244" t="s">
        <v>47</v>
      </c>
      <c r="O319" s="245">
        <v>0</v>
      </c>
      <c r="P319" s="245">
        <f>O319*I319</f>
        <v>0</v>
      </c>
      <c r="Q319" s="245">
        <v>0</v>
      </c>
      <c r="R319" s="245">
        <f>Q319*I319</f>
        <v>0</v>
      </c>
      <c r="S319" s="245">
        <v>0</v>
      </c>
      <c r="T319" s="246">
        <f>S319*I319</f>
        <v>0</v>
      </c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R319" s="247" t="s">
        <v>212</v>
      </c>
      <c r="AT319" s="247" t="s">
        <v>208</v>
      </c>
      <c r="AU319" s="247" t="s">
        <v>219</v>
      </c>
      <c r="AY319" s="120" t="s">
        <v>206</v>
      </c>
      <c r="BE319" s="248">
        <f>IF(N319="základní",J319,0)</f>
        <v>0</v>
      </c>
      <c r="BF319" s="248">
        <f>IF(N319="snížená",J319,0)</f>
        <v>0</v>
      </c>
      <c r="BG319" s="248">
        <f>IF(N319="zákl. přenesená",J319,0)</f>
        <v>0</v>
      </c>
      <c r="BH319" s="248">
        <f>IF(N319="sníž. přenesená",J319,0)</f>
        <v>0</v>
      </c>
      <c r="BI319" s="248">
        <f>IF(N319="nulová",J319,0)</f>
        <v>0</v>
      </c>
      <c r="BJ319" s="120" t="s">
        <v>18</v>
      </c>
      <c r="BK319" s="248">
        <f t="shared" si="46"/>
        <v>0</v>
      </c>
      <c r="BL319" s="120" t="s">
        <v>212</v>
      </c>
      <c r="BM319" s="247" t="s">
        <v>562</v>
      </c>
    </row>
    <row r="320" spans="1:65" s="136" customFormat="1" ht="26.25" customHeight="1">
      <c r="A320" s="131"/>
      <c r="B320" s="132"/>
      <c r="C320" s="283">
        <f t="shared" si="47"/>
        <v>98</v>
      </c>
      <c r="D320" s="236" t="s">
        <v>208</v>
      </c>
      <c r="E320" s="237"/>
      <c r="F320" s="238" t="s">
        <v>867</v>
      </c>
      <c r="G320" s="239" t="s">
        <v>560</v>
      </c>
      <c r="H320" s="72"/>
      <c r="I320" s="241">
        <v>1</v>
      </c>
      <c r="J320" s="240">
        <f t="shared" si="45"/>
        <v>0</v>
      </c>
      <c r="K320" s="242"/>
      <c r="L320" s="211"/>
      <c r="M320" s="243" t="s">
        <v>1</v>
      </c>
      <c r="N320" s="244" t="s">
        <v>47</v>
      </c>
      <c r="O320" s="245">
        <v>0</v>
      </c>
      <c r="P320" s="245">
        <f>O320*I320</f>
        <v>0</v>
      </c>
      <c r="Q320" s="245">
        <v>0</v>
      </c>
      <c r="R320" s="245">
        <f>Q320*I320</f>
        <v>0</v>
      </c>
      <c r="S320" s="245">
        <v>0</v>
      </c>
      <c r="T320" s="246">
        <f>S320*I320</f>
        <v>0</v>
      </c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R320" s="247" t="s">
        <v>212</v>
      </c>
      <c r="AT320" s="247" t="s">
        <v>208</v>
      </c>
      <c r="AU320" s="247" t="s">
        <v>219</v>
      </c>
      <c r="AY320" s="120" t="s">
        <v>206</v>
      </c>
      <c r="BE320" s="248">
        <f>IF(N320="základní",J320,0)</f>
        <v>0</v>
      </c>
      <c r="BF320" s="248">
        <f>IF(N320="snížená",J320,0)</f>
        <v>0</v>
      </c>
      <c r="BG320" s="248">
        <f>IF(N320="zákl. přenesená",J320,0)</f>
        <v>0</v>
      </c>
      <c r="BH320" s="248">
        <f>IF(N320="sníž. přenesená",J320,0)</f>
        <v>0</v>
      </c>
      <c r="BI320" s="248">
        <f>IF(N320="nulová",J320,0)</f>
        <v>0</v>
      </c>
      <c r="BJ320" s="120" t="s">
        <v>18</v>
      </c>
      <c r="BK320" s="248">
        <f t="shared" si="46"/>
        <v>0</v>
      </c>
      <c r="BL320" s="120" t="s">
        <v>212</v>
      </c>
      <c r="BM320" s="247" t="s">
        <v>562</v>
      </c>
    </row>
    <row r="321" spans="1:65" s="136" customFormat="1" ht="26.25" customHeight="1">
      <c r="A321" s="131"/>
      <c r="B321" s="132"/>
      <c r="C321" s="283">
        <f t="shared" si="47"/>
        <v>99</v>
      </c>
      <c r="D321" s="236" t="s">
        <v>208</v>
      </c>
      <c r="E321" s="237"/>
      <c r="F321" s="238" t="s">
        <v>868</v>
      </c>
      <c r="G321" s="239" t="s">
        <v>560</v>
      </c>
      <c r="H321" s="72"/>
      <c r="I321" s="241">
        <v>1</v>
      </c>
      <c r="J321" s="240">
        <f t="shared" si="45"/>
        <v>0</v>
      </c>
      <c r="K321" s="242"/>
      <c r="L321" s="211"/>
      <c r="M321" s="243" t="s">
        <v>1</v>
      </c>
      <c r="N321" s="244" t="s">
        <v>47</v>
      </c>
      <c r="O321" s="245">
        <v>0</v>
      </c>
      <c r="P321" s="245">
        <f>O321*I321</f>
        <v>0</v>
      </c>
      <c r="Q321" s="245">
        <v>0</v>
      </c>
      <c r="R321" s="245">
        <f>Q321*I321</f>
        <v>0</v>
      </c>
      <c r="S321" s="245">
        <v>0</v>
      </c>
      <c r="T321" s="246">
        <f>S321*I321</f>
        <v>0</v>
      </c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R321" s="247" t="s">
        <v>212</v>
      </c>
      <c r="AT321" s="247" t="s">
        <v>208</v>
      </c>
      <c r="AU321" s="247" t="s">
        <v>219</v>
      </c>
      <c r="AY321" s="120" t="s">
        <v>206</v>
      </c>
      <c r="BE321" s="248">
        <f>IF(N321="základní",J321,0)</f>
        <v>0</v>
      </c>
      <c r="BF321" s="248">
        <f>IF(N321="snížená",J321,0)</f>
        <v>0</v>
      </c>
      <c r="BG321" s="248">
        <f>IF(N321="zákl. přenesená",J321,0)</f>
        <v>0</v>
      </c>
      <c r="BH321" s="248">
        <f>IF(N321="sníž. přenesená",J321,0)</f>
        <v>0</v>
      </c>
      <c r="BI321" s="248">
        <f>IF(N321="nulová",J321,0)</f>
        <v>0</v>
      </c>
      <c r="BJ321" s="120" t="s">
        <v>18</v>
      </c>
      <c r="BK321" s="248">
        <f t="shared" si="46"/>
        <v>0</v>
      </c>
      <c r="BL321" s="120" t="s">
        <v>212</v>
      </c>
      <c r="BM321" s="247" t="s">
        <v>562</v>
      </c>
    </row>
    <row r="322" spans="1:65" s="136" customFormat="1" ht="26.25" customHeight="1">
      <c r="A322" s="131"/>
      <c r="B322" s="132"/>
      <c r="C322" s="283">
        <f t="shared" si="47"/>
        <v>100</v>
      </c>
      <c r="D322" s="236"/>
      <c r="E322" s="237"/>
      <c r="F322" s="238" t="s">
        <v>890</v>
      </c>
      <c r="G322" s="239" t="s">
        <v>560</v>
      </c>
      <c r="H322" s="72"/>
      <c r="I322" s="241">
        <v>1</v>
      </c>
      <c r="J322" s="240">
        <f t="shared" si="45"/>
        <v>0</v>
      </c>
      <c r="K322" s="242"/>
      <c r="L322" s="211"/>
      <c r="M322" s="243"/>
      <c r="N322" s="244"/>
      <c r="O322" s="245"/>
      <c r="P322" s="245"/>
      <c r="Q322" s="245"/>
      <c r="R322" s="245"/>
      <c r="S322" s="245"/>
      <c r="T322" s="246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R322" s="247"/>
      <c r="AT322" s="247"/>
      <c r="AU322" s="247"/>
      <c r="AY322" s="120"/>
      <c r="BE322" s="248"/>
      <c r="BF322" s="248"/>
      <c r="BG322" s="248"/>
      <c r="BH322" s="248"/>
      <c r="BI322" s="248"/>
      <c r="BJ322" s="120"/>
      <c r="BK322" s="248">
        <f t="shared" si="46"/>
        <v>0</v>
      </c>
      <c r="BL322" s="120"/>
      <c r="BM322" s="247"/>
    </row>
    <row r="323" spans="1:65" s="136" customFormat="1" ht="26.25" customHeight="1">
      <c r="A323" s="131"/>
      <c r="B323" s="132"/>
      <c r="C323" s="283">
        <f t="shared" si="47"/>
        <v>101</v>
      </c>
      <c r="D323" s="236"/>
      <c r="E323" s="237"/>
      <c r="F323" s="238" t="s">
        <v>870</v>
      </c>
      <c r="G323" s="239" t="s">
        <v>560</v>
      </c>
      <c r="H323" s="72"/>
      <c r="I323" s="241">
        <v>1</v>
      </c>
      <c r="J323" s="240">
        <f t="shared" si="45"/>
        <v>0</v>
      </c>
      <c r="K323" s="242"/>
      <c r="L323" s="211"/>
      <c r="M323" s="243"/>
      <c r="N323" s="244"/>
      <c r="O323" s="245"/>
      <c r="P323" s="245"/>
      <c r="Q323" s="245"/>
      <c r="R323" s="245"/>
      <c r="S323" s="245"/>
      <c r="T323" s="246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R323" s="247"/>
      <c r="AT323" s="247"/>
      <c r="AU323" s="247"/>
      <c r="AY323" s="120"/>
      <c r="BE323" s="248"/>
      <c r="BF323" s="248"/>
      <c r="BG323" s="248"/>
      <c r="BH323" s="248"/>
      <c r="BI323" s="248"/>
      <c r="BJ323" s="120"/>
      <c r="BK323" s="248">
        <f t="shared" si="46"/>
        <v>0</v>
      </c>
      <c r="BL323" s="120"/>
      <c r="BM323" s="247"/>
    </row>
    <row r="324" spans="1:65" s="136" customFormat="1" ht="21.75" customHeight="1">
      <c r="A324" s="131"/>
      <c r="B324" s="132"/>
      <c r="C324" s="235">
        <f>C321+1</f>
        <v>100</v>
      </c>
      <c r="D324" s="236" t="s">
        <v>208</v>
      </c>
      <c r="E324" s="237"/>
      <c r="F324" s="238" t="s">
        <v>869</v>
      </c>
      <c r="G324" s="239" t="s">
        <v>560</v>
      </c>
      <c r="H324" s="72"/>
      <c r="I324" s="241">
        <v>1</v>
      </c>
      <c r="J324" s="240">
        <f t="shared" si="45"/>
        <v>0</v>
      </c>
      <c r="K324" s="242"/>
      <c r="L324" s="211"/>
      <c r="M324" s="243" t="s">
        <v>1</v>
      </c>
      <c r="N324" s="244" t="s">
        <v>47</v>
      </c>
      <c r="O324" s="245">
        <v>0</v>
      </c>
      <c r="P324" s="245">
        <f>O324*I324</f>
        <v>0</v>
      </c>
      <c r="Q324" s="245">
        <v>0</v>
      </c>
      <c r="R324" s="245">
        <f>Q324*I324</f>
        <v>0</v>
      </c>
      <c r="S324" s="245">
        <v>0</v>
      </c>
      <c r="T324" s="246">
        <f>S324*I324</f>
        <v>0</v>
      </c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R324" s="247" t="s">
        <v>212</v>
      </c>
      <c r="AT324" s="247" t="s">
        <v>208</v>
      </c>
      <c r="AU324" s="247" t="s">
        <v>219</v>
      </c>
      <c r="AY324" s="120" t="s">
        <v>206</v>
      </c>
      <c r="BE324" s="248">
        <f>IF(N324="základní",J324,0)</f>
        <v>0</v>
      </c>
      <c r="BF324" s="248">
        <f>IF(N324="snížená",J324,0)</f>
        <v>0</v>
      </c>
      <c r="BG324" s="248">
        <f>IF(N324="zákl. přenesená",J324,0)</f>
        <v>0</v>
      </c>
      <c r="BH324" s="248">
        <f>IF(N324="sníž. přenesená",J324,0)</f>
        <v>0</v>
      </c>
      <c r="BI324" s="248">
        <f>IF(N324="nulová",J324,0)</f>
        <v>0</v>
      </c>
      <c r="BJ324" s="120" t="s">
        <v>18</v>
      </c>
      <c r="BK324" s="248">
        <f t="shared" si="46"/>
        <v>0</v>
      </c>
      <c r="BL324" s="120" t="s">
        <v>212</v>
      </c>
      <c r="BM324" s="247" t="s">
        <v>563</v>
      </c>
    </row>
    <row r="325" spans="1:65" s="136" customFormat="1" ht="21.75" customHeight="1">
      <c r="A325" s="131"/>
      <c r="B325" s="132"/>
      <c r="C325" s="283">
        <f aca="true" t="shared" si="48" ref="C325:C326">C324+1</f>
        <v>101</v>
      </c>
      <c r="D325" s="236" t="s">
        <v>208</v>
      </c>
      <c r="E325" s="237"/>
      <c r="F325" s="238" t="s">
        <v>864</v>
      </c>
      <c r="G325" s="239" t="s">
        <v>560</v>
      </c>
      <c r="H325" s="72"/>
      <c r="I325" s="241">
        <v>1</v>
      </c>
      <c r="J325" s="240">
        <f t="shared" si="45"/>
        <v>0</v>
      </c>
      <c r="K325" s="242"/>
      <c r="L325" s="211"/>
      <c r="M325" s="243" t="s">
        <v>1</v>
      </c>
      <c r="N325" s="244" t="s">
        <v>47</v>
      </c>
      <c r="O325" s="245">
        <v>0</v>
      </c>
      <c r="P325" s="245">
        <f>O325*I325</f>
        <v>0</v>
      </c>
      <c r="Q325" s="245">
        <v>0</v>
      </c>
      <c r="R325" s="245">
        <f>Q325*I325</f>
        <v>0</v>
      </c>
      <c r="S325" s="245">
        <v>0</v>
      </c>
      <c r="T325" s="246">
        <f>S325*I325</f>
        <v>0</v>
      </c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R325" s="247" t="s">
        <v>212</v>
      </c>
      <c r="AT325" s="247" t="s">
        <v>208</v>
      </c>
      <c r="AU325" s="247" t="s">
        <v>219</v>
      </c>
      <c r="AY325" s="120" t="s">
        <v>206</v>
      </c>
      <c r="BE325" s="248">
        <f>IF(N325="základní",J325,0)</f>
        <v>0</v>
      </c>
      <c r="BF325" s="248">
        <f>IF(N325="snížená",J325,0)</f>
        <v>0</v>
      </c>
      <c r="BG325" s="248">
        <f>IF(N325="zákl. přenesená",J325,0)</f>
        <v>0</v>
      </c>
      <c r="BH325" s="248">
        <f>IF(N325="sníž. přenesená",J325,0)</f>
        <v>0</v>
      </c>
      <c r="BI325" s="248">
        <f>IF(N325="nulová",J325,0)</f>
        <v>0</v>
      </c>
      <c r="BJ325" s="120" t="s">
        <v>18</v>
      </c>
      <c r="BK325" s="248">
        <f t="shared" si="46"/>
        <v>0</v>
      </c>
      <c r="BL325" s="120" t="s">
        <v>212</v>
      </c>
      <c r="BM325" s="247" t="s">
        <v>564</v>
      </c>
    </row>
    <row r="326" spans="1:65" s="136" customFormat="1" ht="21.75" customHeight="1">
      <c r="A326" s="131"/>
      <c r="B326" s="132"/>
      <c r="C326" s="283">
        <f t="shared" si="48"/>
        <v>102</v>
      </c>
      <c r="D326" s="236" t="s">
        <v>208</v>
      </c>
      <c r="E326" s="237"/>
      <c r="F326" s="238" t="s">
        <v>859</v>
      </c>
      <c r="G326" s="239" t="s">
        <v>238</v>
      </c>
      <c r="H326" s="72"/>
      <c r="I326" s="241">
        <v>179</v>
      </c>
      <c r="J326" s="240">
        <f t="shared" si="45"/>
        <v>0</v>
      </c>
      <c r="K326" s="242"/>
      <c r="L326" s="211"/>
      <c r="M326" s="243" t="s">
        <v>1</v>
      </c>
      <c r="N326" s="244" t="s">
        <v>47</v>
      </c>
      <c r="O326" s="245">
        <v>0</v>
      </c>
      <c r="P326" s="245">
        <f>O326*I326</f>
        <v>0</v>
      </c>
      <c r="Q326" s="245">
        <v>0</v>
      </c>
      <c r="R326" s="245">
        <f>Q326*I326</f>
        <v>0</v>
      </c>
      <c r="S326" s="245">
        <v>0</v>
      </c>
      <c r="T326" s="246">
        <f>S326*I326</f>
        <v>0</v>
      </c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R326" s="247" t="s">
        <v>212</v>
      </c>
      <c r="AT326" s="247" t="s">
        <v>208</v>
      </c>
      <c r="AU326" s="247" t="s">
        <v>219</v>
      </c>
      <c r="AY326" s="120" t="s">
        <v>206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120" t="s">
        <v>18</v>
      </c>
      <c r="BK326" s="248">
        <f t="shared" si="46"/>
        <v>0</v>
      </c>
      <c r="BL326" s="120" t="s">
        <v>212</v>
      </c>
      <c r="BM326" s="247" t="s">
        <v>565</v>
      </c>
    </row>
    <row r="327" spans="2:51" s="249" customFormat="1" ht="12">
      <c r="B327" s="250"/>
      <c r="C327" s="133"/>
      <c r="D327" s="251" t="s">
        <v>214</v>
      </c>
      <c r="E327" s="252"/>
      <c r="F327" s="253" t="s">
        <v>142</v>
      </c>
      <c r="G327" s="254"/>
      <c r="H327" s="312"/>
      <c r="I327" s="255">
        <v>179</v>
      </c>
      <c r="J327" s="254"/>
      <c r="K327" s="254"/>
      <c r="L327" s="256"/>
      <c r="M327" s="257"/>
      <c r="N327" s="258"/>
      <c r="O327" s="258"/>
      <c r="P327" s="258"/>
      <c r="Q327" s="258"/>
      <c r="R327" s="258"/>
      <c r="S327" s="258"/>
      <c r="T327" s="259"/>
      <c r="AT327" s="260" t="s">
        <v>214</v>
      </c>
      <c r="AU327" s="260" t="s">
        <v>219</v>
      </c>
      <c r="AV327" s="249" t="s">
        <v>92</v>
      </c>
      <c r="AW327" s="249" t="s">
        <v>39</v>
      </c>
      <c r="AX327" s="249" t="s">
        <v>18</v>
      </c>
      <c r="AY327" s="260" t="s">
        <v>206</v>
      </c>
    </row>
    <row r="328" spans="1:65" s="136" customFormat="1" ht="26.25" customHeight="1">
      <c r="A328" s="131"/>
      <c r="B328" s="132"/>
      <c r="C328" s="283">
        <f>C326+1</f>
        <v>103</v>
      </c>
      <c r="D328" s="236" t="s">
        <v>208</v>
      </c>
      <c r="E328" s="237"/>
      <c r="F328" s="238" t="s">
        <v>566</v>
      </c>
      <c r="G328" s="239" t="s">
        <v>376</v>
      </c>
      <c r="H328" s="72"/>
      <c r="I328" s="241">
        <v>10</v>
      </c>
      <c r="J328" s="240">
        <f aca="true" t="shared" si="49" ref="J328:J329">ROUND($H328*I328,2)</f>
        <v>0</v>
      </c>
      <c r="K328" s="242"/>
      <c r="L328" s="211"/>
      <c r="M328" s="243" t="s">
        <v>1</v>
      </c>
      <c r="N328" s="244" t="s">
        <v>47</v>
      </c>
      <c r="O328" s="245">
        <v>0</v>
      </c>
      <c r="P328" s="245">
        <f>O328*I328</f>
        <v>0</v>
      </c>
      <c r="Q328" s="245">
        <v>0</v>
      </c>
      <c r="R328" s="245">
        <f>Q328*I328</f>
        <v>0</v>
      </c>
      <c r="S328" s="245">
        <v>0</v>
      </c>
      <c r="T328" s="246">
        <f>S328*I328</f>
        <v>0</v>
      </c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R328" s="247" t="s">
        <v>212</v>
      </c>
      <c r="AT328" s="247" t="s">
        <v>208</v>
      </c>
      <c r="AU328" s="247" t="s">
        <v>219</v>
      </c>
      <c r="AY328" s="120" t="s">
        <v>206</v>
      </c>
      <c r="BE328" s="248">
        <f>IF(N328="základní",J328,0)</f>
        <v>0</v>
      </c>
      <c r="BF328" s="248">
        <f>IF(N328="snížená",J328,0)</f>
        <v>0</v>
      </c>
      <c r="BG328" s="248">
        <f>IF(N328="zákl. přenesená",J328,0)</f>
        <v>0</v>
      </c>
      <c r="BH328" s="248">
        <f>IF(N328="sníž. přenesená",J328,0)</f>
        <v>0</v>
      </c>
      <c r="BI328" s="248">
        <f>IF(N328="nulová",J328,0)</f>
        <v>0</v>
      </c>
      <c r="BJ328" s="120" t="s">
        <v>18</v>
      </c>
      <c r="BK328" s="248">
        <f>ROUND(H328*I328,2)</f>
        <v>0</v>
      </c>
      <c r="BL328" s="120" t="s">
        <v>212</v>
      </c>
      <c r="BM328" s="247" t="s">
        <v>567</v>
      </c>
    </row>
    <row r="329" spans="1:65" s="136" customFormat="1" ht="26.25" customHeight="1">
      <c r="A329" s="131"/>
      <c r="B329" s="132"/>
      <c r="C329" s="283">
        <f>C328+1</f>
        <v>104</v>
      </c>
      <c r="D329" s="236" t="s">
        <v>208</v>
      </c>
      <c r="E329" s="237"/>
      <c r="F329" s="238" t="s">
        <v>568</v>
      </c>
      <c r="G329" s="239" t="s">
        <v>380</v>
      </c>
      <c r="H329" s="72"/>
      <c r="I329" s="241">
        <v>6</v>
      </c>
      <c r="J329" s="240">
        <f t="shared" si="49"/>
        <v>0</v>
      </c>
      <c r="K329" s="242"/>
      <c r="L329" s="211"/>
      <c r="M329" s="243" t="s">
        <v>1</v>
      </c>
      <c r="N329" s="244" t="s">
        <v>47</v>
      </c>
      <c r="O329" s="245">
        <v>0</v>
      </c>
      <c r="P329" s="245">
        <f>O329*I329</f>
        <v>0</v>
      </c>
      <c r="Q329" s="245">
        <v>0</v>
      </c>
      <c r="R329" s="245">
        <f>Q329*I329</f>
        <v>0</v>
      </c>
      <c r="S329" s="245">
        <v>0</v>
      </c>
      <c r="T329" s="246">
        <f>S329*I329</f>
        <v>0</v>
      </c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R329" s="247" t="s">
        <v>212</v>
      </c>
      <c r="AT329" s="247" t="s">
        <v>208</v>
      </c>
      <c r="AU329" s="247" t="s">
        <v>219</v>
      </c>
      <c r="AY329" s="120" t="s">
        <v>206</v>
      </c>
      <c r="BE329" s="248">
        <f>IF(N329="základní",J329,0)</f>
        <v>0</v>
      </c>
      <c r="BF329" s="248">
        <f>IF(N329="snížená",J329,0)</f>
        <v>0</v>
      </c>
      <c r="BG329" s="248">
        <f>IF(N329="zákl. přenesená",J329,0)</f>
        <v>0</v>
      </c>
      <c r="BH329" s="248">
        <f>IF(N329="sníž. přenesená",J329,0)</f>
        <v>0</v>
      </c>
      <c r="BI329" s="248">
        <f>IF(N329="nulová",J329,0)</f>
        <v>0</v>
      </c>
      <c r="BJ329" s="120" t="s">
        <v>18</v>
      </c>
      <c r="BK329" s="248">
        <f>ROUND(H329*I329,2)</f>
        <v>0</v>
      </c>
      <c r="BL329" s="120" t="s">
        <v>212</v>
      </c>
      <c r="BM329" s="247" t="s">
        <v>569</v>
      </c>
    </row>
    <row r="330" spans="2:51" s="249" customFormat="1" ht="12">
      <c r="B330" s="250"/>
      <c r="C330" s="133"/>
      <c r="D330" s="251" t="s">
        <v>214</v>
      </c>
      <c r="E330" s="252"/>
      <c r="F330" s="253" t="s">
        <v>570</v>
      </c>
      <c r="G330" s="254"/>
      <c r="H330" s="312"/>
      <c r="I330" s="255"/>
      <c r="J330" s="254"/>
      <c r="K330" s="254"/>
      <c r="L330" s="256"/>
      <c r="M330" s="257"/>
      <c r="N330" s="258"/>
      <c r="O330" s="258"/>
      <c r="P330" s="258"/>
      <c r="Q330" s="258"/>
      <c r="R330" s="258"/>
      <c r="S330" s="258"/>
      <c r="T330" s="259"/>
      <c r="AT330" s="260" t="s">
        <v>214</v>
      </c>
      <c r="AU330" s="260" t="s">
        <v>219</v>
      </c>
      <c r="AV330" s="249" t="s">
        <v>92</v>
      </c>
      <c r="AW330" s="249" t="s">
        <v>39</v>
      </c>
      <c r="AX330" s="249" t="s">
        <v>18</v>
      </c>
      <c r="AY330" s="260" t="s">
        <v>206</v>
      </c>
    </row>
    <row r="331" spans="1:65" s="136" customFormat="1" ht="21.75" customHeight="1">
      <c r="A331" s="131"/>
      <c r="B331" s="132"/>
      <c r="C331" s="283">
        <f>C329+1</f>
        <v>105</v>
      </c>
      <c r="D331" s="236" t="s">
        <v>208</v>
      </c>
      <c r="E331" s="237"/>
      <c r="F331" s="238" t="s">
        <v>571</v>
      </c>
      <c r="G331" s="239" t="s">
        <v>560</v>
      </c>
      <c r="H331" s="72"/>
      <c r="I331" s="241">
        <v>4</v>
      </c>
      <c r="J331" s="240">
        <f>ROUND($H331*I331,2)</f>
        <v>0</v>
      </c>
      <c r="K331" s="242"/>
      <c r="L331" s="211"/>
      <c r="M331" s="243" t="s">
        <v>1</v>
      </c>
      <c r="N331" s="244" t="s">
        <v>47</v>
      </c>
      <c r="O331" s="245">
        <v>0</v>
      </c>
      <c r="P331" s="245">
        <f>O331*I331</f>
        <v>0</v>
      </c>
      <c r="Q331" s="245">
        <v>0</v>
      </c>
      <c r="R331" s="245">
        <f>Q331*I331</f>
        <v>0</v>
      </c>
      <c r="S331" s="245">
        <v>0</v>
      </c>
      <c r="T331" s="246">
        <f>S331*I331</f>
        <v>0</v>
      </c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R331" s="247" t="s">
        <v>212</v>
      </c>
      <c r="AT331" s="247" t="s">
        <v>208</v>
      </c>
      <c r="AU331" s="247" t="s">
        <v>219</v>
      </c>
      <c r="AY331" s="120" t="s">
        <v>206</v>
      </c>
      <c r="BE331" s="248">
        <f>IF(N331="základní",J331,0)</f>
        <v>0</v>
      </c>
      <c r="BF331" s="248">
        <f>IF(N331="snížená",J331,0)</f>
        <v>0</v>
      </c>
      <c r="BG331" s="248">
        <f>IF(N331="zákl. přenesená",J331,0)</f>
        <v>0</v>
      </c>
      <c r="BH331" s="248">
        <f>IF(N331="sníž. přenesená",J331,0)</f>
        <v>0</v>
      </c>
      <c r="BI331" s="248">
        <f>IF(N331="nulová",J331,0)</f>
        <v>0</v>
      </c>
      <c r="BJ331" s="120" t="s">
        <v>18</v>
      </c>
      <c r="BK331" s="248">
        <f>ROUND(H331*I331,2)</f>
        <v>0</v>
      </c>
      <c r="BL331" s="120" t="s">
        <v>212</v>
      </c>
      <c r="BM331" s="247" t="s">
        <v>572</v>
      </c>
    </row>
    <row r="332" spans="2:51" s="249" customFormat="1" ht="12">
      <c r="B332" s="250"/>
      <c r="C332" s="133"/>
      <c r="D332" s="251" t="s">
        <v>214</v>
      </c>
      <c r="E332" s="252"/>
      <c r="F332" s="253" t="s">
        <v>573</v>
      </c>
      <c r="G332" s="254"/>
      <c r="H332" s="312"/>
      <c r="I332" s="255">
        <v>4</v>
      </c>
      <c r="J332" s="254"/>
      <c r="K332" s="254"/>
      <c r="L332" s="256"/>
      <c r="M332" s="257"/>
      <c r="N332" s="258"/>
      <c r="O332" s="258"/>
      <c r="P332" s="258"/>
      <c r="Q332" s="258"/>
      <c r="R332" s="258"/>
      <c r="S332" s="258"/>
      <c r="T332" s="259"/>
      <c r="AT332" s="260" t="s">
        <v>214</v>
      </c>
      <c r="AU332" s="260" t="s">
        <v>219</v>
      </c>
      <c r="AV332" s="249" t="s">
        <v>92</v>
      </c>
      <c r="AW332" s="249" t="s">
        <v>39</v>
      </c>
      <c r="AX332" s="249" t="s">
        <v>18</v>
      </c>
      <c r="AY332" s="260" t="s">
        <v>206</v>
      </c>
    </row>
    <row r="333" spans="1:65" s="300" customFormat="1" ht="26.25" customHeight="1">
      <c r="A333" s="134"/>
      <c r="B333" s="132"/>
      <c r="C333" s="283">
        <f>C331+1</f>
        <v>106</v>
      </c>
      <c r="D333" s="236" t="s">
        <v>208</v>
      </c>
      <c r="E333" s="237"/>
      <c r="F333" s="238" t="s">
        <v>911</v>
      </c>
      <c r="G333" s="239" t="s">
        <v>376</v>
      </c>
      <c r="H333" s="72"/>
      <c r="I333" s="241">
        <v>10</v>
      </c>
      <c r="J333" s="240">
        <f>ROUND($H333*I333,2)</f>
        <v>0</v>
      </c>
      <c r="K333" s="242"/>
      <c r="L333" s="132"/>
      <c r="M333" s="296" t="s">
        <v>1</v>
      </c>
      <c r="N333" s="297" t="s">
        <v>47</v>
      </c>
      <c r="O333" s="298">
        <v>0</v>
      </c>
      <c r="P333" s="298">
        <f>O333*I333</f>
        <v>0</v>
      </c>
      <c r="Q333" s="298">
        <v>0</v>
      </c>
      <c r="R333" s="298">
        <f>Q333*I333</f>
        <v>0</v>
      </c>
      <c r="S333" s="298">
        <v>0</v>
      </c>
      <c r="T333" s="299">
        <f>S333*I333</f>
        <v>0</v>
      </c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R333" s="301" t="s">
        <v>212</v>
      </c>
      <c r="AT333" s="301" t="s">
        <v>208</v>
      </c>
      <c r="AU333" s="301" t="s">
        <v>219</v>
      </c>
      <c r="AY333" s="302" t="s">
        <v>206</v>
      </c>
      <c r="BE333" s="303">
        <f aca="true" t="shared" si="50" ref="BE333">IF(N333="základní",J333,0)</f>
        <v>0</v>
      </c>
      <c r="BF333" s="303">
        <f aca="true" t="shared" si="51" ref="BF333">IF(N333="snížená",J333,0)</f>
        <v>0</v>
      </c>
      <c r="BG333" s="303">
        <f aca="true" t="shared" si="52" ref="BG333">IF(N333="zákl. přenesená",J333,0)</f>
        <v>0</v>
      </c>
      <c r="BH333" s="303">
        <f aca="true" t="shared" si="53" ref="BH333">IF(N333="sníž. přenesená",J333,0)</f>
        <v>0</v>
      </c>
      <c r="BI333" s="303">
        <f aca="true" t="shared" si="54" ref="BI333">IF(N333="nulová",J333,0)</f>
        <v>0</v>
      </c>
      <c r="BJ333" s="302" t="s">
        <v>18</v>
      </c>
      <c r="BK333" s="303">
        <f>ROUND(H333*I333,2)</f>
        <v>0</v>
      </c>
      <c r="BL333" s="302" t="s">
        <v>212</v>
      </c>
      <c r="BM333" s="301" t="s">
        <v>842</v>
      </c>
    </row>
    <row r="334" spans="1:65" s="136" customFormat="1" ht="21.75" customHeight="1">
      <c r="A334" s="131"/>
      <c r="B334" s="132"/>
      <c r="C334" s="283">
        <f aca="true" t="shared" si="55" ref="C334:C335">C333+1</f>
        <v>107</v>
      </c>
      <c r="D334" s="236" t="s">
        <v>208</v>
      </c>
      <c r="E334" s="237"/>
      <c r="F334" s="238" t="s">
        <v>856</v>
      </c>
      <c r="G334" s="239" t="s">
        <v>560</v>
      </c>
      <c r="H334" s="72"/>
      <c r="I334" s="241">
        <v>1</v>
      </c>
      <c r="J334" s="240">
        <f>ROUND($H334*I334,2)</f>
        <v>0</v>
      </c>
      <c r="K334" s="242"/>
      <c r="L334" s="211"/>
      <c r="M334" s="243" t="s">
        <v>1</v>
      </c>
      <c r="N334" s="244" t="s">
        <v>47</v>
      </c>
      <c r="O334" s="245">
        <v>0</v>
      </c>
      <c r="P334" s="245">
        <f>O334*I334</f>
        <v>0</v>
      </c>
      <c r="Q334" s="245">
        <v>0</v>
      </c>
      <c r="R334" s="245">
        <f>Q334*I334</f>
        <v>0</v>
      </c>
      <c r="S334" s="245">
        <v>0</v>
      </c>
      <c r="T334" s="246">
        <f>S334*I334</f>
        <v>0</v>
      </c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R334" s="247" t="s">
        <v>212</v>
      </c>
      <c r="AT334" s="247" t="s">
        <v>208</v>
      </c>
      <c r="AU334" s="247" t="s">
        <v>219</v>
      </c>
      <c r="AY334" s="120" t="s">
        <v>206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120" t="s">
        <v>18</v>
      </c>
      <c r="BK334" s="248">
        <f>ROUND(H334*I334,2)</f>
        <v>0</v>
      </c>
      <c r="BL334" s="120" t="s">
        <v>212</v>
      </c>
      <c r="BM334" s="247" t="s">
        <v>574</v>
      </c>
    </row>
    <row r="335" spans="1:65" s="136" customFormat="1" ht="21.75" customHeight="1">
      <c r="A335" s="131"/>
      <c r="B335" s="132"/>
      <c r="C335" s="283">
        <f t="shared" si="55"/>
        <v>108</v>
      </c>
      <c r="D335" s="236" t="s">
        <v>208</v>
      </c>
      <c r="E335" s="237"/>
      <c r="F335" s="238" t="s">
        <v>929</v>
      </c>
      <c r="G335" s="239" t="s">
        <v>560</v>
      </c>
      <c r="H335" s="72"/>
      <c r="I335" s="241">
        <v>1</v>
      </c>
      <c r="J335" s="240">
        <f>ROUND($H335*I335,2)</f>
        <v>0</v>
      </c>
      <c r="K335" s="242"/>
      <c r="L335" s="211"/>
      <c r="M335" s="243" t="s">
        <v>1</v>
      </c>
      <c r="N335" s="244" t="s">
        <v>47</v>
      </c>
      <c r="O335" s="245">
        <v>0</v>
      </c>
      <c r="P335" s="245">
        <f>O335*I335</f>
        <v>0</v>
      </c>
      <c r="Q335" s="245">
        <v>0</v>
      </c>
      <c r="R335" s="245">
        <f>Q335*I335</f>
        <v>0</v>
      </c>
      <c r="S335" s="245">
        <v>0</v>
      </c>
      <c r="T335" s="246">
        <f>S335*I335</f>
        <v>0</v>
      </c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R335" s="247" t="s">
        <v>212</v>
      </c>
      <c r="AT335" s="247" t="s">
        <v>208</v>
      </c>
      <c r="AU335" s="247" t="s">
        <v>219</v>
      </c>
      <c r="AY335" s="120" t="s">
        <v>206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120" t="s">
        <v>18</v>
      </c>
      <c r="BK335" s="248">
        <f>ROUND(H335*I335,2)</f>
        <v>0</v>
      </c>
      <c r="BL335" s="120" t="s">
        <v>212</v>
      </c>
      <c r="BM335" s="247" t="s">
        <v>574</v>
      </c>
    </row>
    <row r="336" spans="2:63" s="218" customFormat="1" ht="22.9" customHeight="1">
      <c r="B336" s="219"/>
      <c r="C336" s="220"/>
      <c r="D336" s="221" t="s">
        <v>81</v>
      </c>
      <c r="E336" s="233" t="s">
        <v>575</v>
      </c>
      <c r="F336" s="233" t="s">
        <v>576</v>
      </c>
      <c r="G336" s="223"/>
      <c r="H336" s="315"/>
      <c r="I336" s="223"/>
      <c r="J336" s="234">
        <f>SUM(J337:J343)</f>
        <v>0</v>
      </c>
      <c r="K336" s="223"/>
      <c r="L336" s="225"/>
      <c r="M336" s="226"/>
      <c r="N336" s="227"/>
      <c r="O336" s="227"/>
      <c r="P336" s="228">
        <f>P337</f>
        <v>2.98989</v>
      </c>
      <c r="Q336" s="227"/>
      <c r="R336" s="228">
        <f>R337</f>
        <v>0</v>
      </c>
      <c r="S336" s="227"/>
      <c r="T336" s="229">
        <f>T337</f>
        <v>0</v>
      </c>
      <c r="AR336" s="230" t="s">
        <v>18</v>
      </c>
      <c r="AT336" s="231" t="s">
        <v>81</v>
      </c>
      <c r="AU336" s="231" t="s">
        <v>18</v>
      </c>
      <c r="AY336" s="230" t="s">
        <v>206</v>
      </c>
      <c r="BK336" s="232">
        <f>BK337</f>
        <v>0</v>
      </c>
    </row>
    <row r="337" spans="1:65" s="136" customFormat="1" ht="21.75" customHeight="1">
      <c r="A337" s="131"/>
      <c r="B337" s="132"/>
      <c r="C337" s="283">
        <f>C335+1</f>
        <v>109</v>
      </c>
      <c r="D337" s="236" t="s">
        <v>208</v>
      </c>
      <c r="E337" s="237"/>
      <c r="F337" s="238" t="s">
        <v>858</v>
      </c>
      <c r="G337" s="239" t="s">
        <v>325</v>
      </c>
      <c r="H337" s="72"/>
      <c r="I337" s="241">
        <f>I338</f>
        <v>99.663</v>
      </c>
      <c r="J337" s="240">
        <f>ROUND($H337*I337,2)</f>
        <v>0</v>
      </c>
      <c r="K337" s="242"/>
      <c r="L337" s="211"/>
      <c r="M337" s="243" t="s">
        <v>1</v>
      </c>
      <c r="N337" s="244" t="s">
        <v>47</v>
      </c>
      <c r="O337" s="245">
        <v>0.03</v>
      </c>
      <c r="P337" s="245">
        <f>O337*I337</f>
        <v>2.98989</v>
      </c>
      <c r="Q337" s="245">
        <v>0</v>
      </c>
      <c r="R337" s="245">
        <f>Q337*I337</f>
        <v>0</v>
      </c>
      <c r="S337" s="245">
        <v>0</v>
      </c>
      <c r="T337" s="246">
        <f>S337*I337</f>
        <v>0</v>
      </c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R337" s="247" t="s">
        <v>212</v>
      </c>
      <c r="AT337" s="247" t="s">
        <v>208</v>
      </c>
      <c r="AU337" s="247" t="s">
        <v>92</v>
      </c>
      <c r="AY337" s="120" t="s">
        <v>206</v>
      </c>
      <c r="BE337" s="248">
        <f>IF(N337="základní",J337,0)</f>
        <v>0</v>
      </c>
      <c r="BF337" s="248">
        <f>IF(N337="snížená",J337,0)</f>
        <v>0</v>
      </c>
      <c r="BG337" s="248">
        <f>IF(N337="zákl. přenesená",J337,0)</f>
        <v>0</v>
      </c>
      <c r="BH337" s="248">
        <f>IF(N337="sníž. přenesená",J337,0)</f>
        <v>0</v>
      </c>
      <c r="BI337" s="248">
        <f>IF(N337="nulová",J337,0)</f>
        <v>0</v>
      </c>
      <c r="BJ337" s="120" t="s">
        <v>18</v>
      </c>
      <c r="BK337" s="248">
        <f>ROUND(H337*I337,2)</f>
        <v>0</v>
      </c>
      <c r="BL337" s="120" t="s">
        <v>212</v>
      </c>
      <c r="BM337" s="247" t="s">
        <v>577</v>
      </c>
    </row>
    <row r="338" spans="2:51" s="249" customFormat="1" ht="12">
      <c r="B338" s="250"/>
      <c r="C338" s="133"/>
      <c r="D338" s="251" t="s">
        <v>214</v>
      </c>
      <c r="E338" s="252" t="s">
        <v>1</v>
      </c>
      <c r="F338" s="253" t="s">
        <v>866</v>
      </c>
      <c r="G338" s="254"/>
      <c r="H338" s="312"/>
      <c r="I338" s="255">
        <f>239*0.417</f>
        <v>99.663</v>
      </c>
      <c r="J338" s="254"/>
      <c r="K338" s="254"/>
      <c r="L338" s="256"/>
      <c r="M338" s="257"/>
      <c r="N338" s="258"/>
      <c r="O338" s="258"/>
      <c r="P338" s="258"/>
      <c r="Q338" s="258"/>
      <c r="R338" s="258"/>
      <c r="S338" s="258"/>
      <c r="T338" s="259"/>
      <c r="AT338" s="260" t="s">
        <v>214</v>
      </c>
      <c r="AU338" s="260" t="s">
        <v>219</v>
      </c>
      <c r="AV338" s="249" t="s">
        <v>92</v>
      </c>
      <c r="AW338" s="249" t="s">
        <v>39</v>
      </c>
      <c r="AX338" s="249" t="s">
        <v>18</v>
      </c>
      <c r="AY338" s="260" t="s">
        <v>206</v>
      </c>
    </row>
    <row r="339" spans="1:65" s="136" customFormat="1" ht="39.75" customHeight="1">
      <c r="A339" s="131"/>
      <c r="B339" s="132"/>
      <c r="C339" s="283">
        <f>C337+1</f>
        <v>110</v>
      </c>
      <c r="D339" s="236" t="s">
        <v>208</v>
      </c>
      <c r="E339" s="237"/>
      <c r="F339" s="238" t="s">
        <v>881</v>
      </c>
      <c r="G339" s="239" t="s">
        <v>325</v>
      </c>
      <c r="H339" s="72"/>
      <c r="I339" s="241">
        <f>I340</f>
        <v>66.4495</v>
      </c>
      <c r="J339" s="240">
        <f>ROUND($H339*I339,2)</f>
        <v>0</v>
      </c>
      <c r="K339" s="242"/>
      <c r="L339" s="211"/>
      <c r="M339" s="243" t="s">
        <v>1</v>
      </c>
      <c r="N339" s="244" t="s">
        <v>47</v>
      </c>
      <c r="O339" s="245">
        <v>0.03</v>
      </c>
      <c r="P339" s="245">
        <f>O339*I339</f>
        <v>1.993485</v>
      </c>
      <c r="Q339" s="245">
        <v>0</v>
      </c>
      <c r="R339" s="245">
        <f>Q339*I339</f>
        <v>0</v>
      </c>
      <c r="S339" s="245">
        <v>0</v>
      </c>
      <c r="T339" s="246">
        <f>S339*I339</f>
        <v>0</v>
      </c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R339" s="247" t="s">
        <v>212</v>
      </c>
      <c r="AT339" s="247" t="s">
        <v>208</v>
      </c>
      <c r="AU339" s="247" t="s">
        <v>92</v>
      </c>
      <c r="AY339" s="120" t="s">
        <v>206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120" t="s">
        <v>18</v>
      </c>
      <c r="BK339" s="248">
        <f>ROUND(H339*I339,2)</f>
        <v>0</v>
      </c>
      <c r="BL339" s="120" t="s">
        <v>212</v>
      </c>
      <c r="BM339" s="247" t="s">
        <v>577</v>
      </c>
    </row>
    <row r="340" spans="2:51" s="249" customFormat="1" ht="12">
      <c r="B340" s="250"/>
      <c r="C340" s="133"/>
      <c r="D340" s="251" t="s">
        <v>214</v>
      </c>
      <c r="E340" s="252"/>
      <c r="F340" s="253" t="s">
        <v>880</v>
      </c>
      <c r="G340" s="254"/>
      <c r="H340" s="312"/>
      <c r="I340" s="255">
        <f>SUM(T160,T211)</f>
        <v>66.4495</v>
      </c>
      <c r="J340" s="254"/>
      <c r="K340" s="254"/>
      <c r="L340" s="256"/>
      <c r="M340" s="257"/>
      <c r="N340" s="258"/>
      <c r="O340" s="258"/>
      <c r="P340" s="258"/>
      <c r="Q340" s="258"/>
      <c r="R340" s="258"/>
      <c r="S340" s="258"/>
      <c r="T340" s="259"/>
      <c r="AT340" s="260" t="s">
        <v>214</v>
      </c>
      <c r="AU340" s="260" t="s">
        <v>219</v>
      </c>
      <c r="AV340" s="249" t="s">
        <v>92</v>
      </c>
      <c r="AW340" s="249" t="s">
        <v>39</v>
      </c>
      <c r="AX340" s="249" t="s">
        <v>18</v>
      </c>
      <c r="AY340" s="260" t="s">
        <v>206</v>
      </c>
    </row>
    <row r="341" spans="1:65" s="136" customFormat="1" ht="37.5" customHeight="1">
      <c r="A341" s="131"/>
      <c r="B341" s="132"/>
      <c r="C341" s="283">
        <f>C339+1</f>
        <v>111</v>
      </c>
      <c r="D341" s="236" t="s">
        <v>208</v>
      </c>
      <c r="E341" s="237"/>
      <c r="F341" s="238" t="s">
        <v>881</v>
      </c>
      <c r="G341" s="239" t="s">
        <v>325</v>
      </c>
      <c r="H341" s="72"/>
      <c r="I341" s="241">
        <f>I342</f>
        <v>31.206400000000002</v>
      </c>
      <c r="J341" s="240">
        <f>ROUND($H341*I341,2)</f>
        <v>0</v>
      </c>
      <c r="K341" s="242"/>
      <c r="L341" s="211"/>
      <c r="M341" s="243" t="s">
        <v>1</v>
      </c>
      <c r="N341" s="244" t="s">
        <v>47</v>
      </c>
      <c r="O341" s="245">
        <v>0.03</v>
      </c>
      <c r="P341" s="245">
        <f>O341*I341</f>
        <v>0.936192</v>
      </c>
      <c r="Q341" s="245">
        <v>0</v>
      </c>
      <c r="R341" s="245">
        <f>Q341*I341</f>
        <v>0</v>
      </c>
      <c r="S341" s="245">
        <v>0</v>
      </c>
      <c r="T341" s="246">
        <f>S341*I341</f>
        <v>0</v>
      </c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R341" s="247" t="s">
        <v>212</v>
      </c>
      <c r="AT341" s="247" t="s">
        <v>208</v>
      </c>
      <c r="AU341" s="247" t="s">
        <v>92</v>
      </c>
      <c r="AY341" s="120" t="s">
        <v>206</v>
      </c>
      <c r="BE341" s="248">
        <f>IF(N341="základní",J341,0)</f>
        <v>0</v>
      </c>
      <c r="BF341" s="248">
        <f>IF(N341="snížená",J341,0)</f>
        <v>0</v>
      </c>
      <c r="BG341" s="248">
        <f>IF(N341="zákl. přenesená",J341,0)</f>
        <v>0</v>
      </c>
      <c r="BH341" s="248">
        <f>IF(N341="sníž. přenesená",J341,0)</f>
        <v>0</v>
      </c>
      <c r="BI341" s="248">
        <f>IF(N341="nulová",J341,0)</f>
        <v>0</v>
      </c>
      <c r="BJ341" s="120" t="s">
        <v>18</v>
      </c>
      <c r="BK341" s="248">
        <f>ROUND(H341*I341,2)</f>
        <v>0</v>
      </c>
      <c r="BL341" s="120" t="s">
        <v>212</v>
      </c>
      <c r="BM341" s="247" t="s">
        <v>577</v>
      </c>
    </row>
    <row r="342" spans="2:51" s="249" customFormat="1" ht="12">
      <c r="B342" s="250"/>
      <c r="C342" s="133"/>
      <c r="D342" s="251" t="s">
        <v>214</v>
      </c>
      <c r="E342" s="252" t="s">
        <v>1</v>
      </c>
      <c r="F342" s="253" t="s">
        <v>882</v>
      </c>
      <c r="G342" s="254"/>
      <c r="H342" s="312"/>
      <c r="I342" s="255">
        <f>T158</f>
        <v>31.206400000000002</v>
      </c>
      <c r="J342" s="254"/>
      <c r="K342" s="254"/>
      <c r="L342" s="256"/>
      <c r="M342" s="257"/>
      <c r="N342" s="258"/>
      <c r="O342" s="258"/>
      <c r="P342" s="258"/>
      <c r="Q342" s="258"/>
      <c r="R342" s="258"/>
      <c r="S342" s="258"/>
      <c r="T342" s="259"/>
      <c r="AT342" s="260" t="s">
        <v>214</v>
      </c>
      <c r="AU342" s="260" t="s">
        <v>219</v>
      </c>
      <c r="AV342" s="249" t="s">
        <v>92</v>
      </c>
      <c r="AW342" s="249" t="s">
        <v>39</v>
      </c>
      <c r="AX342" s="249" t="s">
        <v>18</v>
      </c>
      <c r="AY342" s="260" t="s">
        <v>206</v>
      </c>
    </row>
    <row r="343" spans="1:65" s="136" customFormat="1" ht="39.75" customHeight="1">
      <c r="A343" s="131"/>
      <c r="B343" s="132"/>
      <c r="C343" s="283">
        <f>C341+1</f>
        <v>112</v>
      </c>
      <c r="D343" s="236" t="s">
        <v>208</v>
      </c>
      <c r="E343" s="237"/>
      <c r="F343" s="238" t="s">
        <v>888</v>
      </c>
      <c r="G343" s="239" t="s">
        <v>325</v>
      </c>
      <c r="H343" s="72"/>
      <c r="I343" s="241">
        <f>I344</f>
        <v>49.0965</v>
      </c>
      <c r="J343" s="240">
        <f>ROUND($H343*I343,2)</f>
        <v>0</v>
      </c>
      <c r="K343" s="242"/>
      <c r="L343" s="211"/>
      <c r="M343" s="243" t="s">
        <v>1</v>
      </c>
      <c r="N343" s="244" t="s">
        <v>47</v>
      </c>
      <c r="O343" s="245">
        <v>0.03</v>
      </c>
      <c r="P343" s="245">
        <f>O343*I343</f>
        <v>1.4728949999999998</v>
      </c>
      <c r="Q343" s="245">
        <v>0</v>
      </c>
      <c r="R343" s="245">
        <f>Q343*I343</f>
        <v>0</v>
      </c>
      <c r="S343" s="245">
        <v>0</v>
      </c>
      <c r="T343" s="246">
        <f>S343*I343</f>
        <v>0</v>
      </c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R343" s="247" t="s">
        <v>212</v>
      </c>
      <c r="AT343" s="247" t="s">
        <v>208</v>
      </c>
      <c r="AU343" s="247" t="s">
        <v>92</v>
      </c>
      <c r="AY343" s="120" t="s">
        <v>206</v>
      </c>
      <c r="BE343" s="248">
        <f>IF(N343="základní",J343,0)</f>
        <v>0</v>
      </c>
      <c r="BF343" s="248">
        <f>IF(N343="snížená",J343,0)</f>
        <v>0</v>
      </c>
      <c r="BG343" s="248">
        <f>IF(N343="zákl. přenesená",J343,0)</f>
        <v>0</v>
      </c>
      <c r="BH343" s="248">
        <f>IF(N343="sníž. přenesená",J343,0)</f>
        <v>0</v>
      </c>
      <c r="BI343" s="248">
        <f>IF(N343="nulová",J343,0)</f>
        <v>0</v>
      </c>
      <c r="BJ343" s="120" t="s">
        <v>18</v>
      </c>
      <c r="BK343" s="248">
        <f>ROUND(H343*I343,2)</f>
        <v>0</v>
      </c>
      <c r="BL343" s="120" t="s">
        <v>212</v>
      </c>
      <c r="BM343" s="247" t="s">
        <v>577</v>
      </c>
    </row>
    <row r="344" spans="2:51" s="249" customFormat="1" ht="12">
      <c r="B344" s="250"/>
      <c r="C344" s="133"/>
      <c r="D344" s="251" t="s">
        <v>214</v>
      </c>
      <c r="E344" s="252"/>
      <c r="F344" s="253" t="s">
        <v>889</v>
      </c>
      <c r="G344" s="254"/>
      <c r="H344" s="312"/>
      <c r="I344" s="255">
        <f>T156+T154</f>
        <v>49.0965</v>
      </c>
      <c r="J344" s="254"/>
      <c r="K344" s="254"/>
      <c r="L344" s="256"/>
      <c r="M344" s="257"/>
      <c r="N344" s="258"/>
      <c r="O344" s="258"/>
      <c r="P344" s="258"/>
      <c r="Q344" s="258"/>
      <c r="R344" s="258"/>
      <c r="S344" s="258"/>
      <c r="T344" s="259"/>
      <c r="AT344" s="260" t="s">
        <v>214</v>
      </c>
      <c r="AU344" s="260" t="s">
        <v>219</v>
      </c>
      <c r="AV344" s="249" t="s">
        <v>92</v>
      </c>
      <c r="AW344" s="249" t="s">
        <v>39</v>
      </c>
      <c r="AX344" s="249" t="s">
        <v>18</v>
      </c>
      <c r="AY344" s="260" t="s">
        <v>206</v>
      </c>
    </row>
    <row r="345" spans="2:63" s="218" customFormat="1" ht="22.9" customHeight="1">
      <c r="B345" s="219"/>
      <c r="C345" s="220"/>
      <c r="D345" s="221" t="s">
        <v>81</v>
      </c>
      <c r="E345" s="233" t="s">
        <v>578</v>
      </c>
      <c r="F345" s="233" t="s">
        <v>579</v>
      </c>
      <c r="G345" s="223"/>
      <c r="H345" s="315"/>
      <c r="I345" s="223"/>
      <c r="J345" s="234">
        <f>J346</f>
        <v>0</v>
      </c>
      <c r="K345" s="223"/>
      <c r="L345" s="225"/>
      <c r="M345" s="226"/>
      <c r="N345" s="227"/>
      <c r="O345" s="227"/>
      <c r="P345" s="228">
        <f>SUM(P346:P347)</f>
        <v>10.759032</v>
      </c>
      <c r="Q345" s="227"/>
      <c r="R345" s="228">
        <f>SUM(R346:R347)</f>
        <v>0</v>
      </c>
      <c r="S345" s="227"/>
      <c r="T345" s="229">
        <f>SUM(T346:T347)</f>
        <v>0</v>
      </c>
      <c r="AR345" s="230" t="s">
        <v>18</v>
      </c>
      <c r="AT345" s="231" t="s">
        <v>81</v>
      </c>
      <c r="AU345" s="231" t="s">
        <v>18</v>
      </c>
      <c r="AY345" s="230" t="s">
        <v>206</v>
      </c>
      <c r="BK345" s="232">
        <f>SUM(BK346:BK347)</f>
        <v>0</v>
      </c>
    </row>
    <row r="346" spans="1:65" s="136" customFormat="1" ht="21.75" customHeight="1">
      <c r="A346" s="131"/>
      <c r="B346" s="132"/>
      <c r="C346" s="235">
        <f>C343+1</f>
        <v>113</v>
      </c>
      <c r="D346" s="236" t="s">
        <v>208</v>
      </c>
      <c r="E346" s="237" t="s">
        <v>580</v>
      </c>
      <c r="F346" s="238" t="s">
        <v>581</v>
      </c>
      <c r="G346" s="239" t="s">
        <v>325</v>
      </c>
      <c r="H346" s="72"/>
      <c r="I346" s="241">
        <v>12.994</v>
      </c>
      <c r="J346" s="240">
        <f>ROUND($H346*I346,2)</f>
        <v>0</v>
      </c>
      <c r="K346" s="242"/>
      <c r="L346" s="211"/>
      <c r="M346" s="243" t="s">
        <v>1</v>
      </c>
      <c r="N346" s="244" t="s">
        <v>47</v>
      </c>
      <c r="O346" s="245">
        <v>0.828</v>
      </c>
      <c r="P346" s="245">
        <f>O346*I346</f>
        <v>10.759032</v>
      </c>
      <c r="Q346" s="245">
        <v>0</v>
      </c>
      <c r="R346" s="245">
        <f>Q346*I346</f>
        <v>0</v>
      </c>
      <c r="S346" s="245">
        <v>0</v>
      </c>
      <c r="T346" s="246">
        <f>S346*I346</f>
        <v>0</v>
      </c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R346" s="247" t="s">
        <v>212</v>
      </c>
      <c r="AT346" s="247" t="s">
        <v>208</v>
      </c>
      <c r="AU346" s="247" t="s">
        <v>92</v>
      </c>
      <c r="AY346" s="120" t="s">
        <v>206</v>
      </c>
      <c r="BE346" s="248">
        <f>IF(N346="základní",J346,0)</f>
        <v>0</v>
      </c>
      <c r="BF346" s="248">
        <f>IF(N346="snížená",J346,0)</f>
        <v>0</v>
      </c>
      <c r="BG346" s="248">
        <f>IF(N346="zákl. přenesená",J346,0)</f>
        <v>0</v>
      </c>
      <c r="BH346" s="248">
        <f>IF(N346="sníž. přenesená",J346,0)</f>
        <v>0</v>
      </c>
      <c r="BI346" s="248">
        <f>IF(N346="nulová",J346,0)</f>
        <v>0</v>
      </c>
      <c r="BJ346" s="120" t="s">
        <v>18</v>
      </c>
      <c r="BK346" s="248">
        <f>ROUND(H346*I346,2)</f>
        <v>0</v>
      </c>
      <c r="BL346" s="120" t="s">
        <v>212</v>
      </c>
      <c r="BM346" s="247" t="s">
        <v>582</v>
      </c>
    </row>
    <row r="347" spans="2:51" s="249" customFormat="1" ht="12">
      <c r="B347" s="250"/>
      <c r="C347" s="133"/>
      <c r="D347" s="251" t="s">
        <v>214</v>
      </c>
      <c r="E347" s="252" t="s">
        <v>145</v>
      </c>
      <c r="F347" s="253" t="s">
        <v>583</v>
      </c>
      <c r="G347" s="254"/>
      <c r="H347" s="312"/>
      <c r="I347" s="255">
        <v>12.994</v>
      </c>
      <c r="J347" s="254"/>
      <c r="K347" s="254"/>
      <c r="L347" s="256"/>
      <c r="M347" s="257"/>
      <c r="N347" s="258"/>
      <c r="O347" s="258"/>
      <c r="P347" s="258"/>
      <c r="Q347" s="258"/>
      <c r="R347" s="258"/>
      <c r="S347" s="258"/>
      <c r="T347" s="259"/>
      <c r="AT347" s="260" t="s">
        <v>214</v>
      </c>
      <c r="AU347" s="260" t="s">
        <v>92</v>
      </c>
      <c r="AV347" s="249" t="s">
        <v>92</v>
      </c>
      <c r="AW347" s="249" t="s">
        <v>39</v>
      </c>
      <c r="AX347" s="249" t="s">
        <v>18</v>
      </c>
      <c r="AY347" s="260" t="s">
        <v>206</v>
      </c>
    </row>
    <row r="348" spans="2:63" s="218" customFormat="1" ht="25.9" customHeight="1">
      <c r="B348" s="219"/>
      <c r="C348" s="220"/>
      <c r="D348" s="221" t="s">
        <v>81</v>
      </c>
      <c r="E348" s="222" t="s">
        <v>324</v>
      </c>
      <c r="F348" s="222" t="s">
        <v>584</v>
      </c>
      <c r="G348" s="223"/>
      <c r="H348" s="315"/>
      <c r="I348" s="223"/>
      <c r="J348" s="224">
        <f>J349</f>
        <v>0</v>
      </c>
      <c r="K348" s="223"/>
      <c r="L348" s="225"/>
      <c r="M348" s="226"/>
      <c r="N348" s="227"/>
      <c r="O348" s="227"/>
      <c r="P348" s="228">
        <f>P349</f>
        <v>3.491</v>
      </c>
      <c r="Q348" s="227"/>
      <c r="R348" s="228">
        <f>R349</f>
        <v>0.00857</v>
      </c>
      <c r="S348" s="227"/>
      <c r="T348" s="229">
        <f>T349</f>
        <v>0</v>
      </c>
      <c r="AR348" s="230" t="s">
        <v>219</v>
      </c>
      <c r="AT348" s="231" t="s">
        <v>81</v>
      </c>
      <c r="AU348" s="231" t="s">
        <v>82</v>
      </c>
      <c r="AY348" s="230" t="s">
        <v>206</v>
      </c>
      <c r="BK348" s="232">
        <f>BK349</f>
        <v>0</v>
      </c>
    </row>
    <row r="349" spans="2:63" s="218" customFormat="1" ht="22.9" customHeight="1">
      <c r="B349" s="219"/>
      <c r="C349" s="220"/>
      <c r="D349" s="221" t="s">
        <v>81</v>
      </c>
      <c r="E349" s="233" t="s">
        <v>585</v>
      </c>
      <c r="F349" s="233" t="s">
        <v>586</v>
      </c>
      <c r="G349" s="223"/>
      <c r="H349" s="315"/>
      <c r="I349" s="223"/>
      <c r="J349" s="234">
        <f>SUM(J350:J355)</f>
        <v>0</v>
      </c>
      <c r="K349" s="223"/>
      <c r="L349" s="225"/>
      <c r="M349" s="226"/>
      <c r="N349" s="227"/>
      <c r="O349" s="227"/>
      <c r="P349" s="228">
        <f>SUM(P350:P355)</f>
        <v>3.491</v>
      </c>
      <c r="Q349" s="227"/>
      <c r="R349" s="228">
        <f>SUM(R350:R355)</f>
        <v>0.00857</v>
      </c>
      <c r="S349" s="227"/>
      <c r="T349" s="229">
        <f>SUM(T350:T355)</f>
        <v>0</v>
      </c>
      <c r="AR349" s="230" t="s">
        <v>219</v>
      </c>
      <c r="AT349" s="231" t="s">
        <v>81</v>
      </c>
      <c r="AU349" s="231" t="s">
        <v>18</v>
      </c>
      <c r="AY349" s="230" t="s">
        <v>206</v>
      </c>
      <c r="BK349" s="232">
        <f>SUM(BK350:BK355)</f>
        <v>0</v>
      </c>
    </row>
    <row r="350" spans="1:65" s="136" customFormat="1" ht="16.5" customHeight="1">
      <c r="A350" s="131"/>
      <c r="B350" s="132"/>
      <c r="C350" s="235">
        <f>C346+1</f>
        <v>114</v>
      </c>
      <c r="D350" s="236" t="s">
        <v>208</v>
      </c>
      <c r="E350" s="237" t="s">
        <v>587</v>
      </c>
      <c r="F350" s="238" t="s">
        <v>588</v>
      </c>
      <c r="G350" s="239" t="s">
        <v>376</v>
      </c>
      <c r="H350" s="72"/>
      <c r="I350" s="241">
        <v>7</v>
      </c>
      <c r="J350" s="240">
        <f aca="true" t="shared" si="56" ref="J350:J353">ROUND($H350*I350,2)</f>
        <v>0</v>
      </c>
      <c r="K350" s="242"/>
      <c r="L350" s="211"/>
      <c r="M350" s="243" t="s">
        <v>1</v>
      </c>
      <c r="N350" s="244" t="s">
        <v>47</v>
      </c>
      <c r="O350" s="245">
        <v>0.327</v>
      </c>
      <c r="P350" s="245">
        <f aca="true" t="shared" si="57" ref="P350:P355">O350*I350</f>
        <v>2.289</v>
      </c>
      <c r="Q350" s="245">
        <v>3E-05</v>
      </c>
      <c r="R350" s="245">
        <f aca="true" t="shared" si="58" ref="R350:R355">Q350*I350</f>
        <v>0.00021</v>
      </c>
      <c r="S350" s="245">
        <v>0</v>
      </c>
      <c r="T350" s="246">
        <f aca="true" t="shared" si="59" ref="T350:T355">S350*I350</f>
        <v>0</v>
      </c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R350" s="247" t="s">
        <v>458</v>
      </c>
      <c r="AT350" s="247" t="s">
        <v>208</v>
      </c>
      <c r="AU350" s="247" t="s">
        <v>92</v>
      </c>
      <c r="AY350" s="120" t="s">
        <v>206</v>
      </c>
      <c r="BE350" s="248">
        <f aca="true" t="shared" si="60" ref="BE350:BE355">IF(N350="základní",J350,0)</f>
        <v>0</v>
      </c>
      <c r="BF350" s="248">
        <f aca="true" t="shared" si="61" ref="BF350:BF355">IF(N350="snížená",J350,0)</f>
        <v>0</v>
      </c>
      <c r="BG350" s="248">
        <f aca="true" t="shared" si="62" ref="BG350:BG355">IF(N350="zákl. přenesená",J350,0)</f>
        <v>0</v>
      </c>
      <c r="BH350" s="248">
        <f aca="true" t="shared" si="63" ref="BH350:BH355">IF(N350="sníž. přenesená",J350,0)</f>
        <v>0</v>
      </c>
      <c r="BI350" s="248">
        <f aca="true" t="shared" si="64" ref="BI350:BI355">IF(N350="nulová",J350,0)</f>
        <v>0</v>
      </c>
      <c r="BJ350" s="120" t="s">
        <v>18</v>
      </c>
      <c r="BK350" s="248">
        <f aca="true" t="shared" si="65" ref="BK350:BK355">ROUND(H350*I350,2)</f>
        <v>0</v>
      </c>
      <c r="BL350" s="120" t="s">
        <v>458</v>
      </c>
      <c r="BM350" s="247" t="s">
        <v>589</v>
      </c>
    </row>
    <row r="351" spans="1:65" s="136" customFormat="1" ht="21.75" customHeight="1">
      <c r="A351" s="131"/>
      <c r="B351" s="132"/>
      <c r="C351" s="283">
        <f aca="true" t="shared" si="66" ref="C351:C355">C350+1</f>
        <v>115</v>
      </c>
      <c r="D351" s="284" t="s">
        <v>324</v>
      </c>
      <c r="E351" s="285" t="s">
        <v>590</v>
      </c>
      <c r="F351" s="286" t="s">
        <v>591</v>
      </c>
      <c r="G351" s="287" t="s">
        <v>380</v>
      </c>
      <c r="H351" s="73"/>
      <c r="I351" s="288">
        <v>7</v>
      </c>
      <c r="J351" s="240">
        <f t="shared" si="56"/>
        <v>0</v>
      </c>
      <c r="K351" s="289"/>
      <c r="L351" s="290"/>
      <c r="M351" s="291" t="s">
        <v>1</v>
      </c>
      <c r="N351" s="292" t="s">
        <v>47</v>
      </c>
      <c r="O351" s="245">
        <v>0</v>
      </c>
      <c r="P351" s="245">
        <f t="shared" si="57"/>
        <v>0</v>
      </c>
      <c r="Q351" s="245">
        <v>0.00067</v>
      </c>
      <c r="R351" s="245">
        <f t="shared" si="58"/>
        <v>0.00469</v>
      </c>
      <c r="S351" s="245">
        <v>0</v>
      </c>
      <c r="T351" s="246">
        <f t="shared" si="59"/>
        <v>0</v>
      </c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R351" s="247" t="s">
        <v>592</v>
      </c>
      <c r="AT351" s="247" t="s">
        <v>324</v>
      </c>
      <c r="AU351" s="247" t="s">
        <v>92</v>
      </c>
      <c r="AY351" s="120" t="s">
        <v>206</v>
      </c>
      <c r="BE351" s="248">
        <f t="shared" si="60"/>
        <v>0</v>
      </c>
      <c r="BF351" s="248">
        <f t="shared" si="61"/>
        <v>0</v>
      </c>
      <c r="BG351" s="248">
        <f t="shared" si="62"/>
        <v>0</v>
      </c>
      <c r="BH351" s="248">
        <f t="shared" si="63"/>
        <v>0</v>
      </c>
      <c r="BI351" s="248">
        <f t="shared" si="64"/>
        <v>0</v>
      </c>
      <c r="BJ351" s="120" t="s">
        <v>18</v>
      </c>
      <c r="BK351" s="248">
        <f t="shared" si="65"/>
        <v>0</v>
      </c>
      <c r="BL351" s="120" t="s">
        <v>458</v>
      </c>
      <c r="BM351" s="247" t="s">
        <v>593</v>
      </c>
    </row>
    <row r="352" spans="1:65" s="136" customFormat="1" ht="16.5" customHeight="1">
      <c r="A352" s="131"/>
      <c r="B352" s="132"/>
      <c r="C352" s="283">
        <f t="shared" si="66"/>
        <v>116</v>
      </c>
      <c r="D352" s="236" t="s">
        <v>208</v>
      </c>
      <c r="E352" s="237" t="s">
        <v>594</v>
      </c>
      <c r="F352" s="238" t="s">
        <v>595</v>
      </c>
      <c r="G352" s="239" t="s">
        <v>376</v>
      </c>
      <c r="H352" s="72"/>
      <c r="I352" s="241">
        <v>2</v>
      </c>
      <c r="J352" s="240">
        <f t="shared" si="56"/>
        <v>0</v>
      </c>
      <c r="K352" s="242"/>
      <c r="L352" s="211"/>
      <c r="M352" s="243" t="s">
        <v>1</v>
      </c>
      <c r="N352" s="244" t="s">
        <v>47</v>
      </c>
      <c r="O352" s="245">
        <v>0.379</v>
      </c>
      <c r="P352" s="245">
        <f t="shared" si="57"/>
        <v>0.758</v>
      </c>
      <c r="Q352" s="245">
        <v>3E-05</v>
      </c>
      <c r="R352" s="245">
        <f t="shared" si="58"/>
        <v>6E-05</v>
      </c>
      <c r="S352" s="245">
        <v>0</v>
      </c>
      <c r="T352" s="246">
        <f t="shared" si="59"/>
        <v>0</v>
      </c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R352" s="247" t="s">
        <v>458</v>
      </c>
      <c r="AT352" s="247" t="s">
        <v>208</v>
      </c>
      <c r="AU352" s="247" t="s">
        <v>92</v>
      </c>
      <c r="AY352" s="120" t="s">
        <v>206</v>
      </c>
      <c r="BE352" s="248">
        <f t="shared" si="60"/>
        <v>0</v>
      </c>
      <c r="BF352" s="248">
        <f t="shared" si="61"/>
        <v>0</v>
      </c>
      <c r="BG352" s="248">
        <f t="shared" si="62"/>
        <v>0</v>
      </c>
      <c r="BH352" s="248">
        <f t="shared" si="63"/>
        <v>0</v>
      </c>
      <c r="BI352" s="248">
        <f t="shared" si="64"/>
        <v>0</v>
      </c>
      <c r="BJ352" s="120" t="s">
        <v>18</v>
      </c>
      <c r="BK352" s="248">
        <f t="shared" si="65"/>
        <v>0</v>
      </c>
      <c r="BL352" s="120" t="s">
        <v>458</v>
      </c>
      <c r="BM352" s="247" t="s">
        <v>596</v>
      </c>
    </row>
    <row r="353" spans="1:65" s="136" customFormat="1" ht="21.75" customHeight="1">
      <c r="A353" s="131"/>
      <c r="B353" s="132"/>
      <c r="C353" s="283">
        <f t="shared" si="66"/>
        <v>117</v>
      </c>
      <c r="D353" s="284" t="s">
        <v>324</v>
      </c>
      <c r="E353" s="285" t="s">
        <v>597</v>
      </c>
      <c r="F353" s="286" t="s">
        <v>598</v>
      </c>
      <c r="G353" s="287" t="s">
        <v>380</v>
      </c>
      <c r="H353" s="73"/>
      <c r="I353" s="288">
        <v>2</v>
      </c>
      <c r="J353" s="240">
        <f t="shared" si="56"/>
        <v>0</v>
      </c>
      <c r="K353" s="289"/>
      <c r="L353" s="290"/>
      <c r="M353" s="291" t="s">
        <v>1</v>
      </c>
      <c r="N353" s="292" t="s">
        <v>47</v>
      </c>
      <c r="O353" s="245">
        <v>0</v>
      </c>
      <c r="P353" s="245">
        <f t="shared" si="57"/>
        <v>0</v>
      </c>
      <c r="Q353" s="245">
        <v>0.00104</v>
      </c>
      <c r="R353" s="245">
        <f t="shared" si="58"/>
        <v>0.00208</v>
      </c>
      <c r="S353" s="245">
        <v>0</v>
      </c>
      <c r="T353" s="246">
        <f t="shared" si="59"/>
        <v>0</v>
      </c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R353" s="247" t="s">
        <v>592</v>
      </c>
      <c r="AT353" s="247" t="s">
        <v>324</v>
      </c>
      <c r="AU353" s="247" t="s">
        <v>92</v>
      </c>
      <c r="AY353" s="120" t="s">
        <v>206</v>
      </c>
      <c r="BE353" s="248">
        <f t="shared" si="60"/>
        <v>0</v>
      </c>
      <c r="BF353" s="248">
        <f t="shared" si="61"/>
        <v>0</v>
      </c>
      <c r="BG353" s="248">
        <f t="shared" si="62"/>
        <v>0</v>
      </c>
      <c r="BH353" s="248">
        <f t="shared" si="63"/>
        <v>0</v>
      </c>
      <c r="BI353" s="248">
        <f t="shared" si="64"/>
        <v>0</v>
      </c>
      <c r="BJ353" s="120" t="s">
        <v>18</v>
      </c>
      <c r="BK353" s="248">
        <f t="shared" si="65"/>
        <v>0</v>
      </c>
      <c r="BL353" s="120" t="s">
        <v>458</v>
      </c>
      <c r="BM353" s="247" t="s">
        <v>599</v>
      </c>
    </row>
    <row r="354" spans="1:65" s="136" customFormat="1" ht="16.5" customHeight="1">
      <c r="A354" s="131"/>
      <c r="B354" s="132"/>
      <c r="C354" s="283">
        <f t="shared" si="66"/>
        <v>118</v>
      </c>
      <c r="D354" s="236" t="s">
        <v>208</v>
      </c>
      <c r="E354" s="237" t="s">
        <v>600</v>
      </c>
      <c r="F354" s="238" t="s">
        <v>601</v>
      </c>
      <c r="G354" s="239" t="s">
        <v>376</v>
      </c>
      <c r="H354" s="72"/>
      <c r="I354" s="241">
        <v>1</v>
      </c>
      <c r="J354" s="240">
        <f>ROUND($H354*I354,2)</f>
        <v>0</v>
      </c>
      <c r="K354" s="242"/>
      <c r="L354" s="211"/>
      <c r="M354" s="243" t="s">
        <v>1</v>
      </c>
      <c r="N354" s="244" t="s">
        <v>47</v>
      </c>
      <c r="O354" s="245">
        <v>0.444</v>
      </c>
      <c r="P354" s="245">
        <f t="shared" si="57"/>
        <v>0.444</v>
      </c>
      <c r="Q354" s="245">
        <v>3E-05</v>
      </c>
      <c r="R354" s="245">
        <f t="shared" si="58"/>
        <v>3E-05</v>
      </c>
      <c r="S354" s="245">
        <v>0</v>
      </c>
      <c r="T354" s="246">
        <f t="shared" si="59"/>
        <v>0</v>
      </c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R354" s="247" t="s">
        <v>458</v>
      </c>
      <c r="AT354" s="247" t="s">
        <v>208</v>
      </c>
      <c r="AU354" s="247" t="s">
        <v>92</v>
      </c>
      <c r="AY354" s="120" t="s">
        <v>206</v>
      </c>
      <c r="BE354" s="248">
        <f t="shared" si="60"/>
        <v>0</v>
      </c>
      <c r="BF354" s="248">
        <f t="shared" si="61"/>
        <v>0</v>
      </c>
      <c r="BG354" s="248">
        <f t="shared" si="62"/>
        <v>0</v>
      </c>
      <c r="BH354" s="248">
        <f t="shared" si="63"/>
        <v>0</v>
      </c>
      <c r="BI354" s="248">
        <f t="shared" si="64"/>
        <v>0</v>
      </c>
      <c r="BJ354" s="120" t="s">
        <v>18</v>
      </c>
      <c r="BK354" s="248">
        <f t="shared" si="65"/>
        <v>0</v>
      </c>
      <c r="BL354" s="120" t="s">
        <v>458</v>
      </c>
      <c r="BM354" s="247" t="s">
        <v>602</v>
      </c>
    </row>
    <row r="355" spans="1:65" s="136" customFormat="1" ht="21.75" customHeight="1">
      <c r="A355" s="131"/>
      <c r="B355" s="132"/>
      <c r="C355" s="283">
        <f t="shared" si="66"/>
        <v>119</v>
      </c>
      <c r="D355" s="284" t="s">
        <v>324</v>
      </c>
      <c r="E355" s="285" t="s">
        <v>603</v>
      </c>
      <c r="F355" s="286" t="s">
        <v>604</v>
      </c>
      <c r="G355" s="287" t="s">
        <v>380</v>
      </c>
      <c r="H355" s="73"/>
      <c r="I355" s="288">
        <v>1</v>
      </c>
      <c r="J355" s="240">
        <f>ROUND($H355*I355,2)</f>
        <v>0</v>
      </c>
      <c r="K355" s="289"/>
      <c r="L355" s="290"/>
      <c r="M355" s="291" t="s">
        <v>1</v>
      </c>
      <c r="N355" s="292" t="s">
        <v>47</v>
      </c>
      <c r="O355" s="245">
        <v>0</v>
      </c>
      <c r="P355" s="245">
        <f t="shared" si="57"/>
        <v>0</v>
      </c>
      <c r="Q355" s="245">
        <v>0.0015</v>
      </c>
      <c r="R355" s="245">
        <f t="shared" si="58"/>
        <v>0.0015</v>
      </c>
      <c r="S355" s="245">
        <v>0</v>
      </c>
      <c r="T355" s="246">
        <f t="shared" si="59"/>
        <v>0</v>
      </c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R355" s="247" t="s">
        <v>592</v>
      </c>
      <c r="AT355" s="247" t="s">
        <v>324</v>
      </c>
      <c r="AU355" s="247" t="s">
        <v>92</v>
      </c>
      <c r="AY355" s="120" t="s">
        <v>206</v>
      </c>
      <c r="BE355" s="248">
        <f t="shared" si="60"/>
        <v>0</v>
      </c>
      <c r="BF355" s="248">
        <f t="shared" si="61"/>
        <v>0</v>
      </c>
      <c r="BG355" s="248">
        <f t="shared" si="62"/>
        <v>0</v>
      </c>
      <c r="BH355" s="248">
        <f t="shared" si="63"/>
        <v>0</v>
      </c>
      <c r="BI355" s="248">
        <f t="shared" si="64"/>
        <v>0</v>
      </c>
      <c r="BJ355" s="120" t="s">
        <v>18</v>
      </c>
      <c r="BK355" s="248">
        <f t="shared" si="65"/>
        <v>0</v>
      </c>
      <c r="BL355" s="120" t="s">
        <v>458</v>
      </c>
      <c r="BM355" s="247" t="s">
        <v>605</v>
      </c>
    </row>
    <row r="356" spans="2:63" s="218" customFormat="1" ht="25.9" customHeight="1">
      <c r="B356" s="219"/>
      <c r="C356" s="220"/>
      <c r="D356" s="221" t="s">
        <v>81</v>
      </c>
      <c r="E356" s="222" t="s">
        <v>606</v>
      </c>
      <c r="F356" s="222" t="s">
        <v>607</v>
      </c>
      <c r="G356" s="223"/>
      <c r="H356" s="315"/>
      <c r="I356" s="223"/>
      <c r="J356" s="224">
        <f>J357</f>
        <v>0</v>
      </c>
      <c r="K356" s="223"/>
      <c r="L356" s="225"/>
      <c r="M356" s="226"/>
      <c r="N356" s="227"/>
      <c r="O356" s="227"/>
      <c r="P356" s="228" t="e">
        <f>#REF!+P357+#REF!</f>
        <v>#REF!</v>
      </c>
      <c r="Q356" s="227"/>
      <c r="R356" s="228" t="e">
        <f>#REF!+R357+#REF!</f>
        <v>#REF!</v>
      </c>
      <c r="S356" s="227"/>
      <c r="T356" s="229"/>
      <c r="AR356" s="230" t="s">
        <v>241</v>
      </c>
      <c r="AT356" s="231" t="s">
        <v>81</v>
      </c>
      <c r="AU356" s="231" t="s">
        <v>82</v>
      </c>
      <c r="AY356" s="230" t="s">
        <v>206</v>
      </c>
      <c r="BK356" s="232" t="e">
        <f>#REF!+BK357+#REF!</f>
        <v>#REF!</v>
      </c>
    </row>
    <row r="357" spans="2:63" s="218" customFormat="1" ht="22.9" customHeight="1">
      <c r="B357" s="219"/>
      <c r="C357" s="220"/>
      <c r="D357" s="221" t="s">
        <v>81</v>
      </c>
      <c r="E357" s="233"/>
      <c r="F357" s="233" t="s">
        <v>606</v>
      </c>
      <c r="G357" s="223"/>
      <c r="H357" s="315"/>
      <c r="I357" s="223"/>
      <c r="J357" s="234">
        <f>SUM(J358:J360)</f>
        <v>0</v>
      </c>
      <c r="K357" s="223"/>
      <c r="L357" s="225"/>
      <c r="M357" s="226"/>
      <c r="N357" s="227"/>
      <c r="O357" s="227"/>
      <c r="P357" s="228">
        <f>P358</f>
        <v>0</v>
      </c>
      <c r="Q357" s="227"/>
      <c r="R357" s="228">
        <f>R358</f>
        <v>0</v>
      </c>
      <c r="S357" s="227"/>
      <c r="T357" s="229"/>
      <c r="AR357" s="230" t="s">
        <v>241</v>
      </c>
      <c r="AT357" s="231" t="s">
        <v>81</v>
      </c>
      <c r="AU357" s="231" t="s">
        <v>18</v>
      </c>
      <c r="AY357" s="230" t="s">
        <v>206</v>
      </c>
      <c r="BK357" s="232">
        <f>BK358</f>
        <v>0</v>
      </c>
    </row>
    <row r="358" spans="1:65" s="136" customFormat="1" ht="16.5" customHeight="1">
      <c r="A358" s="131"/>
      <c r="B358" s="132"/>
      <c r="C358" s="235">
        <f>C355+1</f>
        <v>120</v>
      </c>
      <c r="D358" s="236" t="s">
        <v>208</v>
      </c>
      <c r="E358" s="237"/>
      <c r="F358" s="238" t="s">
        <v>609</v>
      </c>
      <c r="G358" s="239" t="s">
        <v>560</v>
      </c>
      <c r="H358" s="72"/>
      <c r="I358" s="241">
        <v>1</v>
      </c>
      <c r="J358" s="240">
        <f aca="true" t="shared" si="67" ref="J358:J360">ROUND($H358*I358,2)</f>
        <v>0</v>
      </c>
      <c r="K358" s="242"/>
      <c r="L358" s="211"/>
      <c r="M358" s="243" t="s">
        <v>1</v>
      </c>
      <c r="N358" s="244" t="s">
        <v>47</v>
      </c>
      <c r="O358" s="245">
        <v>0</v>
      </c>
      <c r="P358" s="245">
        <f>O358*I358</f>
        <v>0</v>
      </c>
      <c r="Q358" s="245">
        <v>0</v>
      </c>
      <c r="R358" s="245">
        <f>Q358*I358</f>
        <v>0</v>
      </c>
      <c r="S358" s="245">
        <v>0</v>
      </c>
      <c r="T358" s="246">
        <f>S358*I358</f>
        <v>0</v>
      </c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R358" s="247" t="s">
        <v>610</v>
      </c>
      <c r="AT358" s="247" t="s">
        <v>208</v>
      </c>
      <c r="AU358" s="247" t="s">
        <v>92</v>
      </c>
      <c r="AY358" s="120" t="s">
        <v>206</v>
      </c>
      <c r="BE358" s="248">
        <f>IF(N358="základní",J358,0)</f>
        <v>0</v>
      </c>
      <c r="BF358" s="248">
        <f>IF(N358="snížená",J358,0)</f>
        <v>0</v>
      </c>
      <c r="BG358" s="248">
        <f>IF(N358="zákl. přenesená",J358,0)</f>
        <v>0</v>
      </c>
      <c r="BH358" s="248">
        <f>IF(N358="sníž. přenesená",J358,0)</f>
        <v>0</v>
      </c>
      <c r="BI358" s="248">
        <f>IF(N358="nulová",J358,0)</f>
        <v>0</v>
      </c>
      <c r="BJ358" s="120" t="s">
        <v>18</v>
      </c>
      <c r="BK358" s="248">
        <f>ROUND(H358*I358,2)</f>
        <v>0</v>
      </c>
      <c r="BL358" s="120" t="s">
        <v>610</v>
      </c>
      <c r="BM358" s="247" t="s">
        <v>611</v>
      </c>
    </row>
    <row r="359" spans="1:65" s="136" customFormat="1" ht="27" customHeight="1">
      <c r="A359" s="131"/>
      <c r="B359" s="132"/>
      <c r="C359" s="283">
        <f aca="true" t="shared" si="68" ref="C359:C360">C358+1</f>
        <v>121</v>
      </c>
      <c r="D359" s="236" t="s">
        <v>208</v>
      </c>
      <c r="E359" s="237"/>
      <c r="F359" s="238" t="s">
        <v>914</v>
      </c>
      <c r="G359" s="239" t="s">
        <v>560</v>
      </c>
      <c r="H359" s="72"/>
      <c r="I359" s="241">
        <v>1</v>
      </c>
      <c r="J359" s="240">
        <f t="shared" si="67"/>
        <v>0</v>
      </c>
      <c r="K359" s="242"/>
      <c r="L359" s="211"/>
      <c r="M359" s="308" t="s">
        <v>1</v>
      </c>
      <c r="N359" s="309" t="s">
        <v>47</v>
      </c>
      <c r="O359" s="310">
        <v>0</v>
      </c>
      <c r="P359" s="310">
        <f>O359*I359</f>
        <v>0</v>
      </c>
      <c r="Q359" s="310">
        <v>0</v>
      </c>
      <c r="R359" s="310">
        <f>Q359*I359</f>
        <v>0</v>
      </c>
      <c r="S359" s="310">
        <v>0</v>
      </c>
      <c r="T359" s="311">
        <f>S359*I359</f>
        <v>0</v>
      </c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R359" s="247" t="s">
        <v>610</v>
      </c>
      <c r="AT359" s="247" t="s">
        <v>208</v>
      </c>
      <c r="AU359" s="247" t="s">
        <v>92</v>
      </c>
      <c r="AY359" s="120" t="s">
        <v>206</v>
      </c>
      <c r="BE359" s="248">
        <f>IF(N359="základní",J359,0)</f>
        <v>0</v>
      </c>
      <c r="BF359" s="248">
        <f>IF(N359="snížená",J359,0)</f>
        <v>0</v>
      </c>
      <c r="BG359" s="248">
        <f>IF(N359="zákl. přenesená",J359,0)</f>
        <v>0</v>
      </c>
      <c r="BH359" s="248">
        <f>IF(N359="sníž. přenesená",J359,0)</f>
        <v>0</v>
      </c>
      <c r="BI359" s="248">
        <f>IF(N359="nulová",J359,0)</f>
        <v>0</v>
      </c>
      <c r="BJ359" s="120" t="s">
        <v>18</v>
      </c>
      <c r="BK359" s="248">
        <f>ROUND(H359*I359,2)</f>
        <v>0</v>
      </c>
      <c r="BL359" s="120" t="s">
        <v>610</v>
      </c>
      <c r="BM359" s="247" t="s">
        <v>612</v>
      </c>
    </row>
    <row r="360" spans="1:65" s="136" customFormat="1" ht="39.75" customHeight="1">
      <c r="A360" s="131"/>
      <c r="B360" s="132"/>
      <c r="C360" s="283">
        <f t="shared" si="68"/>
        <v>122</v>
      </c>
      <c r="D360" s="236" t="s">
        <v>208</v>
      </c>
      <c r="E360" s="237"/>
      <c r="F360" s="238" t="s">
        <v>915</v>
      </c>
      <c r="G360" s="239" t="s">
        <v>560</v>
      </c>
      <c r="H360" s="72"/>
      <c r="I360" s="241">
        <v>1</v>
      </c>
      <c r="J360" s="240">
        <f t="shared" si="67"/>
        <v>0</v>
      </c>
      <c r="K360" s="242"/>
      <c r="L360" s="211"/>
      <c r="M360" s="308" t="s">
        <v>1</v>
      </c>
      <c r="N360" s="309" t="s">
        <v>47</v>
      </c>
      <c r="O360" s="310">
        <v>0</v>
      </c>
      <c r="P360" s="310">
        <f>O360*I360</f>
        <v>0</v>
      </c>
      <c r="Q360" s="310">
        <v>0</v>
      </c>
      <c r="R360" s="310">
        <f>Q360*I360</f>
        <v>0</v>
      </c>
      <c r="S360" s="310">
        <v>0</v>
      </c>
      <c r="T360" s="311">
        <f>S360*I360</f>
        <v>0</v>
      </c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R360" s="247" t="s">
        <v>610</v>
      </c>
      <c r="AT360" s="247" t="s">
        <v>208</v>
      </c>
      <c r="AU360" s="247" t="s">
        <v>92</v>
      </c>
      <c r="AY360" s="120" t="s">
        <v>206</v>
      </c>
      <c r="BE360" s="248">
        <f>IF(N360="základní",J360,0)</f>
        <v>0</v>
      </c>
      <c r="BF360" s="248">
        <f>IF(N360="snížená",J360,0)</f>
        <v>0</v>
      </c>
      <c r="BG360" s="248">
        <f>IF(N360="zákl. přenesená",J360,0)</f>
        <v>0</v>
      </c>
      <c r="BH360" s="248">
        <f>IF(N360="sníž. přenesená",J360,0)</f>
        <v>0</v>
      </c>
      <c r="BI360" s="248">
        <f>IF(N360="nulová",J360,0)</f>
        <v>0</v>
      </c>
      <c r="BJ360" s="120" t="s">
        <v>18</v>
      </c>
      <c r="BK360" s="248">
        <f>ROUND(H360*I360,2)</f>
        <v>0</v>
      </c>
      <c r="BL360" s="120" t="s">
        <v>610</v>
      </c>
      <c r="BM360" s="247" t="s">
        <v>612</v>
      </c>
    </row>
    <row r="361" spans="1:31" s="136" customFormat="1" ht="6.95" customHeight="1">
      <c r="A361" s="131"/>
      <c r="B361" s="171"/>
      <c r="C361" s="172"/>
      <c r="D361" s="173"/>
      <c r="E361" s="173"/>
      <c r="F361" s="173"/>
      <c r="G361" s="173"/>
      <c r="H361" s="173"/>
      <c r="I361" s="173"/>
      <c r="J361" s="173"/>
      <c r="K361" s="173"/>
      <c r="L361" s="211"/>
      <c r="M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</row>
  </sheetData>
  <sheetProtection password="CC96" sheet="1" objects="1" scenarios="1"/>
  <autoFilter ref="C127:K360"/>
  <mergeCells count="6">
    <mergeCell ref="L2:V2"/>
    <mergeCell ref="E9:F9"/>
    <mergeCell ref="E86:F86"/>
    <mergeCell ref="E120:F120"/>
    <mergeCell ref="E118:F118"/>
    <mergeCell ref="E84:F84"/>
  </mergeCells>
  <printOptions/>
  <pageMargins left="0.7874015748031497" right="0.3937007874015748" top="0.7874015748031497" bottom="0.7874015748031497" header="0" footer="0"/>
  <pageSetup blackAndWhite="1" fitToHeight="100" fitToWidth="1" horizontalDpi="600" verticalDpi="600" orientation="portrait" paperSize="9" scale="83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19"/>
  <sheetViews>
    <sheetView showGridLines="0" zoomScale="85" zoomScaleNormal="85" workbookViewId="0" topLeftCell="A107">
      <selection activeCell="H129" sqref="H129:H318"/>
    </sheetView>
  </sheetViews>
  <sheetFormatPr defaultColWidth="9.140625" defaultRowHeight="12"/>
  <cols>
    <col min="1" max="1" width="8.28125" style="70" customWidth="1"/>
    <col min="2" max="2" width="1.7109375" style="116" customWidth="1"/>
    <col min="3" max="3" width="4.140625" style="116" customWidth="1"/>
    <col min="4" max="4" width="4.28125" style="116" customWidth="1"/>
    <col min="5" max="5" width="17.140625" style="116" customWidth="1"/>
    <col min="6" max="6" width="50.8515625" style="116" customWidth="1"/>
    <col min="7" max="7" width="7.00390625" style="116" customWidth="1"/>
    <col min="8" max="8" width="20.140625" style="116" customWidth="1"/>
    <col min="9" max="9" width="11.421875" style="116" customWidth="1"/>
    <col min="10" max="10" width="20.140625" style="116" customWidth="1"/>
    <col min="11" max="11" width="20.140625" style="116" hidden="1" customWidth="1"/>
    <col min="12" max="12" width="9.28125" style="116" hidden="1" customWidth="1"/>
    <col min="13" max="13" width="10.8515625" style="116" hidden="1" customWidth="1"/>
    <col min="14" max="14" width="9.140625" style="116" hidden="1" customWidth="1"/>
    <col min="15" max="20" width="14.140625" style="116" hidden="1" customWidth="1"/>
    <col min="21" max="21" width="16.28125" style="70" customWidth="1"/>
    <col min="22" max="22" width="12.28125" style="70" customWidth="1"/>
    <col min="23" max="23" width="16.28125" style="70" customWidth="1"/>
    <col min="24" max="24" width="12.28125" style="70" customWidth="1"/>
    <col min="25" max="25" width="15.00390625" style="70" customWidth="1"/>
    <col min="26" max="26" width="11.00390625" style="70" customWidth="1"/>
    <col min="27" max="27" width="15.00390625" style="70" customWidth="1"/>
    <col min="28" max="28" width="16.28125" style="70" customWidth="1"/>
    <col min="29" max="29" width="11.00390625" style="70" customWidth="1"/>
    <col min="30" max="30" width="15.00390625" style="70" customWidth="1"/>
    <col min="31" max="31" width="16.28125" style="70" customWidth="1"/>
    <col min="32" max="43" width="9.28125" style="70" customWidth="1"/>
    <col min="44" max="65" width="9.28125" style="70" hidden="1" customWidth="1"/>
    <col min="66" max="16384" width="9.28125" style="70" customWidth="1"/>
  </cols>
  <sheetData>
    <row r="1" ht="12"/>
    <row r="2" spans="12:56" ht="36.95" customHeight="1">
      <c r="L2" s="118" t="s">
        <v>5</v>
      </c>
      <c r="M2" s="119"/>
      <c r="N2" s="119"/>
      <c r="O2" s="119"/>
      <c r="P2" s="119"/>
      <c r="Q2" s="119"/>
      <c r="R2" s="119"/>
      <c r="S2" s="119"/>
      <c r="T2" s="119"/>
      <c r="U2" s="119"/>
      <c r="V2" s="119"/>
      <c r="AT2" s="120" t="s">
        <v>95</v>
      </c>
      <c r="AZ2" s="121" t="s">
        <v>613</v>
      </c>
      <c r="BA2" s="121" t="s">
        <v>1</v>
      </c>
      <c r="BB2" s="121" t="s">
        <v>1</v>
      </c>
      <c r="BC2" s="121" t="s">
        <v>614</v>
      </c>
      <c r="BD2" s="121" t="s">
        <v>92</v>
      </c>
    </row>
    <row r="3" spans="2:56" ht="6.95" customHeight="1">
      <c r="B3" s="122"/>
      <c r="C3" s="124"/>
      <c r="D3" s="124"/>
      <c r="E3" s="124"/>
      <c r="F3" s="124"/>
      <c r="G3" s="124"/>
      <c r="H3" s="124"/>
      <c r="I3" s="124"/>
      <c r="J3" s="124"/>
      <c r="K3" s="124"/>
      <c r="L3" s="126"/>
      <c r="AT3" s="120" t="s">
        <v>92</v>
      </c>
      <c r="AZ3" s="121" t="s">
        <v>615</v>
      </c>
      <c r="BA3" s="121" t="s">
        <v>1</v>
      </c>
      <c r="BB3" s="121" t="s">
        <v>1</v>
      </c>
      <c r="BC3" s="121" t="s">
        <v>616</v>
      </c>
      <c r="BD3" s="121" t="s">
        <v>92</v>
      </c>
    </row>
    <row r="4" spans="2:56" ht="24.95" customHeight="1">
      <c r="B4" s="126"/>
      <c r="D4" s="127" t="s">
        <v>101</v>
      </c>
      <c r="L4" s="126"/>
      <c r="M4" s="316" t="s">
        <v>10</v>
      </c>
      <c r="AT4" s="120" t="s">
        <v>3</v>
      </c>
      <c r="AZ4" s="121" t="s">
        <v>617</v>
      </c>
      <c r="BA4" s="121" t="s">
        <v>1</v>
      </c>
      <c r="BB4" s="121" t="s">
        <v>1</v>
      </c>
      <c r="BC4" s="121" t="s">
        <v>418</v>
      </c>
      <c r="BD4" s="121" t="s">
        <v>92</v>
      </c>
    </row>
    <row r="5" spans="2:56" ht="6.95" customHeight="1">
      <c r="B5" s="126"/>
      <c r="L5" s="126"/>
      <c r="AZ5" s="121" t="s">
        <v>109</v>
      </c>
      <c r="BA5" s="121" t="s">
        <v>1</v>
      </c>
      <c r="BB5" s="121" t="s">
        <v>1</v>
      </c>
      <c r="BC5" s="121" t="s">
        <v>618</v>
      </c>
      <c r="BD5" s="121" t="s">
        <v>92</v>
      </c>
    </row>
    <row r="6" spans="2:56" ht="12" customHeight="1">
      <c r="B6" s="126"/>
      <c r="D6" s="129" t="s">
        <v>14</v>
      </c>
      <c r="L6" s="126"/>
      <c r="AZ6" s="121" t="s">
        <v>619</v>
      </c>
      <c r="BA6" s="121" t="s">
        <v>1</v>
      </c>
      <c r="BB6" s="121" t="s">
        <v>1</v>
      </c>
      <c r="BC6" s="121" t="s">
        <v>620</v>
      </c>
      <c r="BD6" s="121" t="s">
        <v>92</v>
      </c>
    </row>
    <row r="7" spans="2:56" ht="16.5" customHeight="1">
      <c r="B7" s="126"/>
      <c r="E7" s="179" t="str">
        <f>'Rekapitulace stavby'!K6</f>
        <v>MB Vodkova, oprava vodovodu a kanalizace</v>
      </c>
      <c r="F7" s="179"/>
      <c r="G7" s="129"/>
      <c r="I7" s="129"/>
      <c r="L7" s="126"/>
      <c r="AZ7" s="121" t="s">
        <v>621</v>
      </c>
      <c r="BA7" s="121" t="s">
        <v>1</v>
      </c>
      <c r="BB7" s="121" t="s">
        <v>1</v>
      </c>
      <c r="BC7" s="121" t="s">
        <v>622</v>
      </c>
      <c r="BD7" s="121" t="s">
        <v>92</v>
      </c>
    </row>
    <row r="8" spans="1:56" s="136" customFormat="1" ht="12" customHeight="1">
      <c r="A8" s="131"/>
      <c r="B8" s="132"/>
      <c r="C8" s="134"/>
      <c r="D8" s="129" t="s">
        <v>108</v>
      </c>
      <c r="E8" s="134"/>
      <c r="F8" s="134"/>
      <c r="G8" s="134"/>
      <c r="H8" s="134"/>
      <c r="I8" s="134"/>
      <c r="J8" s="134"/>
      <c r="K8" s="134"/>
      <c r="L8" s="163"/>
      <c r="M8" s="300"/>
      <c r="N8" s="300"/>
      <c r="O8" s="300"/>
      <c r="P8" s="300"/>
      <c r="Q8" s="300"/>
      <c r="R8" s="300"/>
      <c r="S8" s="134"/>
      <c r="T8" s="134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Z8" s="121" t="s">
        <v>623</v>
      </c>
      <c r="BA8" s="121" t="s">
        <v>1</v>
      </c>
      <c r="BB8" s="121" t="s">
        <v>1</v>
      </c>
      <c r="BC8" s="121" t="s">
        <v>624</v>
      </c>
      <c r="BD8" s="121" t="s">
        <v>92</v>
      </c>
    </row>
    <row r="9" spans="1:56" s="136" customFormat="1" ht="16.5" customHeight="1">
      <c r="A9" s="131"/>
      <c r="B9" s="132"/>
      <c r="C9" s="134"/>
      <c r="D9" s="134"/>
      <c r="E9" s="137" t="s">
        <v>625</v>
      </c>
      <c r="F9" s="137"/>
      <c r="G9" s="134"/>
      <c r="H9" s="134"/>
      <c r="I9" s="134"/>
      <c r="J9" s="134"/>
      <c r="K9" s="134"/>
      <c r="L9" s="163"/>
      <c r="M9" s="300"/>
      <c r="N9" s="300"/>
      <c r="O9" s="300"/>
      <c r="P9" s="300"/>
      <c r="Q9" s="300"/>
      <c r="R9" s="300"/>
      <c r="S9" s="134"/>
      <c r="T9" s="134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Z9" s="121" t="s">
        <v>626</v>
      </c>
      <c r="BA9" s="121" t="s">
        <v>1</v>
      </c>
      <c r="BB9" s="121" t="s">
        <v>1</v>
      </c>
      <c r="BC9" s="121" t="s">
        <v>627</v>
      </c>
      <c r="BD9" s="121" t="s">
        <v>92</v>
      </c>
    </row>
    <row r="10" spans="1:56" s="136" customFormat="1" ht="12">
      <c r="A10" s="131"/>
      <c r="B10" s="132"/>
      <c r="C10" s="134"/>
      <c r="D10" s="134"/>
      <c r="E10" s="134"/>
      <c r="F10" s="134"/>
      <c r="G10" s="134"/>
      <c r="H10" s="134"/>
      <c r="I10" s="134"/>
      <c r="J10" s="134"/>
      <c r="K10" s="134"/>
      <c r="L10" s="163"/>
      <c r="M10" s="300"/>
      <c r="N10" s="300"/>
      <c r="O10" s="300"/>
      <c r="P10" s="300"/>
      <c r="Q10" s="300"/>
      <c r="R10" s="300"/>
      <c r="S10" s="134"/>
      <c r="T10" s="134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Z10" s="121" t="s">
        <v>130</v>
      </c>
      <c r="BA10" s="121" t="s">
        <v>1</v>
      </c>
      <c r="BB10" s="121" t="s">
        <v>1</v>
      </c>
      <c r="BC10" s="121" t="s">
        <v>628</v>
      </c>
      <c r="BD10" s="121" t="s">
        <v>92</v>
      </c>
    </row>
    <row r="11" spans="1:56" s="136" customFormat="1" ht="12" customHeight="1">
      <c r="A11" s="131"/>
      <c r="B11" s="132"/>
      <c r="C11" s="134"/>
      <c r="D11" s="129" t="s">
        <v>16</v>
      </c>
      <c r="E11" s="134"/>
      <c r="F11" s="138" t="s">
        <v>96</v>
      </c>
      <c r="G11" s="134"/>
      <c r="H11" s="129" t="s">
        <v>17</v>
      </c>
      <c r="I11" s="134"/>
      <c r="J11" s="138" t="s">
        <v>629</v>
      </c>
      <c r="K11" s="134"/>
      <c r="L11" s="163"/>
      <c r="M11" s="300"/>
      <c r="N11" s="300"/>
      <c r="O11" s="300"/>
      <c r="P11" s="300"/>
      <c r="Q11" s="300"/>
      <c r="R11" s="300"/>
      <c r="S11" s="134"/>
      <c r="T11" s="134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Z11" s="121" t="s">
        <v>133</v>
      </c>
      <c r="BA11" s="121" t="s">
        <v>1</v>
      </c>
      <c r="BB11" s="121" t="s">
        <v>1</v>
      </c>
      <c r="BC11" s="121" t="s">
        <v>630</v>
      </c>
      <c r="BD11" s="121" t="s">
        <v>92</v>
      </c>
    </row>
    <row r="12" spans="1:56" s="136" customFormat="1" ht="12" customHeight="1">
      <c r="A12" s="131"/>
      <c r="B12" s="132"/>
      <c r="C12" s="134"/>
      <c r="D12" s="129" t="s">
        <v>19</v>
      </c>
      <c r="E12" s="134"/>
      <c r="F12" s="138" t="s">
        <v>20</v>
      </c>
      <c r="G12" s="134"/>
      <c r="H12" s="129" t="s">
        <v>21</v>
      </c>
      <c r="I12" s="134"/>
      <c r="J12" s="139" t="str">
        <f>'Rekapitulace stavby'!AN8</f>
        <v>4. 12. 2019</v>
      </c>
      <c r="K12" s="134"/>
      <c r="L12" s="163"/>
      <c r="M12" s="300"/>
      <c r="N12" s="300"/>
      <c r="O12" s="300"/>
      <c r="P12" s="300"/>
      <c r="Q12" s="300"/>
      <c r="R12" s="300"/>
      <c r="S12" s="134"/>
      <c r="T12" s="134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Z12" s="121" t="s">
        <v>135</v>
      </c>
      <c r="BA12" s="121" t="s">
        <v>1</v>
      </c>
      <c r="BB12" s="121" t="s">
        <v>1</v>
      </c>
      <c r="BC12" s="121" t="s">
        <v>631</v>
      </c>
      <c r="BD12" s="121" t="s">
        <v>92</v>
      </c>
    </row>
    <row r="13" spans="1:56" s="136" customFormat="1" ht="21.75" customHeight="1">
      <c r="A13" s="131"/>
      <c r="B13" s="132"/>
      <c r="C13" s="134"/>
      <c r="D13" s="140" t="s">
        <v>24</v>
      </c>
      <c r="E13" s="134"/>
      <c r="F13" s="141" t="s">
        <v>25</v>
      </c>
      <c r="G13" s="134"/>
      <c r="H13" s="140" t="s">
        <v>121</v>
      </c>
      <c r="I13" s="134"/>
      <c r="J13" s="141" t="s">
        <v>122</v>
      </c>
      <c r="K13" s="134"/>
      <c r="L13" s="163"/>
      <c r="M13" s="300"/>
      <c r="N13" s="300"/>
      <c r="O13" s="300"/>
      <c r="P13" s="300"/>
      <c r="Q13" s="300"/>
      <c r="R13" s="300"/>
      <c r="S13" s="134"/>
      <c r="T13" s="134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Z13" s="121" t="s">
        <v>137</v>
      </c>
      <c r="BA13" s="121" t="s">
        <v>1</v>
      </c>
      <c r="BB13" s="121" t="s">
        <v>1</v>
      </c>
      <c r="BC13" s="121" t="s">
        <v>632</v>
      </c>
      <c r="BD13" s="121" t="s">
        <v>92</v>
      </c>
    </row>
    <row r="14" spans="1:56" s="136" customFormat="1" ht="12" customHeight="1">
      <c r="A14" s="131"/>
      <c r="B14" s="132"/>
      <c r="C14" s="134"/>
      <c r="D14" s="129" t="s">
        <v>27</v>
      </c>
      <c r="E14" s="134"/>
      <c r="F14" s="134"/>
      <c r="G14" s="134"/>
      <c r="H14" s="129" t="s">
        <v>28</v>
      </c>
      <c r="I14" s="134"/>
      <c r="J14" s="138" t="s">
        <v>29</v>
      </c>
      <c r="K14" s="134"/>
      <c r="L14" s="163"/>
      <c r="M14" s="300"/>
      <c r="N14" s="300"/>
      <c r="O14" s="300"/>
      <c r="P14" s="300"/>
      <c r="Q14" s="300"/>
      <c r="R14" s="300"/>
      <c r="S14" s="134"/>
      <c r="T14" s="134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Z14" s="121" t="s">
        <v>139</v>
      </c>
      <c r="BA14" s="121" t="s">
        <v>1</v>
      </c>
      <c r="BB14" s="121" t="s">
        <v>1</v>
      </c>
      <c r="BC14" s="121" t="s">
        <v>633</v>
      </c>
      <c r="BD14" s="121" t="s">
        <v>92</v>
      </c>
    </row>
    <row r="15" spans="1:56" s="136" customFormat="1" ht="18" customHeight="1">
      <c r="A15" s="131"/>
      <c r="B15" s="132"/>
      <c r="C15" s="134"/>
      <c r="D15" s="134"/>
      <c r="E15" s="138" t="s">
        <v>30</v>
      </c>
      <c r="F15" s="134"/>
      <c r="G15" s="134"/>
      <c r="H15" s="129" t="s">
        <v>31</v>
      </c>
      <c r="I15" s="134"/>
      <c r="J15" s="138" t="s">
        <v>32</v>
      </c>
      <c r="K15" s="134"/>
      <c r="L15" s="163"/>
      <c r="M15" s="300"/>
      <c r="N15" s="300"/>
      <c r="O15" s="300"/>
      <c r="P15" s="300"/>
      <c r="Q15" s="300"/>
      <c r="R15" s="300"/>
      <c r="S15" s="134"/>
      <c r="T15" s="134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Z15" s="121" t="s">
        <v>143</v>
      </c>
      <c r="BA15" s="121" t="s">
        <v>1</v>
      </c>
      <c r="BB15" s="121" t="s">
        <v>1</v>
      </c>
      <c r="BC15" s="121" t="s">
        <v>634</v>
      </c>
      <c r="BD15" s="121" t="s">
        <v>92</v>
      </c>
    </row>
    <row r="16" spans="1:56" s="136" customFormat="1" ht="6.95" customHeight="1">
      <c r="A16" s="131"/>
      <c r="B16" s="132"/>
      <c r="C16" s="134"/>
      <c r="D16" s="134"/>
      <c r="E16" s="134"/>
      <c r="F16" s="134"/>
      <c r="G16" s="134"/>
      <c r="H16" s="134"/>
      <c r="I16" s="134"/>
      <c r="J16" s="134"/>
      <c r="K16" s="134"/>
      <c r="L16" s="163"/>
      <c r="M16" s="300"/>
      <c r="N16" s="300"/>
      <c r="O16" s="300"/>
      <c r="P16" s="300"/>
      <c r="Q16" s="300"/>
      <c r="R16" s="300"/>
      <c r="S16" s="134"/>
      <c r="T16" s="134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Z16" s="121" t="s">
        <v>145</v>
      </c>
      <c r="BA16" s="121" t="s">
        <v>1</v>
      </c>
      <c r="BB16" s="121" t="s">
        <v>1</v>
      </c>
      <c r="BC16" s="121" t="s">
        <v>635</v>
      </c>
      <c r="BD16" s="121" t="s">
        <v>92</v>
      </c>
    </row>
    <row r="17" spans="1:56" s="136" customFormat="1" ht="12" customHeight="1">
      <c r="A17" s="131"/>
      <c r="B17" s="132"/>
      <c r="C17" s="134"/>
      <c r="D17" s="129" t="s">
        <v>33</v>
      </c>
      <c r="E17" s="134"/>
      <c r="F17" s="134"/>
      <c r="G17" s="134"/>
      <c r="H17" s="129" t="s">
        <v>28</v>
      </c>
      <c r="I17" s="134"/>
      <c r="J17" s="138" t="str">
        <f>'Rekapitulace stavby'!AN13</f>
        <v/>
      </c>
      <c r="K17" s="134"/>
      <c r="L17" s="163"/>
      <c r="M17" s="300"/>
      <c r="N17" s="300"/>
      <c r="O17" s="300"/>
      <c r="P17" s="300"/>
      <c r="Q17" s="300"/>
      <c r="R17" s="300"/>
      <c r="S17" s="134"/>
      <c r="T17" s="134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Z17" s="121" t="s">
        <v>147</v>
      </c>
      <c r="BA17" s="121" t="s">
        <v>1</v>
      </c>
      <c r="BB17" s="121" t="s">
        <v>1</v>
      </c>
      <c r="BC17" s="121" t="s">
        <v>636</v>
      </c>
      <c r="BD17" s="121" t="s">
        <v>92</v>
      </c>
    </row>
    <row r="18" spans="1:56" s="136" customFormat="1" ht="18" customHeight="1">
      <c r="A18" s="131"/>
      <c r="B18" s="132"/>
      <c r="C18" s="134"/>
      <c r="D18" s="134"/>
      <c r="E18" s="138" t="str">
        <f>'Rekapitulace stavby'!E14</f>
        <v xml:space="preserve"> </v>
      </c>
      <c r="F18" s="138"/>
      <c r="G18" s="138"/>
      <c r="H18" s="129" t="s">
        <v>31</v>
      </c>
      <c r="I18" s="138"/>
      <c r="J18" s="138" t="str">
        <f>'Rekapitulace stavby'!AN14</f>
        <v/>
      </c>
      <c r="K18" s="134"/>
      <c r="L18" s="163"/>
      <c r="M18" s="300"/>
      <c r="N18" s="300"/>
      <c r="O18" s="300"/>
      <c r="P18" s="300"/>
      <c r="Q18" s="300"/>
      <c r="R18" s="300"/>
      <c r="S18" s="134"/>
      <c r="T18" s="134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Z18" s="121" t="s">
        <v>149</v>
      </c>
      <c r="BA18" s="121" t="s">
        <v>1</v>
      </c>
      <c r="BB18" s="121" t="s">
        <v>1</v>
      </c>
      <c r="BC18" s="121" t="s">
        <v>82</v>
      </c>
      <c r="BD18" s="121" t="s">
        <v>92</v>
      </c>
    </row>
    <row r="19" spans="1:56" s="136" customFormat="1" ht="6.95" customHeight="1">
      <c r="A19" s="131"/>
      <c r="B19" s="132"/>
      <c r="C19" s="134"/>
      <c r="D19" s="134"/>
      <c r="E19" s="134"/>
      <c r="F19" s="134"/>
      <c r="G19" s="134"/>
      <c r="H19" s="134"/>
      <c r="I19" s="134"/>
      <c r="J19" s="134"/>
      <c r="K19" s="134"/>
      <c r="L19" s="163"/>
      <c r="M19" s="300"/>
      <c r="N19" s="300"/>
      <c r="O19" s="300"/>
      <c r="P19" s="300"/>
      <c r="Q19" s="300"/>
      <c r="R19" s="300"/>
      <c r="S19" s="134"/>
      <c r="T19" s="134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Z19" s="121" t="s">
        <v>150</v>
      </c>
      <c r="BA19" s="121" t="s">
        <v>1</v>
      </c>
      <c r="BB19" s="121" t="s">
        <v>1</v>
      </c>
      <c r="BC19" s="121" t="s">
        <v>636</v>
      </c>
      <c r="BD19" s="121" t="s">
        <v>92</v>
      </c>
    </row>
    <row r="20" spans="1:56" s="136" customFormat="1" ht="12" customHeight="1">
      <c r="A20" s="131"/>
      <c r="B20" s="132"/>
      <c r="C20" s="134"/>
      <c r="D20" s="129" t="s">
        <v>35</v>
      </c>
      <c r="E20" s="134"/>
      <c r="F20" s="134"/>
      <c r="G20" s="134"/>
      <c r="H20" s="129" t="s">
        <v>28</v>
      </c>
      <c r="I20" s="134"/>
      <c r="J20" s="138" t="s">
        <v>36</v>
      </c>
      <c r="K20" s="134"/>
      <c r="L20" s="163"/>
      <c r="M20" s="300"/>
      <c r="N20" s="300"/>
      <c r="O20" s="300"/>
      <c r="P20" s="300"/>
      <c r="Q20" s="300"/>
      <c r="R20" s="300"/>
      <c r="S20" s="134"/>
      <c r="T20" s="134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Z20" s="121" t="s">
        <v>155</v>
      </c>
      <c r="BA20" s="121" t="s">
        <v>1</v>
      </c>
      <c r="BB20" s="121" t="s">
        <v>1</v>
      </c>
      <c r="BC20" s="121" t="s">
        <v>82</v>
      </c>
      <c r="BD20" s="121" t="s">
        <v>92</v>
      </c>
    </row>
    <row r="21" spans="1:56" s="136" customFormat="1" ht="18" customHeight="1">
      <c r="A21" s="131"/>
      <c r="B21" s="132"/>
      <c r="C21" s="134"/>
      <c r="D21" s="134"/>
      <c r="E21" s="138" t="s">
        <v>37</v>
      </c>
      <c r="F21" s="134"/>
      <c r="G21" s="134"/>
      <c r="H21" s="129" t="s">
        <v>31</v>
      </c>
      <c r="I21" s="134"/>
      <c r="J21" s="138" t="s">
        <v>38</v>
      </c>
      <c r="K21" s="134"/>
      <c r="L21" s="163"/>
      <c r="M21" s="300"/>
      <c r="N21" s="300"/>
      <c r="O21" s="300"/>
      <c r="P21" s="300"/>
      <c r="Q21" s="300"/>
      <c r="R21" s="300"/>
      <c r="S21" s="134"/>
      <c r="T21" s="134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Z21" s="121" t="s">
        <v>156</v>
      </c>
      <c r="BA21" s="121" t="s">
        <v>1</v>
      </c>
      <c r="BB21" s="121" t="s">
        <v>1</v>
      </c>
      <c r="BC21" s="121" t="s">
        <v>637</v>
      </c>
      <c r="BD21" s="121" t="s">
        <v>92</v>
      </c>
    </row>
    <row r="22" spans="1:56" s="136" customFormat="1" ht="6.95" customHeight="1">
      <c r="A22" s="131"/>
      <c r="B22" s="132"/>
      <c r="C22" s="134"/>
      <c r="D22" s="134"/>
      <c r="E22" s="134"/>
      <c r="F22" s="134"/>
      <c r="G22" s="134"/>
      <c r="H22" s="134"/>
      <c r="I22" s="134"/>
      <c r="J22" s="134"/>
      <c r="K22" s="134"/>
      <c r="L22" s="163"/>
      <c r="M22" s="300"/>
      <c r="N22" s="300"/>
      <c r="O22" s="300"/>
      <c r="P22" s="300"/>
      <c r="Q22" s="300"/>
      <c r="R22" s="300"/>
      <c r="S22" s="134"/>
      <c r="T22" s="134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Z22" s="121" t="s">
        <v>158</v>
      </c>
      <c r="BA22" s="121" t="s">
        <v>1</v>
      </c>
      <c r="BB22" s="121" t="s">
        <v>1</v>
      </c>
      <c r="BC22" s="121" t="s">
        <v>638</v>
      </c>
      <c r="BD22" s="121" t="s">
        <v>92</v>
      </c>
    </row>
    <row r="23" spans="1:56" s="136" customFormat="1" ht="12" customHeight="1">
      <c r="A23" s="131"/>
      <c r="B23" s="132"/>
      <c r="C23" s="134"/>
      <c r="D23" s="129" t="s">
        <v>40</v>
      </c>
      <c r="E23" s="134"/>
      <c r="F23" s="134"/>
      <c r="G23" s="134"/>
      <c r="H23" s="129" t="s">
        <v>28</v>
      </c>
      <c r="I23" s="134"/>
      <c r="J23" s="138" t="s">
        <v>36</v>
      </c>
      <c r="K23" s="134"/>
      <c r="L23" s="163"/>
      <c r="M23" s="300"/>
      <c r="N23" s="300"/>
      <c r="O23" s="300"/>
      <c r="P23" s="300"/>
      <c r="Q23" s="300"/>
      <c r="R23" s="300"/>
      <c r="S23" s="134"/>
      <c r="T23" s="134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Z23" s="121" t="s">
        <v>160</v>
      </c>
      <c r="BA23" s="121" t="s">
        <v>1</v>
      </c>
      <c r="BB23" s="121" t="s">
        <v>1</v>
      </c>
      <c r="BC23" s="121" t="s">
        <v>639</v>
      </c>
      <c r="BD23" s="121" t="s">
        <v>92</v>
      </c>
    </row>
    <row r="24" spans="1:56" s="136" customFormat="1" ht="18" customHeight="1">
      <c r="A24" s="131"/>
      <c r="B24" s="132"/>
      <c r="C24" s="134"/>
      <c r="D24" s="134"/>
      <c r="E24" s="138" t="s">
        <v>37</v>
      </c>
      <c r="F24" s="134"/>
      <c r="G24" s="134"/>
      <c r="H24" s="129" t="s">
        <v>31</v>
      </c>
      <c r="I24" s="134"/>
      <c r="J24" s="138" t="s">
        <v>38</v>
      </c>
      <c r="K24" s="134"/>
      <c r="L24" s="163"/>
      <c r="M24" s="300"/>
      <c r="N24" s="300"/>
      <c r="O24" s="300"/>
      <c r="P24" s="300"/>
      <c r="Q24" s="300"/>
      <c r="R24" s="300"/>
      <c r="S24" s="134"/>
      <c r="T24" s="134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Z24" s="121" t="s">
        <v>164</v>
      </c>
      <c r="BA24" s="121" t="s">
        <v>1</v>
      </c>
      <c r="BB24" s="121" t="s">
        <v>1</v>
      </c>
      <c r="BC24" s="121" t="s">
        <v>640</v>
      </c>
      <c r="BD24" s="121" t="s">
        <v>92</v>
      </c>
    </row>
    <row r="25" spans="1:56" s="136" customFormat="1" ht="6.95" customHeight="1">
      <c r="A25" s="131"/>
      <c r="B25" s="132"/>
      <c r="C25" s="134"/>
      <c r="D25" s="134"/>
      <c r="E25" s="134"/>
      <c r="F25" s="134"/>
      <c r="G25" s="134"/>
      <c r="H25" s="134"/>
      <c r="I25" s="134"/>
      <c r="J25" s="134"/>
      <c r="K25" s="134"/>
      <c r="L25" s="163"/>
      <c r="M25" s="300"/>
      <c r="N25" s="300"/>
      <c r="O25" s="300"/>
      <c r="P25" s="300"/>
      <c r="Q25" s="300"/>
      <c r="R25" s="300"/>
      <c r="S25" s="134"/>
      <c r="T25" s="134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Z25" s="121" t="s">
        <v>641</v>
      </c>
      <c r="BA25" s="121" t="s">
        <v>1</v>
      </c>
      <c r="BB25" s="121" t="s">
        <v>1</v>
      </c>
      <c r="BC25" s="121" t="s">
        <v>302</v>
      </c>
      <c r="BD25" s="121" t="s">
        <v>92</v>
      </c>
    </row>
    <row r="26" spans="1:56" s="136" customFormat="1" ht="12" customHeight="1">
      <c r="A26" s="131"/>
      <c r="B26" s="132"/>
      <c r="C26" s="134"/>
      <c r="D26" s="129" t="s">
        <v>41</v>
      </c>
      <c r="E26" s="134"/>
      <c r="F26" s="134"/>
      <c r="G26" s="134"/>
      <c r="H26" s="134"/>
      <c r="I26" s="134"/>
      <c r="J26" s="134"/>
      <c r="K26" s="134"/>
      <c r="L26" s="163"/>
      <c r="M26" s="300"/>
      <c r="N26" s="300"/>
      <c r="O26" s="300"/>
      <c r="P26" s="300"/>
      <c r="Q26" s="300"/>
      <c r="R26" s="300"/>
      <c r="S26" s="134"/>
      <c r="T26" s="134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Z26" s="121" t="s">
        <v>642</v>
      </c>
      <c r="BA26" s="121" t="s">
        <v>1</v>
      </c>
      <c r="BB26" s="121" t="s">
        <v>1</v>
      </c>
      <c r="BC26" s="121" t="s">
        <v>299</v>
      </c>
      <c r="BD26" s="121" t="s">
        <v>92</v>
      </c>
    </row>
    <row r="27" spans="1:56" s="148" customFormat="1" ht="16.5" customHeight="1">
      <c r="A27" s="142"/>
      <c r="B27" s="143"/>
      <c r="C27" s="145"/>
      <c r="D27" s="145"/>
      <c r="E27" s="146" t="s">
        <v>1</v>
      </c>
      <c r="F27" s="146"/>
      <c r="G27" s="146"/>
      <c r="H27" s="145"/>
      <c r="I27" s="146"/>
      <c r="J27" s="145"/>
      <c r="K27" s="145"/>
      <c r="L27" s="317"/>
      <c r="M27" s="318"/>
      <c r="N27" s="318"/>
      <c r="O27" s="318"/>
      <c r="P27" s="318"/>
      <c r="Q27" s="318"/>
      <c r="R27" s="318"/>
      <c r="S27" s="145"/>
      <c r="T27" s="145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Z27" s="149" t="s">
        <v>167</v>
      </c>
      <c r="BA27" s="149" t="s">
        <v>1</v>
      </c>
      <c r="BB27" s="149" t="s">
        <v>1</v>
      </c>
      <c r="BC27" s="149" t="s">
        <v>643</v>
      </c>
      <c r="BD27" s="149" t="s">
        <v>92</v>
      </c>
    </row>
    <row r="28" spans="1:56" s="136" customFormat="1" ht="6.95" customHeight="1">
      <c r="A28" s="131"/>
      <c r="B28" s="132"/>
      <c r="C28" s="134"/>
      <c r="D28" s="134"/>
      <c r="E28" s="134"/>
      <c r="F28" s="134"/>
      <c r="G28" s="134"/>
      <c r="H28" s="134"/>
      <c r="I28" s="134"/>
      <c r="J28" s="134"/>
      <c r="K28" s="134"/>
      <c r="L28" s="163"/>
      <c r="M28" s="300"/>
      <c r="N28" s="300"/>
      <c r="O28" s="300"/>
      <c r="P28" s="300"/>
      <c r="Q28" s="300"/>
      <c r="R28" s="300"/>
      <c r="S28" s="134"/>
      <c r="T28" s="134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Z28" s="121" t="s">
        <v>169</v>
      </c>
      <c r="BA28" s="121" t="s">
        <v>1</v>
      </c>
      <c r="BB28" s="121" t="s">
        <v>1</v>
      </c>
      <c r="BC28" s="121" t="s">
        <v>644</v>
      </c>
      <c r="BD28" s="121" t="s">
        <v>92</v>
      </c>
    </row>
    <row r="29" spans="1:31" s="136" customFormat="1" ht="6.95" customHeight="1">
      <c r="A29" s="131"/>
      <c r="B29" s="132"/>
      <c r="C29" s="134"/>
      <c r="D29" s="150"/>
      <c r="E29" s="150"/>
      <c r="F29" s="150"/>
      <c r="G29" s="150"/>
      <c r="H29" s="150"/>
      <c r="I29" s="150"/>
      <c r="J29" s="150"/>
      <c r="K29" s="150"/>
      <c r="L29" s="163"/>
      <c r="M29" s="300"/>
      <c r="N29" s="300"/>
      <c r="O29" s="300"/>
      <c r="P29" s="300"/>
      <c r="Q29" s="300"/>
      <c r="R29" s="300"/>
      <c r="S29" s="134"/>
      <c r="T29" s="134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136" customFormat="1" ht="25.35" customHeight="1">
      <c r="A30" s="131"/>
      <c r="B30" s="132"/>
      <c r="C30" s="134"/>
      <c r="D30" s="151" t="s">
        <v>42</v>
      </c>
      <c r="E30" s="134"/>
      <c r="F30" s="134"/>
      <c r="G30" s="134"/>
      <c r="H30" s="134"/>
      <c r="I30" s="134"/>
      <c r="J30" s="152">
        <f>ROUND(J126,0)</f>
        <v>0</v>
      </c>
      <c r="K30" s="134"/>
      <c r="L30" s="163"/>
      <c r="M30" s="300"/>
      <c r="N30" s="300"/>
      <c r="O30" s="300"/>
      <c r="P30" s="300"/>
      <c r="Q30" s="300"/>
      <c r="R30" s="300"/>
      <c r="S30" s="134"/>
      <c r="T30" s="134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</row>
    <row r="31" spans="1:31" s="136" customFormat="1" ht="6.95" customHeight="1">
      <c r="A31" s="131"/>
      <c r="B31" s="132"/>
      <c r="C31" s="134"/>
      <c r="D31" s="150"/>
      <c r="E31" s="150"/>
      <c r="F31" s="150"/>
      <c r="G31" s="150"/>
      <c r="H31" s="150"/>
      <c r="I31" s="150"/>
      <c r="J31" s="150"/>
      <c r="K31" s="150"/>
      <c r="L31" s="163"/>
      <c r="M31" s="300"/>
      <c r="N31" s="300"/>
      <c r="O31" s="300"/>
      <c r="P31" s="300"/>
      <c r="Q31" s="300"/>
      <c r="R31" s="300"/>
      <c r="S31" s="134"/>
      <c r="T31" s="134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</row>
    <row r="32" spans="1:31" s="136" customFormat="1" ht="14.45" customHeight="1">
      <c r="A32" s="131"/>
      <c r="B32" s="132"/>
      <c r="C32" s="134"/>
      <c r="D32" s="134"/>
      <c r="E32" s="134"/>
      <c r="F32" s="153" t="s">
        <v>44</v>
      </c>
      <c r="G32" s="134"/>
      <c r="H32" s="153" t="s">
        <v>43</v>
      </c>
      <c r="I32" s="134"/>
      <c r="J32" s="153" t="s">
        <v>45</v>
      </c>
      <c r="K32" s="134"/>
      <c r="L32" s="163"/>
      <c r="M32" s="300"/>
      <c r="N32" s="300"/>
      <c r="O32" s="300"/>
      <c r="P32" s="300"/>
      <c r="Q32" s="300"/>
      <c r="R32" s="300"/>
      <c r="S32" s="134"/>
      <c r="T32" s="134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</row>
    <row r="33" spans="1:31" s="136" customFormat="1" ht="14.45" customHeight="1">
      <c r="A33" s="131"/>
      <c r="B33" s="132"/>
      <c r="C33" s="134"/>
      <c r="D33" s="154" t="s">
        <v>46</v>
      </c>
      <c r="E33" s="129" t="s">
        <v>47</v>
      </c>
      <c r="F33" s="155">
        <f>ROUND((SUM(BE126:BE318)),2)</f>
        <v>0</v>
      </c>
      <c r="G33" s="134"/>
      <c r="H33" s="156">
        <v>0.21</v>
      </c>
      <c r="I33" s="134"/>
      <c r="J33" s="155">
        <f>ROUND(((SUM(BE126:BE318))*H33),2)</f>
        <v>0</v>
      </c>
      <c r="K33" s="134"/>
      <c r="L33" s="163"/>
      <c r="M33" s="300"/>
      <c r="N33" s="300"/>
      <c r="O33" s="300"/>
      <c r="P33" s="300"/>
      <c r="Q33" s="300"/>
      <c r="R33" s="300"/>
      <c r="S33" s="134"/>
      <c r="T33" s="134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</row>
    <row r="34" spans="1:31" s="136" customFormat="1" ht="14.45" customHeight="1">
      <c r="A34" s="131"/>
      <c r="B34" s="132"/>
      <c r="C34" s="134"/>
      <c r="D34" s="134"/>
      <c r="E34" s="129" t="s">
        <v>48</v>
      </c>
      <c r="F34" s="155">
        <f>ROUND((SUM(BF126:BF318)),2)</f>
        <v>0</v>
      </c>
      <c r="G34" s="134"/>
      <c r="H34" s="156">
        <v>0.15</v>
      </c>
      <c r="I34" s="134"/>
      <c r="J34" s="155">
        <f>ROUND(((SUM(BF126:BF318))*H34),2)</f>
        <v>0</v>
      </c>
      <c r="K34" s="134"/>
      <c r="L34" s="163"/>
      <c r="M34" s="300"/>
      <c r="N34" s="300"/>
      <c r="O34" s="300"/>
      <c r="P34" s="300"/>
      <c r="Q34" s="300"/>
      <c r="R34" s="300"/>
      <c r="S34" s="134"/>
      <c r="T34" s="134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</row>
    <row r="35" spans="1:31" s="136" customFormat="1" ht="14.45" customHeight="1" hidden="1">
      <c r="A35" s="131"/>
      <c r="B35" s="132"/>
      <c r="C35" s="134"/>
      <c r="D35" s="134"/>
      <c r="E35" s="129" t="s">
        <v>49</v>
      </c>
      <c r="F35" s="155">
        <f>ROUND((SUM(BG126:BG318)),2)</f>
        <v>0</v>
      </c>
      <c r="G35" s="134"/>
      <c r="H35" s="156">
        <v>0.21</v>
      </c>
      <c r="I35" s="134"/>
      <c r="J35" s="155">
        <f>0</f>
        <v>0</v>
      </c>
      <c r="K35" s="134"/>
      <c r="L35" s="163"/>
      <c r="M35" s="300"/>
      <c r="N35" s="300"/>
      <c r="O35" s="300"/>
      <c r="P35" s="300"/>
      <c r="Q35" s="300"/>
      <c r="R35" s="300"/>
      <c r="S35" s="134"/>
      <c r="T35" s="134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</row>
    <row r="36" spans="1:31" s="136" customFormat="1" ht="14.45" customHeight="1" hidden="1">
      <c r="A36" s="131"/>
      <c r="B36" s="132"/>
      <c r="C36" s="134"/>
      <c r="D36" s="134"/>
      <c r="E36" s="129" t="s">
        <v>50</v>
      </c>
      <c r="F36" s="155">
        <f>ROUND((SUM(BH126:BH318)),2)</f>
        <v>0</v>
      </c>
      <c r="G36" s="134"/>
      <c r="H36" s="156">
        <v>0.15</v>
      </c>
      <c r="I36" s="134"/>
      <c r="J36" s="155">
        <f>0</f>
        <v>0</v>
      </c>
      <c r="K36" s="134"/>
      <c r="L36" s="163"/>
      <c r="M36" s="300"/>
      <c r="N36" s="300"/>
      <c r="O36" s="300"/>
      <c r="P36" s="300"/>
      <c r="Q36" s="300"/>
      <c r="R36" s="300"/>
      <c r="S36" s="134"/>
      <c r="T36" s="134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</row>
    <row r="37" spans="1:31" s="136" customFormat="1" ht="14.45" customHeight="1" hidden="1">
      <c r="A37" s="131"/>
      <c r="B37" s="132"/>
      <c r="C37" s="134"/>
      <c r="D37" s="134"/>
      <c r="E37" s="129" t="s">
        <v>51</v>
      </c>
      <c r="F37" s="155">
        <f>ROUND((SUM(BI126:BI318)),2)</f>
        <v>0</v>
      </c>
      <c r="G37" s="134"/>
      <c r="H37" s="156">
        <v>0</v>
      </c>
      <c r="I37" s="134"/>
      <c r="J37" s="155">
        <f>0</f>
        <v>0</v>
      </c>
      <c r="K37" s="134"/>
      <c r="L37" s="163"/>
      <c r="M37" s="300"/>
      <c r="N37" s="300"/>
      <c r="O37" s="300"/>
      <c r="P37" s="300"/>
      <c r="Q37" s="300"/>
      <c r="R37" s="300"/>
      <c r="S37" s="134"/>
      <c r="T37" s="134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</row>
    <row r="38" spans="1:31" s="136" customFormat="1" ht="6.95" customHeight="1">
      <c r="A38" s="131"/>
      <c r="B38" s="132"/>
      <c r="C38" s="134"/>
      <c r="D38" s="134"/>
      <c r="E38" s="134"/>
      <c r="F38" s="134"/>
      <c r="G38" s="134"/>
      <c r="H38" s="134"/>
      <c r="I38" s="134"/>
      <c r="J38" s="134"/>
      <c r="K38" s="134"/>
      <c r="L38" s="163"/>
      <c r="M38" s="300"/>
      <c r="N38" s="300"/>
      <c r="O38" s="300"/>
      <c r="P38" s="300"/>
      <c r="Q38" s="300"/>
      <c r="R38" s="300"/>
      <c r="S38" s="134"/>
      <c r="T38" s="134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</row>
    <row r="39" spans="1:31" s="136" customFormat="1" ht="25.35" customHeight="1">
      <c r="A39" s="131"/>
      <c r="B39" s="132"/>
      <c r="C39" s="134"/>
      <c r="D39" s="157" t="s">
        <v>52</v>
      </c>
      <c r="E39" s="158"/>
      <c r="F39" s="158"/>
      <c r="G39" s="159" t="s">
        <v>53</v>
      </c>
      <c r="H39" s="158"/>
      <c r="I39" s="160" t="s">
        <v>54</v>
      </c>
      <c r="J39" s="161">
        <f>SUM(J30:J37)</f>
        <v>0</v>
      </c>
      <c r="K39" s="162"/>
      <c r="L39" s="163"/>
      <c r="M39" s="300"/>
      <c r="N39" s="300"/>
      <c r="O39" s="300"/>
      <c r="P39" s="300"/>
      <c r="Q39" s="300"/>
      <c r="R39" s="300"/>
      <c r="S39" s="134"/>
      <c r="T39" s="134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</row>
    <row r="40" spans="1:31" s="136" customFormat="1" ht="14.45" customHeight="1">
      <c r="A40" s="131"/>
      <c r="B40" s="132"/>
      <c r="C40" s="134"/>
      <c r="D40" s="134"/>
      <c r="E40" s="134"/>
      <c r="F40" s="134"/>
      <c r="G40" s="134"/>
      <c r="H40" s="134"/>
      <c r="I40" s="134"/>
      <c r="J40" s="134"/>
      <c r="K40" s="134"/>
      <c r="L40" s="163"/>
      <c r="M40" s="300"/>
      <c r="N40" s="300"/>
      <c r="O40" s="300"/>
      <c r="P40" s="300"/>
      <c r="Q40" s="300"/>
      <c r="R40" s="300"/>
      <c r="S40" s="134"/>
      <c r="T40" s="134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</row>
    <row r="41" spans="2:12" ht="14.45" customHeight="1">
      <c r="B41" s="126"/>
      <c r="L41" s="126"/>
    </row>
    <row r="42" spans="2:12" ht="14.45" customHeight="1">
      <c r="B42" s="126"/>
      <c r="L42" s="126"/>
    </row>
    <row r="43" spans="2:12" ht="14.45" customHeight="1">
      <c r="B43" s="126"/>
      <c r="L43" s="126"/>
    </row>
    <row r="44" spans="2:12" ht="14.45" customHeight="1">
      <c r="B44" s="126"/>
      <c r="L44" s="126"/>
    </row>
    <row r="45" spans="2:12" ht="14.45" customHeight="1">
      <c r="B45" s="126"/>
      <c r="L45" s="126"/>
    </row>
    <row r="46" spans="2:12" ht="14.45" customHeight="1">
      <c r="B46" s="126"/>
      <c r="L46" s="126"/>
    </row>
    <row r="47" spans="2:12" ht="14.45" customHeight="1">
      <c r="B47" s="126"/>
      <c r="L47" s="126"/>
    </row>
    <row r="48" spans="2:12" ht="14.45" customHeight="1">
      <c r="B48" s="126"/>
      <c r="L48" s="126"/>
    </row>
    <row r="49" spans="2:20" s="136" customFormat="1" ht="14.45" customHeight="1">
      <c r="B49" s="163"/>
      <c r="C49" s="300"/>
      <c r="D49" s="164" t="s">
        <v>55</v>
      </c>
      <c r="E49" s="165"/>
      <c r="F49" s="165"/>
      <c r="G49" s="164" t="s">
        <v>56</v>
      </c>
      <c r="H49" s="165"/>
      <c r="I49" s="165"/>
      <c r="J49" s="165"/>
      <c r="K49" s="165"/>
      <c r="L49" s="163"/>
      <c r="M49" s="300"/>
      <c r="N49" s="300"/>
      <c r="O49" s="300"/>
      <c r="P49" s="300"/>
      <c r="Q49" s="300"/>
      <c r="R49" s="300"/>
      <c r="S49" s="300"/>
      <c r="T49" s="300"/>
    </row>
    <row r="50" spans="2:12" ht="12">
      <c r="B50" s="126"/>
      <c r="L50" s="126"/>
    </row>
    <row r="51" spans="2:12" ht="12">
      <c r="B51" s="126"/>
      <c r="L51" s="126"/>
    </row>
    <row r="52" spans="2:12" ht="12">
      <c r="B52" s="126"/>
      <c r="L52" s="126"/>
    </row>
    <row r="53" spans="2:12" ht="12">
      <c r="B53" s="126"/>
      <c r="L53" s="126"/>
    </row>
    <row r="54" spans="2:12" ht="12">
      <c r="B54" s="126"/>
      <c r="L54" s="126"/>
    </row>
    <row r="55" spans="2:12" ht="12">
      <c r="B55" s="126"/>
      <c r="L55" s="126"/>
    </row>
    <row r="56" spans="2:12" ht="12">
      <c r="B56" s="126"/>
      <c r="L56" s="126"/>
    </row>
    <row r="57" spans="2:12" ht="12">
      <c r="B57" s="126"/>
      <c r="L57" s="126"/>
    </row>
    <row r="58" spans="2:12" ht="12">
      <c r="B58" s="126"/>
      <c r="L58" s="126"/>
    </row>
    <row r="59" spans="2:12" ht="12">
      <c r="B59" s="126"/>
      <c r="L59" s="126"/>
    </row>
    <row r="60" spans="1:31" s="136" customFormat="1" ht="12.75">
      <c r="A60" s="131"/>
      <c r="B60" s="132"/>
      <c r="C60" s="134"/>
      <c r="D60" s="166" t="s">
        <v>57</v>
      </c>
      <c r="E60" s="167"/>
      <c r="F60" s="168" t="s">
        <v>58</v>
      </c>
      <c r="G60" s="166" t="s">
        <v>57</v>
      </c>
      <c r="H60" s="167"/>
      <c r="I60" s="167"/>
      <c r="J60" s="169" t="s">
        <v>58</v>
      </c>
      <c r="K60" s="167"/>
      <c r="L60" s="163"/>
      <c r="M60" s="300"/>
      <c r="N60" s="300"/>
      <c r="O60" s="300"/>
      <c r="P60" s="300"/>
      <c r="Q60" s="300"/>
      <c r="R60" s="300"/>
      <c r="S60" s="134"/>
      <c r="T60" s="134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</row>
    <row r="61" spans="2:12" ht="12">
      <c r="B61" s="126"/>
      <c r="L61" s="126"/>
    </row>
    <row r="62" spans="2:12" ht="12">
      <c r="B62" s="126"/>
      <c r="L62" s="126"/>
    </row>
    <row r="63" spans="2:12" ht="12">
      <c r="B63" s="126"/>
      <c r="L63" s="126"/>
    </row>
    <row r="64" spans="1:31" s="136" customFormat="1" ht="12.75">
      <c r="A64" s="131"/>
      <c r="B64" s="132"/>
      <c r="C64" s="134"/>
      <c r="D64" s="164" t="s">
        <v>59</v>
      </c>
      <c r="E64" s="170"/>
      <c r="F64" s="170"/>
      <c r="G64" s="164" t="s">
        <v>60</v>
      </c>
      <c r="H64" s="170"/>
      <c r="I64" s="170"/>
      <c r="J64" s="170"/>
      <c r="K64" s="170"/>
      <c r="L64" s="163"/>
      <c r="M64" s="300"/>
      <c r="N64" s="300"/>
      <c r="O64" s="300"/>
      <c r="P64" s="300"/>
      <c r="Q64" s="300"/>
      <c r="R64" s="300"/>
      <c r="S64" s="134"/>
      <c r="T64" s="134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</row>
    <row r="65" spans="2:12" ht="12">
      <c r="B65" s="126"/>
      <c r="L65" s="126"/>
    </row>
    <row r="66" spans="2:12" ht="12">
      <c r="B66" s="126"/>
      <c r="L66" s="126"/>
    </row>
    <row r="67" spans="2:12" ht="12">
      <c r="B67" s="126"/>
      <c r="L67" s="126"/>
    </row>
    <row r="68" spans="2:12" ht="12">
      <c r="B68" s="126"/>
      <c r="L68" s="126"/>
    </row>
    <row r="69" spans="2:12" ht="12">
      <c r="B69" s="126"/>
      <c r="L69" s="126"/>
    </row>
    <row r="70" spans="2:12" ht="12">
      <c r="B70" s="126"/>
      <c r="L70" s="126"/>
    </row>
    <row r="71" spans="2:12" ht="12">
      <c r="B71" s="126"/>
      <c r="L71" s="126"/>
    </row>
    <row r="72" spans="2:12" ht="12">
      <c r="B72" s="126"/>
      <c r="L72" s="126"/>
    </row>
    <row r="73" spans="2:12" ht="12">
      <c r="B73" s="126"/>
      <c r="L73" s="126"/>
    </row>
    <row r="74" spans="2:12" ht="12">
      <c r="B74" s="126"/>
      <c r="L74" s="126"/>
    </row>
    <row r="75" spans="1:31" s="136" customFormat="1" ht="12.75">
      <c r="A75" s="131"/>
      <c r="B75" s="132"/>
      <c r="C75" s="134"/>
      <c r="D75" s="166" t="s">
        <v>57</v>
      </c>
      <c r="E75" s="167"/>
      <c r="F75" s="168" t="s">
        <v>58</v>
      </c>
      <c r="G75" s="166" t="s">
        <v>57</v>
      </c>
      <c r="H75" s="167"/>
      <c r="I75" s="167"/>
      <c r="J75" s="169" t="s">
        <v>58</v>
      </c>
      <c r="K75" s="167"/>
      <c r="L75" s="163"/>
      <c r="M75" s="300"/>
      <c r="N75" s="300"/>
      <c r="O75" s="300"/>
      <c r="P75" s="300"/>
      <c r="Q75" s="300"/>
      <c r="R75" s="300"/>
      <c r="S75" s="134"/>
      <c r="T75" s="134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</row>
    <row r="76" spans="1:31" s="136" customFormat="1" ht="14.45" customHeight="1">
      <c r="A76" s="131"/>
      <c r="B76" s="171"/>
      <c r="C76" s="173"/>
      <c r="D76" s="173"/>
      <c r="E76" s="173"/>
      <c r="F76" s="173"/>
      <c r="G76" s="173"/>
      <c r="H76" s="173"/>
      <c r="I76" s="173"/>
      <c r="J76" s="173"/>
      <c r="K76" s="173"/>
      <c r="L76" s="163"/>
      <c r="M76" s="300"/>
      <c r="N76" s="300"/>
      <c r="O76" s="300"/>
      <c r="P76" s="300"/>
      <c r="Q76" s="300"/>
      <c r="R76" s="300"/>
      <c r="S76" s="134"/>
      <c r="T76" s="134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</row>
    <row r="80" spans="1:31" s="136" customFormat="1" ht="6.95" customHeight="1">
      <c r="A80" s="131"/>
      <c r="B80" s="174"/>
      <c r="C80" s="176"/>
      <c r="D80" s="176"/>
      <c r="E80" s="176"/>
      <c r="F80" s="176"/>
      <c r="G80" s="176"/>
      <c r="H80" s="176"/>
      <c r="I80" s="176"/>
      <c r="J80" s="176"/>
      <c r="K80" s="176"/>
      <c r="L80" s="163"/>
      <c r="M80" s="300"/>
      <c r="N80" s="300"/>
      <c r="O80" s="300"/>
      <c r="P80" s="300"/>
      <c r="Q80" s="300"/>
      <c r="R80" s="300"/>
      <c r="S80" s="134"/>
      <c r="T80" s="134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</row>
    <row r="81" spans="1:31" s="136" customFormat="1" ht="24.95" customHeight="1">
      <c r="A81" s="131"/>
      <c r="B81" s="132"/>
      <c r="C81" s="127" t="s">
        <v>173</v>
      </c>
      <c r="D81" s="134"/>
      <c r="E81" s="134"/>
      <c r="F81" s="134"/>
      <c r="G81" s="134"/>
      <c r="H81" s="134"/>
      <c r="I81" s="134"/>
      <c r="J81" s="134"/>
      <c r="K81" s="134"/>
      <c r="L81" s="163"/>
      <c r="M81" s="300"/>
      <c r="N81" s="300"/>
      <c r="O81" s="300"/>
      <c r="P81" s="300"/>
      <c r="Q81" s="300"/>
      <c r="R81" s="300"/>
      <c r="S81" s="134"/>
      <c r="T81" s="134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</row>
    <row r="82" spans="1:31" s="136" customFormat="1" ht="6.95" customHeight="1">
      <c r="A82" s="131"/>
      <c r="B82" s="132"/>
      <c r="C82" s="134"/>
      <c r="D82" s="134"/>
      <c r="E82" s="134"/>
      <c r="F82" s="134"/>
      <c r="G82" s="134"/>
      <c r="H82" s="134"/>
      <c r="I82" s="134"/>
      <c r="J82" s="134"/>
      <c r="K82" s="134"/>
      <c r="L82" s="163"/>
      <c r="M82" s="300"/>
      <c r="N82" s="300"/>
      <c r="O82" s="300"/>
      <c r="P82" s="300"/>
      <c r="Q82" s="300"/>
      <c r="R82" s="300"/>
      <c r="S82" s="134"/>
      <c r="T82" s="134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</row>
    <row r="83" spans="1:31" s="136" customFormat="1" ht="12" customHeight="1">
      <c r="A83" s="131"/>
      <c r="B83" s="132"/>
      <c r="C83" s="129" t="s">
        <v>14</v>
      </c>
      <c r="D83" s="134"/>
      <c r="E83" s="134"/>
      <c r="F83" s="134"/>
      <c r="G83" s="134"/>
      <c r="H83" s="134"/>
      <c r="I83" s="134"/>
      <c r="J83" s="134"/>
      <c r="K83" s="134"/>
      <c r="L83" s="163"/>
      <c r="M83" s="300"/>
      <c r="N83" s="300"/>
      <c r="O83" s="300"/>
      <c r="P83" s="300"/>
      <c r="Q83" s="300"/>
      <c r="R83" s="300"/>
      <c r="S83" s="134"/>
      <c r="T83" s="134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</row>
    <row r="84" spans="1:31" s="136" customFormat="1" ht="16.5" customHeight="1">
      <c r="A84" s="131"/>
      <c r="B84" s="132"/>
      <c r="C84" s="134"/>
      <c r="D84" s="134"/>
      <c r="E84" s="179" t="str">
        <f>E7</f>
        <v>MB Vodkova, oprava vodovodu a kanalizace</v>
      </c>
      <c r="F84" s="179"/>
      <c r="G84" s="129"/>
      <c r="H84" s="134"/>
      <c r="I84" s="129"/>
      <c r="J84" s="134"/>
      <c r="K84" s="134"/>
      <c r="L84" s="163"/>
      <c r="M84" s="300"/>
      <c r="N84" s="300"/>
      <c r="O84" s="300"/>
      <c r="P84" s="300"/>
      <c r="Q84" s="300"/>
      <c r="R84" s="300"/>
      <c r="S84" s="134"/>
      <c r="T84" s="134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</row>
    <row r="85" spans="1:31" s="136" customFormat="1" ht="12" customHeight="1">
      <c r="A85" s="131"/>
      <c r="B85" s="132"/>
      <c r="C85" s="129" t="s">
        <v>108</v>
      </c>
      <c r="D85" s="134"/>
      <c r="E85" s="134"/>
      <c r="F85" s="134"/>
      <c r="G85" s="134"/>
      <c r="H85" s="134"/>
      <c r="I85" s="134"/>
      <c r="J85" s="134"/>
      <c r="K85" s="134"/>
      <c r="L85" s="163"/>
      <c r="M85" s="300"/>
      <c r="N85" s="300"/>
      <c r="O85" s="300"/>
      <c r="P85" s="300"/>
      <c r="Q85" s="300"/>
      <c r="R85" s="300"/>
      <c r="S85" s="134"/>
      <c r="T85" s="134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</row>
    <row r="86" spans="1:31" s="136" customFormat="1" ht="16.5" customHeight="1">
      <c r="A86" s="131"/>
      <c r="B86" s="132"/>
      <c r="C86" s="134"/>
      <c r="D86" s="134"/>
      <c r="E86" s="137" t="str">
        <f>E9</f>
        <v>1976-2 - IO 02-Kanalizace</v>
      </c>
      <c r="F86" s="137"/>
      <c r="G86" s="134"/>
      <c r="H86" s="134"/>
      <c r="I86" s="134"/>
      <c r="J86" s="134"/>
      <c r="K86" s="134"/>
      <c r="L86" s="163"/>
      <c r="M86" s="300"/>
      <c r="N86" s="300"/>
      <c r="O86" s="300"/>
      <c r="P86" s="300"/>
      <c r="Q86" s="300"/>
      <c r="R86" s="300"/>
      <c r="S86" s="134"/>
      <c r="T86" s="134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</row>
    <row r="87" spans="1:31" s="136" customFormat="1" ht="6.95" customHeight="1">
      <c r="A87" s="131"/>
      <c r="B87" s="132"/>
      <c r="C87" s="134"/>
      <c r="D87" s="134"/>
      <c r="E87" s="134"/>
      <c r="F87" s="134"/>
      <c r="G87" s="134"/>
      <c r="H87" s="134"/>
      <c r="I87" s="134"/>
      <c r="J87" s="134"/>
      <c r="K87" s="134"/>
      <c r="L87" s="163"/>
      <c r="M87" s="300"/>
      <c r="N87" s="300"/>
      <c r="O87" s="300"/>
      <c r="P87" s="300"/>
      <c r="Q87" s="300"/>
      <c r="R87" s="300"/>
      <c r="S87" s="134"/>
      <c r="T87" s="134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</row>
    <row r="88" spans="1:31" s="136" customFormat="1" ht="12" customHeight="1">
      <c r="A88" s="131"/>
      <c r="B88" s="132"/>
      <c r="C88" s="129" t="s">
        <v>19</v>
      </c>
      <c r="D88" s="134"/>
      <c r="E88" s="134"/>
      <c r="F88" s="138" t="str">
        <f>F12</f>
        <v>Mladá Boleslav</v>
      </c>
      <c r="G88" s="134"/>
      <c r="H88" s="129" t="s">
        <v>21</v>
      </c>
      <c r="I88" s="134"/>
      <c r="J88" s="139" t="str">
        <f>IF(J12="","",J12)</f>
        <v>4. 12. 2019</v>
      </c>
      <c r="K88" s="134"/>
      <c r="L88" s="163"/>
      <c r="M88" s="300"/>
      <c r="N88" s="300"/>
      <c r="O88" s="300"/>
      <c r="P88" s="300"/>
      <c r="Q88" s="300"/>
      <c r="R88" s="300"/>
      <c r="S88" s="134"/>
      <c r="T88" s="134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</row>
    <row r="89" spans="1:31" s="136" customFormat="1" ht="6.95" customHeight="1">
      <c r="A89" s="131"/>
      <c r="B89" s="132"/>
      <c r="C89" s="134"/>
      <c r="D89" s="134"/>
      <c r="E89" s="134"/>
      <c r="F89" s="134"/>
      <c r="G89" s="134"/>
      <c r="H89" s="134"/>
      <c r="I89" s="134"/>
      <c r="J89" s="134"/>
      <c r="K89" s="134"/>
      <c r="L89" s="163"/>
      <c r="M89" s="300"/>
      <c r="N89" s="300"/>
      <c r="O89" s="300"/>
      <c r="P89" s="300"/>
      <c r="Q89" s="300"/>
      <c r="R89" s="300"/>
      <c r="S89" s="134"/>
      <c r="T89" s="134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</row>
    <row r="90" spans="1:31" s="136" customFormat="1" ht="15.2" customHeight="1">
      <c r="A90" s="131"/>
      <c r="B90" s="132"/>
      <c r="C90" s="129" t="s">
        <v>27</v>
      </c>
      <c r="D90" s="134"/>
      <c r="E90" s="134"/>
      <c r="F90" s="138" t="str">
        <f>E15</f>
        <v>Vodovody a kanalizace Mladá Boleslav, a.s.</v>
      </c>
      <c r="G90" s="134"/>
      <c r="H90" s="129" t="s">
        <v>35</v>
      </c>
      <c r="I90" s="134"/>
      <c r="J90" s="146" t="str">
        <f>E21</f>
        <v>Ing. Petr Čepický</v>
      </c>
      <c r="K90" s="134"/>
      <c r="L90" s="163"/>
      <c r="M90" s="300"/>
      <c r="N90" s="300"/>
      <c r="O90" s="300"/>
      <c r="P90" s="300"/>
      <c r="Q90" s="300"/>
      <c r="R90" s="300"/>
      <c r="S90" s="134"/>
      <c r="T90" s="134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</row>
    <row r="91" spans="1:31" s="136" customFormat="1" ht="15.2" customHeight="1">
      <c r="A91" s="131"/>
      <c r="B91" s="132"/>
      <c r="C91" s="129" t="s">
        <v>33</v>
      </c>
      <c r="D91" s="134"/>
      <c r="E91" s="134"/>
      <c r="F91" s="138" t="str">
        <f>IF(E18="","",E18)</f>
        <v xml:space="preserve"> </v>
      </c>
      <c r="G91" s="134"/>
      <c r="H91" s="129" t="s">
        <v>40</v>
      </c>
      <c r="I91" s="134"/>
      <c r="J91" s="146" t="str">
        <f>E24</f>
        <v>Ing. Petr Čepický</v>
      </c>
      <c r="K91" s="134"/>
      <c r="L91" s="163"/>
      <c r="M91" s="300"/>
      <c r="N91" s="300"/>
      <c r="O91" s="300"/>
      <c r="P91" s="300"/>
      <c r="Q91" s="300"/>
      <c r="R91" s="300"/>
      <c r="S91" s="134"/>
      <c r="T91" s="134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</row>
    <row r="92" spans="1:31" s="136" customFormat="1" ht="10.35" customHeight="1">
      <c r="A92" s="131"/>
      <c r="B92" s="132"/>
      <c r="C92" s="134"/>
      <c r="D92" s="134"/>
      <c r="E92" s="134"/>
      <c r="F92" s="134"/>
      <c r="G92" s="134"/>
      <c r="H92" s="134"/>
      <c r="I92" s="134"/>
      <c r="J92" s="134"/>
      <c r="K92" s="134"/>
      <c r="L92" s="163"/>
      <c r="M92" s="300"/>
      <c r="N92" s="300"/>
      <c r="O92" s="300"/>
      <c r="P92" s="300"/>
      <c r="Q92" s="300"/>
      <c r="R92" s="300"/>
      <c r="S92" s="134"/>
      <c r="T92" s="134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</row>
    <row r="93" spans="1:31" s="136" customFormat="1" ht="29.25" customHeight="1">
      <c r="A93" s="131"/>
      <c r="B93" s="132"/>
      <c r="C93" s="301" t="s">
        <v>174</v>
      </c>
      <c r="D93" s="134"/>
      <c r="E93" s="134"/>
      <c r="F93" s="134"/>
      <c r="G93" s="134"/>
      <c r="H93" s="134"/>
      <c r="I93" s="134"/>
      <c r="J93" s="181" t="s">
        <v>175</v>
      </c>
      <c r="K93" s="134"/>
      <c r="L93" s="163"/>
      <c r="M93" s="300"/>
      <c r="N93" s="300"/>
      <c r="O93" s="300"/>
      <c r="P93" s="300"/>
      <c r="Q93" s="300"/>
      <c r="R93" s="300"/>
      <c r="S93" s="134"/>
      <c r="T93" s="134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</row>
    <row r="94" spans="1:31" s="136" customFormat="1" ht="10.35" customHeight="1">
      <c r="A94" s="131"/>
      <c r="B94" s="132"/>
      <c r="C94" s="134"/>
      <c r="D94" s="134"/>
      <c r="E94" s="134"/>
      <c r="F94" s="134"/>
      <c r="G94" s="134"/>
      <c r="H94" s="134"/>
      <c r="I94" s="134"/>
      <c r="J94" s="134"/>
      <c r="K94" s="134"/>
      <c r="L94" s="163"/>
      <c r="M94" s="300"/>
      <c r="N94" s="300"/>
      <c r="O94" s="300"/>
      <c r="P94" s="300"/>
      <c r="Q94" s="300"/>
      <c r="R94" s="300"/>
      <c r="S94" s="134"/>
      <c r="T94" s="134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</row>
    <row r="95" spans="1:47" s="136" customFormat="1" ht="22.9" customHeight="1">
      <c r="A95" s="131"/>
      <c r="B95" s="132"/>
      <c r="C95" s="319" t="s">
        <v>176</v>
      </c>
      <c r="D95" s="134"/>
      <c r="E95" s="134"/>
      <c r="F95" s="134"/>
      <c r="G95" s="134"/>
      <c r="H95" s="134"/>
      <c r="I95" s="134"/>
      <c r="J95" s="152">
        <f>J96+J106</f>
        <v>0</v>
      </c>
      <c r="K95" s="134"/>
      <c r="L95" s="163"/>
      <c r="M95" s="300"/>
      <c r="N95" s="300"/>
      <c r="O95" s="300"/>
      <c r="P95" s="300"/>
      <c r="Q95" s="300"/>
      <c r="R95" s="300"/>
      <c r="S95" s="134"/>
      <c r="T95" s="134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U95" s="120" t="s">
        <v>177</v>
      </c>
    </row>
    <row r="96" spans="2:20" s="183" customFormat="1" ht="24.95" customHeight="1">
      <c r="B96" s="184"/>
      <c r="C96" s="189"/>
      <c r="D96" s="186" t="s">
        <v>178</v>
      </c>
      <c r="E96" s="187"/>
      <c r="F96" s="187"/>
      <c r="G96" s="187"/>
      <c r="H96" s="187"/>
      <c r="I96" s="187"/>
      <c r="J96" s="188">
        <f>SUM(J97:J105)</f>
        <v>0</v>
      </c>
      <c r="K96" s="189"/>
      <c r="L96" s="184"/>
      <c r="M96" s="189"/>
      <c r="N96" s="189"/>
      <c r="O96" s="189"/>
      <c r="P96" s="189"/>
      <c r="Q96" s="189"/>
      <c r="R96" s="189"/>
      <c r="S96" s="189"/>
      <c r="T96" s="189"/>
    </row>
    <row r="97" spans="2:20" s="191" customFormat="1" ht="19.9" customHeight="1">
      <c r="B97" s="192"/>
      <c r="C97" s="197"/>
      <c r="D97" s="194" t="s">
        <v>179</v>
      </c>
      <c r="E97" s="195"/>
      <c r="F97" s="195"/>
      <c r="G97" s="195"/>
      <c r="H97" s="195"/>
      <c r="I97" s="195"/>
      <c r="J97" s="196">
        <f>J128</f>
        <v>0</v>
      </c>
      <c r="K97" s="197"/>
      <c r="L97" s="192"/>
      <c r="M97" s="197"/>
      <c r="N97" s="197"/>
      <c r="O97" s="197"/>
      <c r="P97" s="197"/>
      <c r="Q97" s="197"/>
      <c r="R97" s="197"/>
      <c r="S97" s="197"/>
      <c r="T97" s="197"/>
    </row>
    <row r="98" spans="2:20" s="191" customFormat="1" ht="19.9" customHeight="1">
      <c r="B98" s="192"/>
      <c r="C98" s="197"/>
      <c r="D98" s="194" t="s">
        <v>180</v>
      </c>
      <c r="E98" s="195"/>
      <c r="F98" s="195"/>
      <c r="G98" s="195"/>
      <c r="H98" s="195"/>
      <c r="I98" s="195"/>
      <c r="J98" s="196">
        <f>J208</f>
        <v>0</v>
      </c>
      <c r="K98" s="197"/>
      <c r="L98" s="192"/>
      <c r="M98" s="197"/>
      <c r="N98" s="197"/>
      <c r="O98" s="197"/>
      <c r="P98" s="197"/>
      <c r="Q98" s="197"/>
      <c r="R98" s="197"/>
      <c r="S98" s="197"/>
      <c r="T98" s="197"/>
    </row>
    <row r="99" spans="2:20" s="191" customFormat="1" ht="19.9" customHeight="1">
      <c r="B99" s="192"/>
      <c r="C99" s="197"/>
      <c r="D99" s="194" t="s">
        <v>181</v>
      </c>
      <c r="E99" s="195"/>
      <c r="F99" s="195"/>
      <c r="G99" s="195"/>
      <c r="H99" s="195"/>
      <c r="I99" s="195"/>
      <c r="J99" s="196">
        <f>J221</f>
        <v>0</v>
      </c>
      <c r="K99" s="197"/>
      <c r="L99" s="192"/>
      <c r="M99" s="197"/>
      <c r="N99" s="197"/>
      <c r="O99" s="197"/>
      <c r="P99" s="197"/>
      <c r="Q99" s="197"/>
      <c r="R99" s="197"/>
      <c r="S99" s="197"/>
      <c r="T99" s="197"/>
    </row>
    <row r="100" spans="2:20" s="191" customFormat="1" ht="19.9" customHeight="1">
      <c r="B100" s="192"/>
      <c r="C100" s="197"/>
      <c r="D100" s="194" t="s">
        <v>182</v>
      </c>
      <c r="E100" s="195"/>
      <c r="F100" s="195"/>
      <c r="G100" s="195"/>
      <c r="H100" s="195"/>
      <c r="I100" s="195"/>
      <c r="J100" s="196">
        <f>J226</f>
        <v>0</v>
      </c>
      <c r="K100" s="197"/>
      <c r="L100" s="192"/>
      <c r="M100" s="197"/>
      <c r="N100" s="197"/>
      <c r="O100" s="197"/>
      <c r="P100" s="197"/>
      <c r="Q100" s="197"/>
      <c r="R100" s="197"/>
      <c r="S100" s="197"/>
      <c r="T100" s="197"/>
    </row>
    <row r="101" spans="2:20" s="191" customFormat="1" ht="19.9" customHeight="1">
      <c r="B101" s="192"/>
      <c r="C101" s="197"/>
      <c r="D101" s="194" t="s">
        <v>183</v>
      </c>
      <c r="E101" s="195"/>
      <c r="F101" s="195"/>
      <c r="G101" s="195"/>
      <c r="H101" s="195"/>
      <c r="I101" s="195"/>
      <c r="J101" s="196">
        <f>J229</f>
        <v>0</v>
      </c>
      <c r="K101" s="197"/>
      <c r="L101" s="192"/>
      <c r="M101" s="197"/>
      <c r="N101" s="197"/>
      <c r="O101" s="197"/>
      <c r="P101" s="197"/>
      <c r="Q101" s="197"/>
      <c r="R101" s="197"/>
      <c r="S101" s="197"/>
      <c r="T101" s="197"/>
    </row>
    <row r="102" spans="2:20" s="191" customFormat="1" ht="19.9" customHeight="1">
      <c r="B102" s="192"/>
      <c r="C102" s="197"/>
      <c r="D102" s="194" t="s">
        <v>184</v>
      </c>
      <c r="E102" s="195"/>
      <c r="F102" s="195"/>
      <c r="G102" s="195"/>
      <c r="H102" s="195"/>
      <c r="I102" s="195"/>
      <c r="J102" s="196">
        <f>J286</f>
        <v>0</v>
      </c>
      <c r="K102" s="197"/>
      <c r="L102" s="192"/>
      <c r="M102" s="197"/>
      <c r="N102" s="197"/>
      <c r="O102" s="197"/>
      <c r="P102" s="197"/>
      <c r="Q102" s="197"/>
      <c r="R102" s="197"/>
      <c r="S102" s="197"/>
      <c r="T102" s="197"/>
    </row>
    <row r="103" spans="2:20" s="191" customFormat="1" ht="14.85" customHeight="1">
      <c r="B103" s="192"/>
      <c r="C103" s="197"/>
      <c r="D103" s="194" t="s">
        <v>645</v>
      </c>
      <c r="E103" s="195"/>
      <c r="F103" s="195"/>
      <c r="G103" s="195"/>
      <c r="H103" s="195"/>
      <c r="I103" s="195"/>
      <c r="J103" s="196">
        <f>J292</f>
        <v>0</v>
      </c>
      <c r="K103" s="197"/>
      <c r="L103" s="192"/>
      <c r="M103" s="197"/>
      <c r="N103" s="197"/>
      <c r="O103" s="197"/>
      <c r="P103" s="197"/>
      <c r="Q103" s="197"/>
      <c r="R103" s="197"/>
      <c r="S103" s="197"/>
      <c r="T103" s="197"/>
    </row>
    <row r="104" spans="2:20" s="191" customFormat="1" ht="19.9" customHeight="1">
      <c r="B104" s="192"/>
      <c r="C104" s="197"/>
      <c r="D104" s="194" t="s">
        <v>186</v>
      </c>
      <c r="E104" s="195"/>
      <c r="F104" s="195"/>
      <c r="G104" s="195"/>
      <c r="H104" s="195"/>
      <c r="I104" s="195"/>
      <c r="J104" s="196">
        <f>J304</f>
        <v>0</v>
      </c>
      <c r="K104" s="197"/>
      <c r="L104" s="192"/>
      <c r="M104" s="197"/>
      <c r="N104" s="197"/>
      <c r="O104" s="197"/>
      <c r="P104" s="197"/>
      <c r="Q104" s="197"/>
      <c r="R104" s="197"/>
      <c r="S104" s="197"/>
      <c r="T104" s="197"/>
    </row>
    <row r="105" spans="2:20" s="191" customFormat="1" ht="19.9" customHeight="1">
      <c r="B105" s="192"/>
      <c r="C105" s="197"/>
      <c r="D105" s="194" t="s">
        <v>187</v>
      </c>
      <c r="E105" s="195"/>
      <c r="F105" s="195"/>
      <c r="G105" s="195"/>
      <c r="H105" s="195"/>
      <c r="I105" s="195"/>
      <c r="J105" s="196">
        <f>J313</f>
        <v>0</v>
      </c>
      <c r="K105" s="197"/>
      <c r="L105" s="192"/>
      <c r="M105" s="197"/>
      <c r="N105" s="197"/>
      <c r="O105" s="197"/>
      <c r="P105" s="197"/>
      <c r="Q105" s="197"/>
      <c r="R105" s="197"/>
      <c r="S105" s="197"/>
      <c r="T105" s="197"/>
    </row>
    <row r="106" spans="2:20" s="183" customFormat="1" ht="24.95" customHeight="1">
      <c r="B106" s="184"/>
      <c r="C106" s="189"/>
      <c r="D106" s="186" t="s">
        <v>190</v>
      </c>
      <c r="E106" s="187"/>
      <c r="F106" s="187"/>
      <c r="G106" s="187"/>
      <c r="H106" s="187"/>
      <c r="I106" s="187"/>
      <c r="J106" s="188">
        <f>J316</f>
        <v>0</v>
      </c>
      <c r="K106" s="189"/>
      <c r="L106" s="184"/>
      <c r="M106" s="189"/>
      <c r="N106" s="189"/>
      <c r="O106" s="189"/>
      <c r="P106" s="189"/>
      <c r="Q106" s="189"/>
      <c r="R106" s="189"/>
      <c r="S106" s="189"/>
      <c r="T106" s="189"/>
    </row>
    <row r="107" spans="1:31" s="136" customFormat="1" ht="21.75" customHeight="1">
      <c r="A107" s="131"/>
      <c r="B107" s="132"/>
      <c r="C107" s="134"/>
      <c r="D107" s="134"/>
      <c r="E107" s="134"/>
      <c r="F107" s="134"/>
      <c r="G107" s="134"/>
      <c r="H107" s="134"/>
      <c r="I107" s="134"/>
      <c r="J107" s="134"/>
      <c r="K107" s="134"/>
      <c r="L107" s="163"/>
      <c r="M107" s="300"/>
      <c r="N107" s="300"/>
      <c r="O107" s="300"/>
      <c r="P107" s="300"/>
      <c r="Q107" s="300"/>
      <c r="R107" s="300"/>
      <c r="S107" s="134"/>
      <c r="T107" s="134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</row>
    <row r="108" spans="1:31" s="136" customFormat="1" ht="6.95" customHeight="1">
      <c r="A108" s="131"/>
      <c r="B108" s="171"/>
      <c r="C108" s="173"/>
      <c r="D108" s="173"/>
      <c r="E108" s="173"/>
      <c r="F108" s="173"/>
      <c r="G108" s="173"/>
      <c r="H108" s="173"/>
      <c r="I108" s="173"/>
      <c r="J108" s="173"/>
      <c r="K108" s="173"/>
      <c r="L108" s="163"/>
      <c r="M108" s="300"/>
      <c r="N108" s="300"/>
      <c r="O108" s="300"/>
      <c r="P108" s="300"/>
      <c r="Q108" s="300"/>
      <c r="R108" s="300"/>
      <c r="S108" s="134"/>
      <c r="T108" s="134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</row>
    <row r="112" spans="1:31" s="136" customFormat="1" ht="6.95" customHeight="1">
      <c r="A112" s="131"/>
      <c r="B112" s="174"/>
      <c r="C112" s="176"/>
      <c r="D112" s="176"/>
      <c r="E112" s="176"/>
      <c r="F112" s="176"/>
      <c r="G112" s="176"/>
      <c r="H112" s="176"/>
      <c r="I112" s="176"/>
      <c r="J112" s="176"/>
      <c r="K112" s="176"/>
      <c r="L112" s="163"/>
      <c r="M112" s="300"/>
      <c r="N112" s="300"/>
      <c r="O112" s="300"/>
      <c r="P112" s="300"/>
      <c r="Q112" s="300"/>
      <c r="R112" s="300"/>
      <c r="S112" s="134"/>
      <c r="T112" s="134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</row>
    <row r="113" spans="1:31" s="136" customFormat="1" ht="24.95" customHeight="1">
      <c r="A113" s="131"/>
      <c r="B113" s="132"/>
      <c r="C113" s="127" t="s">
        <v>191</v>
      </c>
      <c r="D113" s="134"/>
      <c r="E113" s="134"/>
      <c r="F113" s="134"/>
      <c r="G113" s="134"/>
      <c r="H113" s="134"/>
      <c r="I113" s="134"/>
      <c r="J113" s="134"/>
      <c r="K113" s="134"/>
      <c r="L113" s="163"/>
      <c r="M113" s="300"/>
      <c r="N113" s="300"/>
      <c r="O113" s="300"/>
      <c r="P113" s="300"/>
      <c r="Q113" s="300"/>
      <c r="R113" s="300"/>
      <c r="S113" s="134"/>
      <c r="T113" s="134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</row>
    <row r="114" spans="1:31" s="136" customFormat="1" ht="6.95" customHeight="1">
      <c r="A114" s="131"/>
      <c r="B114" s="132"/>
      <c r="C114" s="134"/>
      <c r="D114" s="134"/>
      <c r="E114" s="134"/>
      <c r="F114" s="134"/>
      <c r="G114" s="134"/>
      <c r="H114" s="134"/>
      <c r="I114" s="134"/>
      <c r="J114" s="134"/>
      <c r="K114" s="134"/>
      <c r="L114" s="163"/>
      <c r="M114" s="300"/>
      <c r="N114" s="300"/>
      <c r="O114" s="300"/>
      <c r="P114" s="300"/>
      <c r="Q114" s="300"/>
      <c r="R114" s="300"/>
      <c r="S114" s="134"/>
      <c r="T114" s="134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</row>
    <row r="115" spans="1:31" s="136" customFormat="1" ht="12" customHeight="1">
      <c r="A115" s="131"/>
      <c r="B115" s="132"/>
      <c r="C115" s="129" t="s">
        <v>14</v>
      </c>
      <c r="D115" s="134"/>
      <c r="E115" s="134"/>
      <c r="F115" s="134"/>
      <c r="G115" s="134"/>
      <c r="H115" s="134"/>
      <c r="I115" s="134"/>
      <c r="J115" s="134"/>
      <c r="K115" s="134"/>
      <c r="L115" s="163"/>
      <c r="M115" s="300"/>
      <c r="N115" s="300"/>
      <c r="O115" s="300"/>
      <c r="P115" s="300"/>
      <c r="Q115" s="300"/>
      <c r="R115" s="300"/>
      <c r="S115" s="134"/>
      <c r="T115" s="134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</row>
    <row r="116" spans="1:31" s="136" customFormat="1" ht="16.5" customHeight="1">
      <c r="A116" s="131"/>
      <c r="B116" s="132"/>
      <c r="C116" s="134"/>
      <c r="D116" s="134"/>
      <c r="E116" s="179" t="str">
        <f>E7</f>
        <v>MB Vodkova, oprava vodovodu a kanalizace</v>
      </c>
      <c r="F116" s="179"/>
      <c r="G116" s="129"/>
      <c r="H116" s="134"/>
      <c r="I116" s="129"/>
      <c r="J116" s="134"/>
      <c r="K116" s="134"/>
      <c r="L116" s="163"/>
      <c r="M116" s="300"/>
      <c r="N116" s="300"/>
      <c r="O116" s="300"/>
      <c r="P116" s="300"/>
      <c r="Q116" s="300"/>
      <c r="R116" s="300"/>
      <c r="S116" s="134"/>
      <c r="T116" s="134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</row>
    <row r="117" spans="1:31" s="136" customFormat="1" ht="12" customHeight="1">
      <c r="A117" s="131"/>
      <c r="B117" s="132"/>
      <c r="C117" s="129" t="s">
        <v>108</v>
      </c>
      <c r="D117" s="134"/>
      <c r="E117" s="134"/>
      <c r="F117" s="134"/>
      <c r="G117" s="134"/>
      <c r="H117" s="134"/>
      <c r="I117" s="134"/>
      <c r="J117" s="134"/>
      <c r="K117" s="134"/>
      <c r="L117" s="163"/>
      <c r="M117" s="300"/>
      <c r="N117" s="300"/>
      <c r="O117" s="300"/>
      <c r="P117" s="300"/>
      <c r="Q117" s="300"/>
      <c r="R117" s="300"/>
      <c r="S117" s="134"/>
      <c r="T117" s="134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</row>
    <row r="118" spans="1:31" s="136" customFormat="1" ht="16.5" customHeight="1">
      <c r="A118" s="131"/>
      <c r="B118" s="132"/>
      <c r="C118" s="134"/>
      <c r="D118" s="134"/>
      <c r="E118" s="137" t="str">
        <f>E9</f>
        <v>1976-2 - IO 02-Kanalizace</v>
      </c>
      <c r="F118" s="137"/>
      <c r="G118" s="134"/>
      <c r="H118" s="134"/>
      <c r="I118" s="134"/>
      <c r="J118" s="134"/>
      <c r="K118" s="134"/>
      <c r="L118" s="163"/>
      <c r="M118" s="300"/>
      <c r="N118" s="300"/>
      <c r="O118" s="300"/>
      <c r="P118" s="300"/>
      <c r="Q118" s="300"/>
      <c r="R118" s="300"/>
      <c r="S118" s="134"/>
      <c r="T118" s="134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</row>
    <row r="119" spans="1:31" s="136" customFormat="1" ht="6.95" customHeight="1">
      <c r="A119" s="131"/>
      <c r="B119" s="132"/>
      <c r="C119" s="134"/>
      <c r="D119" s="134"/>
      <c r="E119" s="134"/>
      <c r="F119" s="134"/>
      <c r="G119" s="134"/>
      <c r="H119" s="134"/>
      <c r="I119" s="134"/>
      <c r="J119" s="134"/>
      <c r="K119" s="134"/>
      <c r="L119" s="163"/>
      <c r="M119" s="300"/>
      <c r="N119" s="300"/>
      <c r="O119" s="300"/>
      <c r="P119" s="300"/>
      <c r="Q119" s="300"/>
      <c r="R119" s="300"/>
      <c r="S119" s="134"/>
      <c r="T119" s="134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</row>
    <row r="120" spans="1:31" s="136" customFormat="1" ht="12" customHeight="1">
      <c r="A120" s="131"/>
      <c r="B120" s="132"/>
      <c r="C120" s="129" t="s">
        <v>19</v>
      </c>
      <c r="D120" s="134"/>
      <c r="E120" s="134"/>
      <c r="F120" s="138" t="str">
        <f>F12</f>
        <v>Mladá Boleslav</v>
      </c>
      <c r="G120" s="134"/>
      <c r="H120" s="129" t="s">
        <v>21</v>
      </c>
      <c r="I120" s="134"/>
      <c r="J120" s="139" t="str">
        <f>IF(J12="","",J12)</f>
        <v>4. 12. 2019</v>
      </c>
      <c r="K120" s="134"/>
      <c r="L120" s="163"/>
      <c r="M120" s="300"/>
      <c r="N120" s="300"/>
      <c r="O120" s="300"/>
      <c r="P120" s="300"/>
      <c r="Q120" s="300"/>
      <c r="R120" s="300"/>
      <c r="S120" s="134"/>
      <c r="T120" s="134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</row>
    <row r="121" spans="1:31" s="136" customFormat="1" ht="6.95" customHeight="1">
      <c r="A121" s="131"/>
      <c r="B121" s="132"/>
      <c r="C121" s="134"/>
      <c r="D121" s="134"/>
      <c r="E121" s="134"/>
      <c r="F121" s="134"/>
      <c r="G121" s="134"/>
      <c r="H121" s="134"/>
      <c r="I121" s="134"/>
      <c r="J121" s="134"/>
      <c r="K121" s="134"/>
      <c r="L121" s="163"/>
      <c r="M121" s="300"/>
      <c r="N121" s="300"/>
      <c r="O121" s="300"/>
      <c r="P121" s="300"/>
      <c r="Q121" s="300"/>
      <c r="R121" s="300"/>
      <c r="S121" s="134"/>
      <c r="T121" s="134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</row>
    <row r="122" spans="1:31" s="136" customFormat="1" ht="15.2" customHeight="1">
      <c r="A122" s="131"/>
      <c r="B122" s="132"/>
      <c r="C122" s="129" t="s">
        <v>27</v>
      </c>
      <c r="D122" s="134"/>
      <c r="E122" s="134"/>
      <c r="F122" s="138" t="str">
        <f>E15</f>
        <v>Vodovody a kanalizace Mladá Boleslav, a.s.</v>
      </c>
      <c r="G122" s="134"/>
      <c r="H122" s="129" t="s">
        <v>35</v>
      </c>
      <c r="I122" s="134"/>
      <c r="J122" s="146" t="str">
        <f>E21</f>
        <v>Ing. Petr Čepický</v>
      </c>
      <c r="K122" s="134"/>
      <c r="L122" s="163"/>
      <c r="M122" s="300"/>
      <c r="N122" s="300"/>
      <c r="O122" s="300"/>
      <c r="P122" s="300"/>
      <c r="Q122" s="300"/>
      <c r="R122" s="300"/>
      <c r="S122" s="134"/>
      <c r="T122" s="134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</row>
    <row r="123" spans="1:31" s="136" customFormat="1" ht="15.2" customHeight="1">
      <c r="A123" s="131"/>
      <c r="B123" s="132"/>
      <c r="C123" s="129" t="s">
        <v>33</v>
      </c>
      <c r="D123" s="134"/>
      <c r="E123" s="134"/>
      <c r="F123" s="138" t="str">
        <f>IF(E18="","",E18)</f>
        <v xml:space="preserve"> </v>
      </c>
      <c r="G123" s="134"/>
      <c r="H123" s="129" t="s">
        <v>40</v>
      </c>
      <c r="I123" s="134"/>
      <c r="J123" s="146" t="str">
        <f>E24</f>
        <v>Ing. Petr Čepický</v>
      </c>
      <c r="K123" s="134"/>
      <c r="L123" s="163"/>
      <c r="M123" s="300"/>
      <c r="N123" s="300"/>
      <c r="O123" s="300"/>
      <c r="P123" s="300"/>
      <c r="Q123" s="300"/>
      <c r="R123" s="300"/>
      <c r="S123" s="134"/>
      <c r="T123" s="134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</row>
    <row r="124" spans="1:31" s="136" customFormat="1" ht="10.35" customHeight="1">
      <c r="A124" s="131"/>
      <c r="B124" s="132"/>
      <c r="C124" s="134"/>
      <c r="D124" s="134"/>
      <c r="E124" s="134"/>
      <c r="F124" s="134"/>
      <c r="G124" s="134"/>
      <c r="H124" s="134"/>
      <c r="I124" s="134"/>
      <c r="J124" s="134"/>
      <c r="K124" s="134"/>
      <c r="L124" s="163"/>
      <c r="M124" s="300"/>
      <c r="N124" s="300"/>
      <c r="O124" s="300"/>
      <c r="P124" s="300"/>
      <c r="Q124" s="300"/>
      <c r="R124" s="300"/>
      <c r="S124" s="134"/>
      <c r="T124" s="134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</row>
    <row r="125" spans="1:31" s="209" customFormat="1" ht="29.25" customHeight="1">
      <c r="A125" s="199"/>
      <c r="B125" s="200"/>
      <c r="C125" s="320" t="s">
        <v>192</v>
      </c>
      <c r="D125" s="202" t="s">
        <v>67</v>
      </c>
      <c r="E125" s="202" t="s">
        <v>63</v>
      </c>
      <c r="F125" s="202" t="s">
        <v>64</v>
      </c>
      <c r="G125" s="202" t="s">
        <v>193</v>
      </c>
      <c r="H125" s="202" t="s">
        <v>195</v>
      </c>
      <c r="I125" s="202" t="s">
        <v>194</v>
      </c>
      <c r="J125" s="203" t="s">
        <v>175</v>
      </c>
      <c r="K125" s="204" t="s">
        <v>196</v>
      </c>
      <c r="L125" s="321"/>
      <c r="M125" s="322" t="s">
        <v>1</v>
      </c>
      <c r="N125" s="323" t="s">
        <v>46</v>
      </c>
      <c r="O125" s="323" t="s">
        <v>197</v>
      </c>
      <c r="P125" s="323" t="s">
        <v>198</v>
      </c>
      <c r="Q125" s="323" t="s">
        <v>199</v>
      </c>
      <c r="R125" s="323" t="s">
        <v>200</v>
      </c>
      <c r="S125" s="323" t="s">
        <v>201</v>
      </c>
      <c r="T125" s="324" t="s">
        <v>202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136" customFormat="1" ht="22.9" customHeight="1">
      <c r="A126" s="131"/>
      <c r="B126" s="132"/>
      <c r="C126" s="325" t="s">
        <v>203</v>
      </c>
      <c r="D126" s="134"/>
      <c r="E126" s="134"/>
      <c r="F126" s="134"/>
      <c r="G126" s="134"/>
      <c r="H126" s="134"/>
      <c r="I126" s="134"/>
      <c r="J126" s="210">
        <f>J95</f>
        <v>0</v>
      </c>
      <c r="K126" s="134"/>
      <c r="L126" s="132"/>
      <c r="M126" s="326"/>
      <c r="N126" s="327"/>
      <c r="O126" s="150"/>
      <c r="P126" s="328" t="e">
        <f>P127+P316</f>
        <v>#REF!</v>
      </c>
      <c r="Q126" s="150"/>
      <c r="R126" s="328" t="e">
        <f>R127+R316</f>
        <v>#REF!</v>
      </c>
      <c r="S126" s="150"/>
      <c r="T126" s="329">
        <f>T127+T316</f>
        <v>206.812996</v>
      </c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T126" s="120" t="s">
        <v>81</v>
      </c>
      <c r="AU126" s="120" t="s">
        <v>177</v>
      </c>
      <c r="BK126" s="217" t="e">
        <f>BK127+BK316</f>
        <v>#REF!</v>
      </c>
    </row>
    <row r="127" spans="2:63" s="218" customFormat="1" ht="25.9" customHeight="1">
      <c r="B127" s="219"/>
      <c r="C127" s="223"/>
      <c r="D127" s="221" t="s">
        <v>81</v>
      </c>
      <c r="E127" s="222" t="s">
        <v>204</v>
      </c>
      <c r="F127" s="222" t="s">
        <v>205</v>
      </c>
      <c r="G127" s="223"/>
      <c r="H127" s="223"/>
      <c r="I127" s="223"/>
      <c r="J127" s="224">
        <f>BK127</f>
        <v>0</v>
      </c>
      <c r="K127" s="223"/>
      <c r="L127" s="219"/>
      <c r="M127" s="330"/>
      <c r="N127" s="331"/>
      <c r="O127" s="331"/>
      <c r="P127" s="332">
        <f>P128+P208+P221+P226+P229+P286+P313</f>
        <v>1053.509995</v>
      </c>
      <c r="Q127" s="331"/>
      <c r="R127" s="332">
        <f>R128+R208+R221+R226+R229+R286+R313</f>
        <v>624.7510038099999</v>
      </c>
      <c r="S127" s="331"/>
      <c r="T127" s="333">
        <f>T128+T208+T221+T226+T229+T286+T313</f>
        <v>206.812996</v>
      </c>
      <c r="AR127" s="230" t="s">
        <v>18</v>
      </c>
      <c r="AT127" s="231" t="s">
        <v>81</v>
      </c>
      <c r="AU127" s="231" t="s">
        <v>82</v>
      </c>
      <c r="AY127" s="230" t="s">
        <v>206</v>
      </c>
      <c r="BK127" s="232">
        <f>BK128+BK208+BK221+BK226+BK229+BK286+BK313</f>
        <v>0</v>
      </c>
    </row>
    <row r="128" spans="2:63" s="218" customFormat="1" ht="22.9" customHeight="1">
      <c r="B128" s="219"/>
      <c r="C128" s="223"/>
      <c r="D128" s="221" t="s">
        <v>81</v>
      </c>
      <c r="E128" s="233" t="s">
        <v>18</v>
      </c>
      <c r="F128" s="233" t="s">
        <v>207</v>
      </c>
      <c r="G128" s="223"/>
      <c r="H128" s="223"/>
      <c r="I128" s="223"/>
      <c r="J128" s="234">
        <f>SUM(J129:J206)</f>
        <v>0</v>
      </c>
      <c r="K128" s="223"/>
      <c r="L128" s="219"/>
      <c r="M128" s="330"/>
      <c r="N128" s="331"/>
      <c r="O128" s="331"/>
      <c r="P128" s="332">
        <f>SUM(P129:P207)</f>
        <v>603.6206579999999</v>
      </c>
      <c r="Q128" s="331"/>
      <c r="R128" s="332">
        <f>SUM(R129:R207)</f>
        <v>604.13782621</v>
      </c>
      <c r="S128" s="331"/>
      <c r="T128" s="333">
        <f>SUM(T129:T207)</f>
        <v>127.987996</v>
      </c>
      <c r="AR128" s="230" t="s">
        <v>18</v>
      </c>
      <c r="AT128" s="231" t="s">
        <v>81</v>
      </c>
      <c r="AU128" s="231" t="s">
        <v>18</v>
      </c>
      <c r="AY128" s="230" t="s">
        <v>206</v>
      </c>
      <c r="BK128" s="232">
        <f>SUM(BK129:BK207)</f>
        <v>0</v>
      </c>
    </row>
    <row r="129" spans="1:65" s="136" customFormat="1" ht="21.75" customHeight="1">
      <c r="A129" s="131"/>
      <c r="B129" s="132"/>
      <c r="C129" s="236" t="s">
        <v>18</v>
      </c>
      <c r="D129" s="236" t="s">
        <v>208</v>
      </c>
      <c r="E129" s="237" t="s">
        <v>646</v>
      </c>
      <c r="F129" s="238" t="s">
        <v>647</v>
      </c>
      <c r="G129" s="239" t="s">
        <v>211</v>
      </c>
      <c r="H129" s="72"/>
      <c r="I129" s="241">
        <f>I150</f>
        <v>159.132</v>
      </c>
      <c r="J129" s="240">
        <f>ROUND($H129*I129,2)</f>
        <v>0</v>
      </c>
      <c r="K129" s="242"/>
      <c r="L129" s="132"/>
      <c r="M129" s="296" t="s">
        <v>1</v>
      </c>
      <c r="N129" s="297" t="s">
        <v>47</v>
      </c>
      <c r="O129" s="298">
        <v>0.043</v>
      </c>
      <c r="P129" s="298">
        <f>O129*I129</f>
        <v>6.842676</v>
      </c>
      <c r="Q129" s="298">
        <v>0</v>
      </c>
      <c r="R129" s="298">
        <f>Q129*I129</f>
        <v>0</v>
      </c>
      <c r="S129" s="298">
        <v>0.505</v>
      </c>
      <c r="T129" s="299">
        <f>S129*I129</f>
        <v>80.36166</v>
      </c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R129" s="247" t="s">
        <v>212</v>
      </c>
      <c r="AT129" s="247" t="s">
        <v>208</v>
      </c>
      <c r="AU129" s="247" t="s">
        <v>92</v>
      </c>
      <c r="AY129" s="120" t="s">
        <v>206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20" t="s">
        <v>18</v>
      </c>
      <c r="BK129" s="248">
        <f>ROUND(H129*I129,2)</f>
        <v>0</v>
      </c>
      <c r="BL129" s="120" t="s">
        <v>212</v>
      </c>
      <c r="BM129" s="247" t="s">
        <v>648</v>
      </c>
    </row>
    <row r="130" spans="2:51" s="249" customFormat="1" ht="12">
      <c r="B130" s="250"/>
      <c r="C130" s="254"/>
      <c r="D130" s="251" t="s">
        <v>214</v>
      </c>
      <c r="E130" s="252" t="s">
        <v>615</v>
      </c>
      <c r="F130" s="253" t="s">
        <v>649</v>
      </c>
      <c r="G130" s="254"/>
      <c r="H130" s="312"/>
      <c r="I130" s="255">
        <v>20.7</v>
      </c>
      <c r="J130" s="254"/>
      <c r="K130" s="254"/>
      <c r="L130" s="250"/>
      <c r="M130" s="293"/>
      <c r="N130" s="294"/>
      <c r="O130" s="294"/>
      <c r="P130" s="294"/>
      <c r="Q130" s="294"/>
      <c r="R130" s="294"/>
      <c r="S130" s="294"/>
      <c r="T130" s="295"/>
      <c r="AT130" s="260" t="s">
        <v>214</v>
      </c>
      <c r="AU130" s="260" t="s">
        <v>92</v>
      </c>
      <c r="AV130" s="249" t="s">
        <v>92</v>
      </c>
      <c r="AW130" s="249" t="s">
        <v>39</v>
      </c>
      <c r="AX130" s="249" t="s">
        <v>82</v>
      </c>
      <c r="AY130" s="260" t="s">
        <v>206</v>
      </c>
    </row>
    <row r="131" spans="2:51" s="261" customFormat="1" ht="12">
      <c r="B131" s="262"/>
      <c r="C131" s="265"/>
      <c r="D131" s="251" t="s">
        <v>214</v>
      </c>
      <c r="E131" s="263" t="s">
        <v>1</v>
      </c>
      <c r="F131" s="264" t="s">
        <v>218</v>
      </c>
      <c r="G131" s="265"/>
      <c r="H131" s="313"/>
      <c r="I131" s="266">
        <v>20.7</v>
      </c>
      <c r="J131" s="265"/>
      <c r="K131" s="265"/>
      <c r="L131" s="262"/>
      <c r="M131" s="334"/>
      <c r="N131" s="335"/>
      <c r="O131" s="335"/>
      <c r="P131" s="335"/>
      <c r="Q131" s="335"/>
      <c r="R131" s="335"/>
      <c r="S131" s="335"/>
      <c r="T131" s="336"/>
      <c r="AT131" s="271" t="s">
        <v>214</v>
      </c>
      <c r="AU131" s="271" t="s">
        <v>92</v>
      </c>
      <c r="AV131" s="261" t="s">
        <v>219</v>
      </c>
      <c r="AW131" s="261" t="s">
        <v>39</v>
      </c>
      <c r="AX131" s="261" t="s">
        <v>82</v>
      </c>
      <c r="AY131" s="271" t="s">
        <v>206</v>
      </c>
    </row>
    <row r="132" spans="2:51" s="249" customFormat="1" ht="22.5">
      <c r="B132" s="250"/>
      <c r="C132" s="254"/>
      <c r="D132" s="251" t="s">
        <v>214</v>
      </c>
      <c r="E132" s="252" t="s">
        <v>617</v>
      </c>
      <c r="F132" s="253" t="s">
        <v>650</v>
      </c>
      <c r="G132" s="254"/>
      <c r="H132" s="312"/>
      <c r="I132" s="255">
        <v>52</v>
      </c>
      <c r="J132" s="254"/>
      <c r="K132" s="254"/>
      <c r="L132" s="250"/>
      <c r="M132" s="293"/>
      <c r="N132" s="294"/>
      <c r="O132" s="294"/>
      <c r="P132" s="294"/>
      <c r="Q132" s="294"/>
      <c r="R132" s="294"/>
      <c r="S132" s="294"/>
      <c r="T132" s="295"/>
      <c r="AT132" s="260" t="s">
        <v>214</v>
      </c>
      <c r="AU132" s="260" t="s">
        <v>92</v>
      </c>
      <c r="AV132" s="249" t="s">
        <v>92</v>
      </c>
      <c r="AW132" s="249" t="s">
        <v>39</v>
      </c>
      <c r="AX132" s="249" t="s">
        <v>82</v>
      </c>
      <c r="AY132" s="260" t="s">
        <v>206</v>
      </c>
    </row>
    <row r="133" spans="2:51" s="261" customFormat="1" ht="12">
      <c r="B133" s="262"/>
      <c r="C133" s="265"/>
      <c r="D133" s="251" t="s">
        <v>214</v>
      </c>
      <c r="E133" s="263" t="s">
        <v>1</v>
      </c>
      <c r="F133" s="264" t="s">
        <v>218</v>
      </c>
      <c r="G133" s="265"/>
      <c r="H133" s="313"/>
      <c r="I133" s="266">
        <v>52</v>
      </c>
      <c r="J133" s="265"/>
      <c r="K133" s="265"/>
      <c r="L133" s="262"/>
      <c r="M133" s="334"/>
      <c r="N133" s="335"/>
      <c r="O133" s="335"/>
      <c r="P133" s="335"/>
      <c r="Q133" s="335"/>
      <c r="R133" s="335"/>
      <c r="S133" s="335"/>
      <c r="T133" s="336"/>
      <c r="AT133" s="271" t="s">
        <v>214</v>
      </c>
      <c r="AU133" s="271" t="s">
        <v>92</v>
      </c>
      <c r="AV133" s="261" t="s">
        <v>219</v>
      </c>
      <c r="AW133" s="261" t="s">
        <v>39</v>
      </c>
      <c r="AX133" s="261" t="s">
        <v>82</v>
      </c>
      <c r="AY133" s="271" t="s">
        <v>206</v>
      </c>
    </row>
    <row r="134" spans="2:51" s="249" customFormat="1" ht="22.5">
      <c r="B134" s="250"/>
      <c r="C134" s="254"/>
      <c r="D134" s="251" t="s">
        <v>214</v>
      </c>
      <c r="E134" s="252" t="s">
        <v>613</v>
      </c>
      <c r="F134" s="253" t="s">
        <v>651</v>
      </c>
      <c r="G134" s="254"/>
      <c r="H134" s="312"/>
      <c r="I134" s="255">
        <v>3.88</v>
      </c>
      <c r="J134" s="254"/>
      <c r="K134" s="254"/>
      <c r="L134" s="250"/>
      <c r="M134" s="293"/>
      <c r="N134" s="294"/>
      <c r="O134" s="294"/>
      <c r="P134" s="294"/>
      <c r="Q134" s="294"/>
      <c r="R134" s="294"/>
      <c r="S134" s="294"/>
      <c r="T134" s="295"/>
      <c r="AT134" s="260" t="s">
        <v>214</v>
      </c>
      <c r="AU134" s="260" t="s">
        <v>92</v>
      </c>
      <c r="AV134" s="249" t="s">
        <v>92</v>
      </c>
      <c r="AW134" s="249" t="s">
        <v>39</v>
      </c>
      <c r="AX134" s="249" t="s">
        <v>82</v>
      </c>
      <c r="AY134" s="260" t="s">
        <v>206</v>
      </c>
    </row>
    <row r="135" spans="2:51" s="261" customFormat="1" ht="12">
      <c r="B135" s="262"/>
      <c r="C135" s="265"/>
      <c r="D135" s="251" t="s">
        <v>214</v>
      </c>
      <c r="E135" s="263" t="s">
        <v>1</v>
      </c>
      <c r="F135" s="264" t="s">
        <v>218</v>
      </c>
      <c r="G135" s="265"/>
      <c r="H135" s="313"/>
      <c r="I135" s="266">
        <v>3.88</v>
      </c>
      <c r="J135" s="265"/>
      <c r="K135" s="265"/>
      <c r="L135" s="262"/>
      <c r="M135" s="334"/>
      <c r="N135" s="335"/>
      <c r="O135" s="335"/>
      <c r="P135" s="335"/>
      <c r="Q135" s="335"/>
      <c r="R135" s="335"/>
      <c r="S135" s="335"/>
      <c r="T135" s="336"/>
      <c r="AT135" s="271" t="s">
        <v>214</v>
      </c>
      <c r="AU135" s="271" t="s">
        <v>92</v>
      </c>
      <c r="AV135" s="261" t="s">
        <v>219</v>
      </c>
      <c r="AW135" s="261" t="s">
        <v>39</v>
      </c>
      <c r="AX135" s="261" t="s">
        <v>82</v>
      </c>
      <c r="AY135" s="271" t="s">
        <v>206</v>
      </c>
    </row>
    <row r="136" spans="2:51" s="249" customFormat="1" ht="22.5">
      <c r="B136" s="250"/>
      <c r="C136" s="254"/>
      <c r="D136" s="251" t="s">
        <v>214</v>
      </c>
      <c r="E136" s="252" t="s">
        <v>623</v>
      </c>
      <c r="F136" s="253" t="s">
        <v>652</v>
      </c>
      <c r="G136" s="254"/>
      <c r="H136" s="312"/>
      <c r="I136" s="255">
        <v>35.628</v>
      </c>
      <c r="J136" s="254"/>
      <c r="K136" s="254"/>
      <c r="L136" s="250"/>
      <c r="M136" s="293"/>
      <c r="N136" s="294"/>
      <c r="O136" s="294"/>
      <c r="P136" s="294"/>
      <c r="Q136" s="294"/>
      <c r="R136" s="294"/>
      <c r="S136" s="294"/>
      <c r="T136" s="295"/>
      <c r="AT136" s="260" t="s">
        <v>214</v>
      </c>
      <c r="AU136" s="260" t="s">
        <v>92</v>
      </c>
      <c r="AV136" s="249" t="s">
        <v>92</v>
      </c>
      <c r="AW136" s="249" t="s">
        <v>39</v>
      </c>
      <c r="AX136" s="249" t="s">
        <v>82</v>
      </c>
      <c r="AY136" s="260" t="s">
        <v>206</v>
      </c>
    </row>
    <row r="137" spans="2:51" s="261" customFormat="1" ht="12">
      <c r="B137" s="262"/>
      <c r="C137" s="265"/>
      <c r="D137" s="251" t="s">
        <v>214</v>
      </c>
      <c r="E137" s="263" t="s">
        <v>1</v>
      </c>
      <c r="F137" s="264" t="s">
        <v>218</v>
      </c>
      <c r="G137" s="265"/>
      <c r="H137" s="313"/>
      <c r="I137" s="266">
        <v>35.628</v>
      </c>
      <c r="J137" s="265"/>
      <c r="K137" s="265"/>
      <c r="L137" s="262"/>
      <c r="M137" s="334"/>
      <c r="N137" s="335"/>
      <c r="O137" s="335"/>
      <c r="P137" s="335"/>
      <c r="Q137" s="335"/>
      <c r="R137" s="335"/>
      <c r="S137" s="335"/>
      <c r="T137" s="336"/>
      <c r="AT137" s="271" t="s">
        <v>214</v>
      </c>
      <c r="AU137" s="271" t="s">
        <v>92</v>
      </c>
      <c r="AV137" s="261" t="s">
        <v>219</v>
      </c>
      <c r="AW137" s="261" t="s">
        <v>39</v>
      </c>
      <c r="AX137" s="261" t="s">
        <v>82</v>
      </c>
      <c r="AY137" s="271" t="s">
        <v>206</v>
      </c>
    </row>
    <row r="138" spans="2:51" s="249" customFormat="1" ht="33.75">
      <c r="B138" s="250"/>
      <c r="C138" s="254"/>
      <c r="D138" s="251" t="s">
        <v>214</v>
      </c>
      <c r="E138" s="252" t="s">
        <v>626</v>
      </c>
      <c r="F138" s="253" t="s">
        <v>653</v>
      </c>
      <c r="G138" s="254"/>
      <c r="H138" s="312"/>
      <c r="I138" s="255">
        <v>59.95</v>
      </c>
      <c r="J138" s="254"/>
      <c r="K138" s="254"/>
      <c r="L138" s="250"/>
      <c r="M138" s="293"/>
      <c r="N138" s="294"/>
      <c r="O138" s="294"/>
      <c r="P138" s="294"/>
      <c r="Q138" s="294"/>
      <c r="R138" s="294"/>
      <c r="S138" s="294"/>
      <c r="T138" s="295"/>
      <c r="AT138" s="260" t="s">
        <v>214</v>
      </c>
      <c r="AU138" s="260" t="s">
        <v>92</v>
      </c>
      <c r="AV138" s="249" t="s">
        <v>92</v>
      </c>
      <c r="AW138" s="249" t="s">
        <v>39</v>
      </c>
      <c r="AX138" s="249" t="s">
        <v>82</v>
      </c>
      <c r="AY138" s="260" t="s">
        <v>206</v>
      </c>
    </row>
    <row r="139" spans="2:51" s="261" customFormat="1" ht="12">
      <c r="B139" s="262"/>
      <c r="C139" s="265"/>
      <c r="D139" s="251" t="s">
        <v>214</v>
      </c>
      <c r="E139" s="263" t="s">
        <v>1</v>
      </c>
      <c r="F139" s="264" t="s">
        <v>218</v>
      </c>
      <c r="G139" s="265"/>
      <c r="H139" s="313"/>
      <c r="I139" s="266">
        <v>59.95</v>
      </c>
      <c r="J139" s="265"/>
      <c r="K139" s="265"/>
      <c r="L139" s="262"/>
      <c r="M139" s="334"/>
      <c r="N139" s="335"/>
      <c r="O139" s="335"/>
      <c r="P139" s="335"/>
      <c r="Q139" s="335"/>
      <c r="R139" s="335"/>
      <c r="S139" s="335"/>
      <c r="T139" s="336"/>
      <c r="AT139" s="271" t="s">
        <v>214</v>
      </c>
      <c r="AU139" s="271" t="s">
        <v>92</v>
      </c>
      <c r="AV139" s="261" t="s">
        <v>219</v>
      </c>
      <c r="AW139" s="261" t="s">
        <v>39</v>
      </c>
      <c r="AX139" s="261" t="s">
        <v>82</v>
      </c>
      <c r="AY139" s="271" t="s">
        <v>206</v>
      </c>
    </row>
    <row r="140" spans="2:51" s="249" customFormat="1" ht="12">
      <c r="B140" s="250"/>
      <c r="C140" s="254"/>
      <c r="D140" s="251" t="s">
        <v>214</v>
      </c>
      <c r="E140" s="252" t="s">
        <v>621</v>
      </c>
      <c r="F140" s="253" t="s">
        <v>654</v>
      </c>
      <c r="G140" s="254"/>
      <c r="H140" s="312"/>
      <c r="I140" s="255">
        <v>5.238</v>
      </c>
      <c r="J140" s="254"/>
      <c r="K140" s="254"/>
      <c r="L140" s="250"/>
      <c r="M140" s="293"/>
      <c r="N140" s="294"/>
      <c r="O140" s="294"/>
      <c r="P140" s="294"/>
      <c r="Q140" s="294"/>
      <c r="R140" s="294"/>
      <c r="S140" s="294"/>
      <c r="T140" s="295"/>
      <c r="AT140" s="260" t="s">
        <v>214</v>
      </c>
      <c r="AU140" s="260" t="s">
        <v>92</v>
      </c>
      <c r="AV140" s="249" t="s">
        <v>92</v>
      </c>
      <c r="AW140" s="249" t="s">
        <v>39</v>
      </c>
      <c r="AX140" s="249" t="s">
        <v>82</v>
      </c>
      <c r="AY140" s="260" t="s">
        <v>206</v>
      </c>
    </row>
    <row r="141" spans="2:51" s="261" customFormat="1" ht="12">
      <c r="B141" s="262"/>
      <c r="C141" s="265"/>
      <c r="D141" s="251" t="s">
        <v>214</v>
      </c>
      <c r="E141" s="263" t="s">
        <v>1</v>
      </c>
      <c r="F141" s="264" t="s">
        <v>218</v>
      </c>
      <c r="G141" s="265"/>
      <c r="H141" s="313"/>
      <c r="I141" s="266">
        <v>5.238</v>
      </c>
      <c r="J141" s="265"/>
      <c r="K141" s="265"/>
      <c r="L141" s="262"/>
      <c r="M141" s="334"/>
      <c r="N141" s="335"/>
      <c r="O141" s="335"/>
      <c r="P141" s="335"/>
      <c r="Q141" s="335"/>
      <c r="R141" s="335"/>
      <c r="S141" s="335"/>
      <c r="T141" s="336"/>
      <c r="AT141" s="271" t="s">
        <v>214</v>
      </c>
      <c r="AU141" s="271" t="s">
        <v>92</v>
      </c>
      <c r="AV141" s="261" t="s">
        <v>219</v>
      </c>
      <c r="AW141" s="261" t="s">
        <v>39</v>
      </c>
      <c r="AX141" s="261" t="s">
        <v>82</v>
      </c>
      <c r="AY141" s="271" t="s">
        <v>206</v>
      </c>
    </row>
    <row r="142" spans="2:51" s="249" customFormat="1" ht="12">
      <c r="B142" s="250"/>
      <c r="C142" s="254"/>
      <c r="D142" s="251" t="s">
        <v>214</v>
      </c>
      <c r="E142" s="252" t="s">
        <v>143</v>
      </c>
      <c r="F142" s="253" t="s">
        <v>655</v>
      </c>
      <c r="G142" s="254"/>
      <c r="H142" s="312"/>
      <c r="I142" s="255">
        <v>1.434</v>
      </c>
      <c r="J142" s="254"/>
      <c r="K142" s="254"/>
      <c r="L142" s="250"/>
      <c r="M142" s="293"/>
      <c r="N142" s="294"/>
      <c r="O142" s="294"/>
      <c r="P142" s="294"/>
      <c r="Q142" s="294"/>
      <c r="R142" s="294"/>
      <c r="S142" s="294"/>
      <c r="T142" s="295"/>
      <c r="AT142" s="260" t="s">
        <v>214</v>
      </c>
      <c r="AU142" s="260" t="s">
        <v>92</v>
      </c>
      <c r="AV142" s="249" t="s">
        <v>92</v>
      </c>
      <c r="AW142" s="249" t="s">
        <v>39</v>
      </c>
      <c r="AX142" s="249" t="s">
        <v>82</v>
      </c>
      <c r="AY142" s="260" t="s">
        <v>206</v>
      </c>
    </row>
    <row r="143" spans="2:51" s="261" customFormat="1" ht="12">
      <c r="B143" s="262"/>
      <c r="C143" s="265"/>
      <c r="D143" s="251" t="s">
        <v>214</v>
      </c>
      <c r="E143" s="263" t="s">
        <v>1</v>
      </c>
      <c r="F143" s="264" t="s">
        <v>218</v>
      </c>
      <c r="G143" s="265"/>
      <c r="H143" s="313"/>
      <c r="I143" s="266">
        <v>1.434</v>
      </c>
      <c r="J143" s="265"/>
      <c r="K143" s="265"/>
      <c r="L143" s="262"/>
      <c r="M143" s="334"/>
      <c r="N143" s="335"/>
      <c r="O143" s="335"/>
      <c r="P143" s="335"/>
      <c r="Q143" s="335"/>
      <c r="R143" s="335"/>
      <c r="S143" s="335"/>
      <c r="T143" s="336"/>
      <c r="AT143" s="271" t="s">
        <v>214</v>
      </c>
      <c r="AU143" s="271" t="s">
        <v>92</v>
      </c>
      <c r="AV143" s="261" t="s">
        <v>219</v>
      </c>
      <c r="AW143" s="261" t="s">
        <v>39</v>
      </c>
      <c r="AX143" s="261" t="s">
        <v>82</v>
      </c>
      <c r="AY143" s="271" t="s">
        <v>206</v>
      </c>
    </row>
    <row r="144" spans="2:51" s="249" customFormat="1" ht="45">
      <c r="B144" s="250"/>
      <c r="C144" s="254"/>
      <c r="D144" s="251" t="s">
        <v>214</v>
      </c>
      <c r="E144" s="252" t="s">
        <v>619</v>
      </c>
      <c r="F144" s="253" t="s">
        <v>656</v>
      </c>
      <c r="G144" s="254"/>
      <c r="H144" s="312"/>
      <c r="I144" s="255">
        <v>77.76</v>
      </c>
      <c r="J144" s="254"/>
      <c r="K144" s="254"/>
      <c r="L144" s="250"/>
      <c r="M144" s="293"/>
      <c r="N144" s="294"/>
      <c r="O144" s="294"/>
      <c r="P144" s="294"/>
      <c r="Q144" s="294"/>
      <c r="R144" s="294"/>
      <c r="S144" s="294"/>
      <c r="T144" s="295"/>
      <c r="AT144" s="260" t="s">
        <v>214</v>
      </c>
      <c r="AU144" s="260" t="s">
        <v>92</v>
      </c>
      <c r="AV144" s="249" t="s">
        <v>92</v>
      </c>
      <c r="AW144" s="249" t="s">
        <v>39</v>
      </c>
      <c r="AX144" s="249" t="s">
        <v>82</v>
      </c>
      <c r="AY144" s="260" t="s">
        <v>206</v>
      </c>
    </row>
    <row r="145" spans="2:51" s="261" customFormat="1" ht="12">
      <c r="B145" s="262"/>
      <c r="C145" s="265"/>
      <c r="D145" s="251" t="s">
        <v>214</v>
      </c>
      <c r="E145" s="263" t="s">
        <v>1</v>
      </c>
      <c r="F145" s="264" t="s">
        <v>218</v>
      </c>
      <c r="G145" s="265"/>
      <c r="H145" s="313"/>
      <c r="I145" s="266">
        <v>77.76</v>
      </c>
      <c r="J145" s="265"/>
      <c r="K145" s="265"/>
      <c r="L145" s="262"/>
      <c r="M145" s="334"/>
      <c r="N145" s="335"/>
      <c r="O145" s="335"/>
      <c r="P145" s="335"/>
      <c r="Q145" s="335"/>
      <c r="R145" s="335"/>
      <c r="S145" s="335"/>
      <c r="T145" s="336"/>
      <c r="AT145" s="271" t="s">
        <v>214</v>
      </c>
      <c r="AU145" s="271" t="s">
        <v>92</v>
      </c>
      <c r="AV145" s="261" t="s">
        <v>219</v>
      </c>
      <c r="AW145" s="261" t="s">
        <v>39</v>
      </c>
      <c r="AX145" s="261" t="s">
        <v>82</v>
      </c>
      <c r="AY145" s="271" t="s">
        <v>206</v>
      </c>
    </row>
    <row r="146" spans="2:51" s="249" customFormat="1" ht="12">
      <c r="B146" s="250"/>
      <c r="C146" s="254"/>
      <c r="D146" s="251" t="s">
        <v>214</v>
      </c>
      <c r="E146" s="252" t="s">
        <v>1</v>
      </c>
      <c r="F146" s="253" t="s">
        <v>860</v>
      </c>
      <c r="G146" s="254"/>
      <c r="H146" s="312"/>
      <c r="I146" s="255">
        <f>I130*1.2</f>
        <v>24.84</v>
      </c>
      <c r="J146" s="254"/>
      <c r="K146" s="254"/>
      <c r="L146" s="250"/>
      <c r="M146" s="293"/>
      <c r="N146" s="294"/>
      <c r="O146" s="294"/>
      <c r="P146" s="294"/>
      <c r="Q146" s="294"/>
      <c r="R146" s="294"/>
      <c r="S146" s="294"/>
      <c r="T146" s="295"/>
      <c r="AT146" s="260" t="s">
        <v>214</v>
      </c>
      <c r="AU146" s="260" t="s">
        <v>92</v>
      </c>
      <c r="AV146" s="249" t="s">
        <v>92</v>
      </c>
      <c r="AW146" s="249" t="s">
        <v>39</v>
      </c>
      <c r="AX146" s="249" t="s">
        <v>82</v>
      </c>
      <c r="AY146" s="260" t="s">
        <v>206</v>
      </c>
    </row>
    <row r="147" spans="2:51" s="249" customFormat="1" ht="12">
      <c r="B147" s="250"/>
      <c r="C147" s="254"/>
      <c r="D147" s="251" t="s">
        <v>214</v>
      </c>
      <c r="E147" s="252" t="s">
        <v>1</v>
      </c>
      <c r="F147" s="253" t="s">
        <v>863</v>
      </c>
      <c r="G147" s="254"/>
      <c r="H147" s="312"/>
      <c r="I147" s="255">
        <f>I132*1.2</f>
        <v>62.4</v>
      </c>
      <c r="J147" s="254"/>
      <c r="K147" s="254"/>
      <c r="L147" s="250"/>
      <c r="M147" s="293"/>
      <c r="N147" s="294"/>
      <c r="O147" s="294"/>
      <c r="P147" s="294"/>
      <c r="Q147" s="294"/>
      <c r="R147" s="294"/>
      <c r="S147" s="294"/>
      <c r="T147" s="295"/>
      <c r="AT147" s="260" t="s">
        <v>214</v>
      </c>
      <c r="AU147" s="260" t="s">
        <v>92</v>
      </c>
      <c r="AV147" s="249" t="s">
        <v>92</v>
      </c>
      <c r="AW147" s="249" t="s">
        <v>39</v>
      </c>
      <c r="AX147" s="249" t="s">
        <v>82</v>
      </c>
      <c r="AY147" s="260" t="s">
        <v>206</v>
      </c>
    </row>
    <row r="148" spans="2:51" s="249" customFormat="1" ht="12">
      <c r="B148" s="250"/>
      <c r="C148" s="254"/>
      <c r="D148" s="251" t="s">
        <v>214</v>
      </c>
      <c r="E148" s="252" t="s">
        <v>1</v>
      </c>
      <c r="F148" s="253" t="s">
        <v>861</v>
      </c>
      <c r="G148" s="254"/>
      <c r="H148" s="312"/>
      <c r="I148" s="255">
        <f>I134*0.9</f>
        <v>3.492</v>
      </c>
      <c r="J148" s="254"/>
      <c r="K148" s="254"/>
      <c r="L148" s="250"/>
      <c r="M148" s="293"/>
      <c r="N148" s="294"/>
      <c r="O148" s="294"/>
      <c r="P148" s="294"/>
      <c r="Q148" s="294"/>
      <c r="R148" s="294"/>
      <c r="S148" s="294"/>
      <c r="T148" s="295"/>
      <c r="AT148" s="260" t="s">
        <v>214</v>
      </c>
      <c r="AU148" s="260" t="s">
        <v>92</v>
      </c>
      <c r="AV148" s="249" t="s">
        <v>92</v>
      </c>
      <c r="AW148" s="249" t="s">
        <v>39</v>
      </c>
      <c r="AX148" s="249" t="s">
        <v>82</v>
      </c>
      <c r="AY148" s="260" t="s">
        <v>206</v>
      </c>
    </row>
    <row r="149" spans="2:51" s="249" customFormat="1" ht="12">
      <c r="B149" s="250"/>
      <c r="C149" s="254"/>
      <c r="D149" s="251" t="s">
        <v>214</v>
      </c>
      <c r="E149" s="252" t="s">
        <v>1</v>
      </c>
      <c r="F149" s="253" t="s">
        <v>862</v>
      </c>
      <c r="G149" s="254"/>
      <c r="H149" s="312"/>
      <c r="I149" s="255">
        <f>10*(2.8*2.8-1*1)</f>
        <v>68.39999999999999</v>
      </c>
      <c r="J149" s="254"/>
      <c r="K149" s="254"/>
      <c r="L149" s="250"/>
      <c r="M149" s="293"/>
      <c r="N149" s="294"/>
      <c r="O149" s="294"/>
      <c r="P149" s="294"/>
      <c r="Q149" s="294"/>
      <c r="R149" s="294"/>
      <c r="S149" s="294"/>
      <c r="T149" s="295"/>
      <c r="AT149" s="260" t="s">
        <v>214</v>
      </c>
      <c r="AU149" s="260" t="s">
        <v>92</v>
      </c>
      <c r="AV149" s="249" t="s">
        <v>92</v>
      </c>
      <c r="AW149" s="249" t="s">
        <v>39</v>
      </c>
      <c r="AX149" s="249" t="s">
        <v>82</v>
      </c>
      <c r="AY149" s="260" t="s">
        <v>206</v>
      </c>
    </row>
    <row r="150" spans="2:51" s="261" customFormat="1" ht="12">
      <c r="B150" s="262"/>
      <c r="C150" s="265"/>
      <c r="D150" s="251" t="s">
        <v>214</v>
      </c>
      <c r="E150" s="263" t="s">
        <v>109</v>
      </c>
      <c r="F150" s="264" t="s">
        <v>218</v>
      </c>
      <c r="G150" s="265"/>
      <c r="H150" s="313"/>
      <c r="I150" s="266">
        <f>SUM(I146:I149)</f>
        <v>159.132</v>
      </c>
      <c r="J150" s="265"/>
      <c r="K150" s="265"/>
      <c r="L150" s="262"/>
      <c r="M150" s="334"/>
      <c r="N150" s="335"/>
      <c r="O150" s="335"/>
      <c r="P150" s="335"/>
      <c r="Q150" s="335"/>
      <c r="R150" s="335"/>
      <c r="S150" s="335"/>
      <c r="T150" s="336"/>
      <c r="AT150" s="271" t="s">
        <v>214</v>
      </c>
      <c r="AU150" s="271" t="s">
        <v>92</v>
      </c>
      <c r="AV150" s="261" t="s">
        <v>219</v>
      </c>
      <c r="AW150" s="261" t="s">
        <v>39</v>
      </c>
      <c r="AX150" s="261" t="s">
        <v>18</v>
      </c>
      <c r="AY150" s="271" t="s">
        <v>206</v>
      </c>
    </row>
    <row r="151" spans="1:65" s="136" customFormat="1" ht="36.75" customHeight="1">
      <c r="A151" s="131"/>
      <c r="B151" s="132"/>
      <c r="C151" s="236">
        <f>C129+1</f>
        <v>2</v>
      </c>
      <c r="D151" s="236" t="s">
        <v>208</v>
      </c>
      <c r="E151" s="237" t="s">
        <v>884</v>
      </c>
      <c r="F151" s="238" t="s">
        <v>885</v>
      </c>
      <c r="G151" s="239" t="s">
        <v>211</v>
      </c>
      <c r="H151" s="72"/>
      <c r="I151" s="241">
        <f>I152</f>
        <v>159.132</v>
      </c>
      <c r="J151" s="240">
        <f>ROUND($H151*I151,2)</f>
        <v>0</v>
      </c>
      <c r="K151" s="242"/>
      <c r="L151" s="132"/>
      <c r="M151" s="296" t="s">
        <v>1</v>
      </c>
      <c r="N151" s="297" t="s">
        <v>47</v>
      </c>
      <c r="O151" s="298">
        <v>0.253</v>
      </c>
      <c r="P151" s="298">
        <f>O151*I151</f>
        <v>40.260396</v>
      </c>
      <c r="Q151" s="298">
        <v>0</v>
      </c>
      <c r="R151" s="298">
        <f>Q151*I151</f>
        <v>0</v>
      </c>
      <c r="S151" s="298">
        <v>0.17</v>
      </c>
      <c r="T151" s="299">
        <f>S151*I151</f>
        <v>27.052440000000004</v>
      </c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R151" s="247" t="s">
        <v>212</v>
      </c>
      <c r="AT151" s="247" t="s">
        <v>208</v>
      </c>
      <c r="AU151" s="247" t="s">
        <v>92</v>
      </c>
      <c r="AY151" s="120" t="s">
        <v>206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20" t="s">
        <v>18</v>
      </c>
      <c r="BK151" s="248">
        <f>ROUND(H151*I151,2)</f>
        <v>0</v>
      </c>
      <c r="BL151" s="120" t="s">
        <v>212</v>
      </c>
      <c r="BM151" s="247" t="s">
        <v>657</v>
      </c>
    </row>
    <row r="152" spans="2:51" s="249" customFormat="1" ht="22.5">
      <c r="B152" s="250"/>
      <c r="C152" s="254"/>
      <c r="D152" s="251" t="s">
        <v>214</v>
      </c>
      <c r="E152" s="252" t="s">
        <v>133</v>
      </c>
      <c r="F152" s="253" t="s">
        <v>894</v>
      </c>
      <c r="G152" s="254"/>
      <c r="H152" s="312"/>
      <c r="I152" s="255">
        <f>I130*1.2+I132*1.2+I134*0.9+I149</f>
        <v>159.132</v>
      </c>
      <c r="J152" s="254"/>
      <c r="K152" s="254"/>
      <c r="L152" s="250"/>
      <c r="M152" s="293"/>
      <c r="N152" s="294"/>
      <c r="O152" s="294"/>
      <c r="P152" s="294"/>
      <c r="Q152" s="294"/>
      <c r="R152" s="294"/>
      <c r="S152" s="294"/>
      <c r="T152" s="295"/>
      <c r="AT152" s="260" t="s">
        <v>214</v>
      </c>
      <c r="AU152" s="260" t="s">
        <v>92</v>
      </c>
      <c r="AV152" s="249" t="s">
        <v>92</v>
      </c>
      <c r="AW152" s="249" t="s">
        <v>39</v>
      </c>
      <c r="AX152" s="249" t="s">
        <v>18</v>
      </c>
      <c r="AY152" s="260" t="s">
        <v>206</v>
      </c>
    </row>
    <row r="153" spans="1:65" s="136" customFormat="1" ht="21.75" customHeight="1">
      <c r="A153" s="131"/>
      <c r="B153" s="132"/>
      <c r="C153" s="236">
        <f>C151+1</f>
        <v>3</v>
      </c>
      <c r="D153" s="236" t="s">
        <v>208</v>
      </c>
      <c r="E153" s="237" t="s">
        <v>658</v>
      </c>
      <c r="F153" s="238" t="s">
        <v>659</v>
      </c>
      <c r="G153" s="239" t="s">
        <v>211</v>
      </c>
      <c r="H153" s="72"/>
      <c r="I153" s="241">
        <f>I154</f>
        <v>159.132</v>
      </c>
      <c r="J153" s="240">
        <f>ROUND($H153*I153,2)</f>
        <v>0</v>
      </c>
      <c r="K153" s="242"/>
      <c r="L153" s="132"/>
      <c r="M153" s="296" t="s">
        <v>1</v>
      </c>
      <c r="N153" s="297" t="s">
        <v>47</v>
      </c>
      <c r="O153" s="298">
        <v>0.013</v>
      </c>
      <c r="P153" s="298">
        <f>O153*I153</f>
        <v>2.0687159999999998</v>
      </c>
      <c r="Q153" s="298">
        <v>9E-05</v>
      </c>
      <c r="R153" s="298">
        <f>Q153*I153</f>
        <v>0.014321880000000002</v>
      </c>
      <c r="S153" s="298">
        <v>0.128</v>
      </c>
      <c r="T153" s="299">
        <f>S153*I153</f>
        <v>20.368896</v>
      </c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R153" s="247" t="s">
        <v>212</v>
      </c>
      <c r="AT153" s="247" t="s">
        <v>208</v>
      </c>
      <c r="AU153" s="247" t="s">
        <v>92</v>
      </c>
      <c r="AY153" s="120" t="s">
        <v>206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20" t="s">
        <v>18</v>
      </c>
      <c r="BK153" s="248">
        <f>ROUND(H153*I153,2)</f>
        <v>0</v>
      </c>
      <c r="BL153" s="120" t="s">
        <v>212</v>
      </c>
      <c r="BM153" s="247" t="s">
        <v>660</v>
      </c>
    </row>
    <row r="154" spans="2:51" s="249" customFormat="1" ht="12">
      <c r="B154" s="250"/>
      <c r="C154" s="254"/>
      <c r="D154" s="251" t="s">
        <v>214</v>
      </c>
      <c r="E154" s="252" t="s">
        <v>1</v>
      </c>
      <c r="F154" s="253" t="s">
        <v>661</v>
      </c>
      <c r="G154" s="254"/>
      <c r="H154" s="312"/>
      <c r="I154" s="255">
        <f>I151</f>
        <v>159.132</v>
      </c>
      <c r="J154" s="254"/>
      <c r="K154" s="254"/>
      <c r="L154" s="250"/>
      <c r="M154" s="293"/>
      <c r="N154" s="294"/>
      <c r="O154" s="294"/>
      <c r="P154" s="294"/>
      <c r="Q154" s="294"/>
      <c r="R154" s="294"/>
      <c r="S154" s="294"/>
      <c r="T154" s="295"/>
      <c r="AT154" s="260" t="s">
        <v>214</v>
      </c>
      <c r="AU154" s="260" t="s">
        <v>92</v>
      </c>
      <c r="AV154" s="249" t="s">
        <v>92</v>
      </c>
      <c r="AW154" s="249" t="s">
        <v>39</v>
      </c>
      <c r="AX154" s="249" t="s">
        <v>18</v>
      </c>
      <c r="AY154" s="260" t="s">
        <v>206</v>
      </c>
    </row>
    <row r="155" spans="1:65" s="136" customFormat="1" ht="16.5" customHeight="1">
      <c r="A155" s="131"/>
      <c r="B155" s="132"/>
      <c r="C155" s="236">
        <f>C153+1</f>
        <v>4</v>
      </c>
      <c r="D155" s="236" t="s">
        <v>208</v>
      </c>
      <c r="E155" s="237" t="s">
        <v>236</v>
      </c>
      <c r="F155" s="238" t="s">
        <v>237</v>
      </c>
      <c r="G155" s="239" t="s">
        <v>238</v>
      </c>
      <c r="H155" s="72"/>
      <c r="I155" s="241">
        <v>1</v>
      </c>
      <c r="J155" s="240">
        <f>ROUND($H155*I155,2)</f>
        <v>0</v>
      </c>
      <c r="K155" s="242"/>
      <c r="L155" s="132"/>
      <c r="M155" s="296" t="s">
        <v>1</v>
      </c>
      <c r="N155" s="297" t="s">
        <v>47</v>
      </c>
      <c r="O155" s="298">
        <v>0.133</v>
      </c>
      <c r="P155" s="298">
        <f>O155*I155</f>
        <v>0.133</v>
      </c>
      <c r="Q155" s="298">
        <v>0</v>
      </c>
      <c r="R155" s="298">
        <f>Q155*I155</f>
        <v>0</v>
      </c>
      <c r="S155" s="298">
        <v>0.205</v>
      </c>
      <c r="T155" s="299">
        <f>S155*I155</f>
        <v>0.205</v>
      </c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R155" s="247" t="s">
        <v>212</v>
      </c>
      <c r="AT155" s="247" t="s">
        <v>208</v>
      </c>
      <c r="AU155" s="247" t="s">
        <v>92</v>
      </c>
      <c r="AY155" s="120" t="s">
        <v>206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20" t="s">
        <v>18</v>
      </c>
      <c r="BK155" s="248">
        <f>ROUND(H155*I155,2)</f>
        <v>0</v>
      </c>
      <c r="BL155" s="120" t="s">
        <v>212</v>
      </c>
      <c r="BM155" s="247" t="s">
        <v>662</v>
      </c>
    </row>
    <row r="156" spans="2:51" s="249" customFormat="1" ht="12">
      <c r="B156" s="250"/>
      <c r="C156" s="254"/>
      <c r="D156" s="251" t="s">
        <v>214</v>
      </c>
      <c r="E156" s="252" t="s">
        <v>128</v>
      </c>
      <c r="F156" s="253" t="s">
        <v>663</v>
      </c>
      <c r="G156" s="254"/>
      <c r="H156" s="312"/>
      <c r="I156" s="255">
        <v>1</v>
      </c>
      <c r="J156" s="254"/>
      <c r="K156" s="254"/>
      <c r="L156" s="250"/>
      <c r="M156" s="293"/>
      <c r="N156" s="294"/>
      <c r="O156" s="294"/>
      <c r="P156" s="294"/>
      <c r="Q156" s="294"/>
      <c r="R156" s="294"/>
      <c r="S156" s="294"/>
      <c r="T156" s="295"/>
      <c r="AT156" s="260" t="s">
        <v>214</v>
      </c>
      <c r="AU156" s="260" t="s">
        <v>92</v>
      </c>
      <c r="AV156" s="249" t="s">
        <v>92</v>
      </c>
      <c r="AW156" s="249" t="s">
        <v>39</v>
      </c>
      <c r="AX156" s="249" t="s">
        <v>18</v>
      </c>
      <c r="AY156" s="260" t="s">
        <v>206</v>
      </c>
    </row>
    <row r="157" spans="1:65" s="136" customFormat="1" ht="21.75" customHeight="1">
      <c r="A157" s="131"/>
      <c r="B157" s="132"/>
      <c r="C157" s="236">
        <f>C155+1</f>
        <v>5</v>
      </c>
      <c r="D157" s="236" t="s">
        <v>208</v>
      </c>
      <c r="E157" s="237" t="s">
        <v>242</v>
      </c>
      <c r="F157" s="238" t="s">
        <v>243</v>
      </c>
      <c r="G157" s="239" t="s">
        <v>244</v>
      </c>
      <c r="H157" s="72"/>
      <c r="I157" s="241">
        <v>16.387</v>
      </c>
      <c r="J157" s="240">
        <f>ROUND($H157*I157,2)</f>
        <v>0</v>
      </c>
      <c r="K157" s="242"/>
      <c r="L157" s="132"/>
      <c r="M157" s="296" t="s">
        <v>1</v>
      </c>
      <c r="N157" s="297" t="s">
        <v>47</v>
      </c>
      <c r="O157" s="298">
        <v>0.184</v>
      </c>
      <c r="P157" s="298">
        <f>O157*I157</f>
        <v>3.015208</v>
      </c>
      <c r="Q157" s="298">
        <v>3E-05</v>
      </c>
      <c r="R157" s="298">
        <f>Q157*I157</f>
        <v>0.0004916100000000001</v>
      </c>
      <c r="S157" s="298">
        <v>0</v>
      </c>
      <c r="T157" s="299">
        <f>S157*I157</f>
        <v>0</v>
      </c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R157" s="247" t="s">
        <v>212</v>
      </c>
      <c r="AT157" s="247" t="s">
        <v>208</v>
      </c>
      <c r="AU157" s="247" t="s">
        <v>92</v>
      </c>
      <c r="AY157" s="120" t="s">
        <v>206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20" t="s">
        <v>18</v>
      </c>
      <c r="BK157" s="248">
        <f>ROUND(H157*I157,2)</f>
        <v>0</v>
      </c>
      <c r="BL157" s="120" t="s">
        <v>212</v>
      </c>
      <c r="BM157" s="247" t="s">
        <v>664</v>
      </c>
    </row>
    <row r="158" spans="2:51" s="249" customFormat="1" ht="22.5">
      <c r="B158" s="250"/>
      <c r="C158" s="254"/>
      <c r="D158" s="251" t="s">
        <v>214</v>
      </c>
      <c r="E158" s="252" t="s">
        <v>1</v>
      </c>
      <c r="F158" s="253" t="s">
        <v>665</v>
      </c>
      <c r="G158" s="254"/>
      <c r="H158" s="312"/>
      <c r="I158" s="255">
        <v>16.387</v>
      </c>
      <c r="J158" s="254"/>
      <c r="K158" s="254"/>
      <c r="L158" s="250"/>
      <c r="M158" s="293"/>
      <c r="N158" s="294"/>
      <c r="O158" s="294"/>
      <c r="P158" s="294"/>
      <c r="Q158" s="294"/>
      <c r="R158" s="294"/>
      <c r="S158" s="294"/>
      <c r="T158" s="295"/>
      <c r="AT158" s="260" t="s">
        <v>214</v>
      </c>
      <c r="AU158" s="260" t="s">
        <v>92</v>
      </c>
      <c r="AV158" s="249" t="s">
        <v>92</v>
      </c>
      <c r="AW158" s="249" t="s">
        <v>39</v>
      </c>
      <c r="AX158" s="249" t="s">
        <v>18</v>
      </c>
      <c r="AY158" s="260" t="s">
        <v>206</v>
      </c>
    </row>
    <row r="159" spans="1:65" s="136" customFormat="1" ht="21.75" customHeight="1">
      <c r="A159" s="131"/>
      <c r="B159" s="132"/>
      <c r="C159" s="236">
        <f>C157+1</f>
        <v>6</v>
      </c>
      <c r="D159" s="236" t="s">
        <v>208</v>
      </c>
      <c r="E159" s="237" t="s">
        <v>247</v>
      </c>
      <c r="F159" s="238" t="s">
        <v>248</v>
      </c>
      <c r="G159" s="239" t="s">
        <v>249</v>
      </c>
      <c r="H159" s="72"/>
      <c r="I159" s="241">
        <v>2.048</v>
      </c>
      <c r="J159" s="240">
        <f>ROUND($H159*I159,2)</f>
        <v>0</v>
      </c>
      <c r="K159" s="242"/>
      <c r="L159" s="132"/>
      <c r="M159" s="296" t="s">
        <v>1</v>
      </c>
      <c r="N159" s="297" t="s">
        <v>47</v>
      </c>
      <c r="O159" s="298">
        <v>0</v>
      </c>
      <c r="P159" s="298">
        <f>O159*I159</f>
        <v>0</v>
      </c>
      <c r="Q159" s="298">
        <v>0</v>
      </c>
      <c r="R159" s="298">
        <f>Q159*I159</f>
        <v>0</v>
      </c>
      <c r="S159" s="298">
        <v>0</v>
      </c>
      <c r="T159" s="299">
        <f>S159*I159</f>
        <v>0</v>
      </c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R159" s="247" t="s">
        <v>212</v>
      </c>
      <c r="AT159" s="247" t="s">
        <v>208</v>
      </c>
      <c r="AU159" s="247" t="s">
        <v>92</v>
      </c>
      <c r="AY159" s="120" t="s">
        <v>206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20" t="s">
        <v>18</v>
      </c>
      <c r="BK159" s="248">
        <f>ROUND(H159*I159,2)</f>
        <v>0</v>
      </c>
      <c r="BL159" s="120" t="s">
        <v>212</v>
      </c>
      <c r="BM159" s="247" t="s">
        <v>666</v>
      </c>
    </row>
    <row r="160" spans="2:51" s="249" customFormat="1" ht="22.5">
      <c r="B160" s="250"/>
      <c r="C160" s="254"/>
      <c r="D160" s="251" t="s">
        <v>214</v>
      </c>
      <c r="E160" s="252" t="s">
        <v>1</v>
      </c>
      <c r="F160" s="253" t="s">
        <v>667</v>
      </c>
      <c r="G160" s="254"/>
      <c r="H160" s="312"/>
      <c r="I160" s="255">
        <v>2.048</v>
      </c>
      <c r="J160" s="254"/>
      <c r="K160" s="254"/>
      <c r="L160" s="250"/>
      <c r="M160" s="293"/>
      <c r="N160" s="294"/>
      <c r="O160" s="294"/>
      <c r="P160" s="294"/>
      <c r="Q160" s="294"/>
      <c r="R160" s="294"/>
      <c r="S160" s="294"/>
      <c r="T160" s="295"/>
      <c r="AT160" s="260" t="s">
        <v>214</v>
      </c>
      <c r="AU160" s="260" t="s">
        <v>92</v>
      </c>
      <c r="AV160" s="249" t="s">
        <v>92</v>
      </c>
      <c r="AW160" s="249" t="s">
        <v>39</v>
      </c>
      <c r="AX160" s="249" t="s">
        <v>18</v>
      </c>
      <c r="AY160" s="260" t="s">
        <v>206</v>
      </c>
    </row>
    <row r="161" spans="1:65" s="136" customFormat="1" ht="21.75" customHeight="1">
      <c r="A161" s="131"/>
      <c r="B161" s="132"/>
      <c r="C161" s="236">
        <f>C159+1</f>
        <v>7</v>
      </c>
      <c r="D161" s="236" t="s">
        <v>208</v>
      </c>
      <c r="E161" s="237" t="s">
        <v>252</v>
      </c>
      <c r="F161" s="238" t="s">
        <v>253</v>
      </c>
      <c r="G161" s="239" t="s">
        <v>238</v>
      </c>
      <c r="H161" s="72"/>
      <c r="I161" s="241">
        <v>32.6</v>
      </c>
      <c r="J161" s="240">
        <f>ROUND($H161*I161,2)</f>
        <v>0</v>
      </c>
      <c r="K161" s="242"/>
      <c r="L161" s="132"/>
      <c r="M161" s="296" t="s">
        <v>1</v>
      </c>
      <c r="N161" s="297" t="s">
        <v>47</v>
      </c>
      <c r="O161" s="298">
        <v>0.703</v>
      </c>
      <c r="P161" s="298">
        <f>O161*I161</f>
        <v>22.9178</v>
      </c>
      <c r="Q161" s="298">
        <v>0.00868</v>
      </c>
      <c r="R161" s="298">
        <f>Q161*I161</f>
        <v>0.282968</v>
      </c>
      <c r="S161" s="298">
        <v>0</v>
      </c>
      <c r="T161" s="299">
        <f>S161*I161</f>
        <v>0</v>
      </c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R161" s="247" t="s">
        <v>212</v>
      </c>
      <c r="AT161" s="247" t="s">
        <v>208</v>
      </c>
      <c r="AU161" s="247" t="s">
        <v>92</v>
      </c>
      <c r="AY161" s="120" t="s">
        <v>206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20" t="s">
        <v>18</v>
      </c>
      <c r="BK161" s="248">
        <f>ROUND(H161*I161,2)</f>
        <v>0</v>
      </c>
      <c r="BL161" s="120" t="s">
        <v>212</v>
      </c>
      <c r="BM161" s="247" t="s">
        <v>668</v>
      </c>
    </row>
    <row r="162" spans="2:51" s="249" customFormat="1" ht="22.5">
      <c r="B162" s="250"/>
      <c r="C162" s="254"/>
      <c r="D162" s="251" t="s">
        <v>214</v>
      </c>
      <c r="E162" s="252" t="s">
        <v>160</v>
      </c>
      <c r="F162" s="253" t="s">
        <v>669</v>
      </c>
      <c r="G162" s="254"/>
      <c r="H162" s="312"/>
      <c r="I162" s="255">
        <v>32.6</v>
      </c>
      <c r="J162" s="254"/>
      <c r="K162" s="254"/>
      <c r="L162" s="250"/>
      <c r="M162" s="293"/>
      <c r="N162" s="294"/>
      <c r="O162" s="294"/>
      <c r="P162" s="294"/>
      <c r="Q162" s="294"/>
      <c r="R162" s="294"/>
      <c r="S162" s="294"/>
      <c r="T162" s="295"/>
      <c r="AT162" s="260" t="s">
        <v>214</v>
      </c>
      <c r="AU162" s="260" t="s">
        <v>92</v>
      </c>
      <c r="AV162" s="249" t="s">
        <v>92</v>
      </c>
      <c r="AW162" s="249" t="s">
        <v>39</v>
      </c>
      <c r="AX162" s="249" t="s">
        <v>18</v>
      </c>
      <c r="AY162" s="260" t="s">
        <v>206</v>
      </c>
    </row>
    <row r="163" spans="1:65" s="136" customFormat="1" ht="21.75" customHeight="1">
      <c r="A163" s="131"/>
      <c r="B163" s="132"/>
      <c r="C163" s="236">
        <f>C161+1</f>
        <v>8</v>
      </c>
      <c r="D163" s="236" t="s">
        <v>208</v>
      </c>
      <c r="E163" s="237" t="s">
        <v>262</v>
      </c>
      <c r="F163" s="238" t="s">
        <v>263</v>
      </c>
      <c r="G163" s="239" t="s">
        <v>238</v>
      </c>
      <c r="H163" s="72"/>
      <c r="I163" s="241">
        <v>16.3</v>
      </c>
      <c r="J163" s="240">
        <f>ROUND($H163*I163,2)</f>
        <v>0</v>
      </c>
      <c r="K163" s="242"/>
      <c r="L163" s="132"/>
      <c r="M163" s="296" t="s">
        <v>1</v>
      </c>
      <c r="N163" s="297" t="s">
        <v>47</v>
      </c>
      <c r="O163" s="298">
        <v>0.547</v>
      </c>
      <c r="P163" s="298">
        <f>O163*I163</f>
        <v>8.916100000000002</v>
      </c>
      <c r="Q163" s="298">
        <v>0.0369</v>
      </c>
      <c r="R163" s="298">
        <f>Q163*I163</f>
        <v>0.6014700000000001</v>
      </c>
      <c r="S163" s="298">
        <v>0</v>
      </c>
      <c r="T163" s="299">
        <f>S163*I163</f>
        <v>0</v>
      </c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R163" s="247" t="s">
        <v>212</v>
      </c>
      <c r="AT163" s="247" t="s">
        <v>208</v>
      </c>
      <c r="AU163" s="247" t="s">
        <v>92</v>
      </c>
      <c r="AY163" s="120" t="s">
        <v>206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20" t="s">
        <v>18</v>
      </c>
      <c r="BK163" s="248">
        <f>ROUND(H163*I163,2)</f>
        <v>0</v>
      </c>
      <c r="BL163" s="120" t="s">
        <v>212</v>
      </c>
      <c r="BM163" s="247" t="s">
        <v>670</v>
      </c>
    </row>
    <row r="164" spans="2:51" s="249" customFormat="1" ht="12">
      <c r="B164" s="250"/>
      <c r="C164" s="254"/>
      <c r="D164" s="251" t="s">
        <v>214</v>
      </c>
      <c r="E164" s="252" t="s">
        <v>158</v>
      </c>
      <c r="F164" s="253" t="s">
        <v>671</v>
      </c>
      <c r="G164" s="254"/>
      <c r="H164" s="312"/>
      <c r="I164" s="255">
        <v>16.3</v>
      </c>
      <c r="J164" s="254"/>
      <c r="K164" s="254"/>
      <c r="L164" s="250"/>
      <c r="M164" s="293"/>
      <c r="N164" s="294"/>
      <c r="O164" s="294"/>
      <c r="P164" s="294"/>
      <c r="Q164" s="294"/>
      <c r="R164" s="294"/>
      <c r="S164" s="294"/>
      <c r="T164" s="295"/>
      <c r="AT164" s="260" t="s">
        <v>214</v>
      </c>
      <c r="AU164" s="260" t="s">
        <v>92</v>
      </c>
      <c r="AV164" s="249" t="s">
        <v>92</v>
      </c>
      <c r="AW164" s="249" t="s">
        <v>39</v>
      </c>
      <c r="AX164" s="249" t="s">
        <v>18</v>
      </c>
      <c r="AY164" s="260" t="s">
        <v>206</v>
      </c>
    </row>
    <row r="165" spans="1:65" s="136" customFormat="1" ht="21.75" customHeight="1">
      <c r="A165" s="131"/>
      <c r="B165" s="132"/>
      <c r="C165" s="236">
        <f>C163+1</f>
        <v>9</v>
      </c>
      <c r="D165" s="236" t="s">
        <v>208</v>
      </c>
      <c r="E165" s="237" t="s">
        <v>672</v>
      </c>
      <c r="F165" s="238" t="s">
        <v>673</v>
      </c>
      <c r="G165" s="239" t="s">
        <v>268</v>
      </c>
      <c r="H165" s="72"/>
      <c r="I165" s="241">
        <v>20</v>
      </c>
      <c r="J165" s="240">
        <f>ROUND($H165*I165,2)</f>
        <v>0</v>
      </c>
      <c r="K165" s="242"/>
      <c r="L165" s="132"/>
      <c r="M165" s="296" t="s">
        <v>1</v>
      </c>
      <c r="N165" s="297" t="s">
        <v>47</v>
      </c>
      <c r="O165" s="298">
        <v>4.048</v>
      </c>
      <c r="P165" s="298">
        <f>O165*I165</f>
        <v>80.96000000000001</v>
      </c>
      <c r="Q165" s="298">
        <v>0</v>
      </c>
      <c r="R165" s="298">
        <f>Q165*I165</f>
        <v>0</v>
      </c>
      <c r="S165" s="298">
        <v>0</v>
      </c>
      <c r="T165" s="299">
        <f>S165*I165</f>
        <v>0</v>
      </c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R165" s="247" t="s">
        <v>212</v>
      </c>
      <c r="AT165" s="247" t="s">
        <v>208</v>
      </c>
      <c r="AU165" s="247" t="s">
        <v>92</v>
      </c>
      <c r="AY165" s="120" t="s">
        <v>206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20" t="s">
        <v>18</v>
      </c>
      <c r="BK165" s="248">
        <f>ROUND(H165*I165,2)</f>
        <v>0</v>
      </c>
      <c r="BL165" s="120" t="s">
        <v>212</v>
      </c>
      <c r="BM165" s="247" t="s">
        <v>674</v>
      </c>
    </row>
    <row r="166" spans="2:51" s="249" customFormat="1" ht="22.5">
      <c r="B166" s="250"/>
      <c r="C166" s="254"/>
      <c r="D166" s="251" t="s">
        <v>214</v>
      </c>
      <c r="E166" s="252" t="s">
        <v>641</v>
      </c>
      <c r="F166" s="253" t="s">
        <v>675</v>
      </c>
      <c r="G166" s="254"/>
      <c r="H166" s="312"/>
      <c r="I166" s="255">
        <v>20</v>
      </c>
      <c r="J166" s="254"/>
      <c r="K166" s="254"/>
      <c r="L166" s="250"/>
      <c r="M166" s="293"/>
      <c r="N166" s="294"/>
      <c r="O166" s="294"/>
      <c r="P166" s="294"/>
      <c r="Q166" s="294"/>
      <c r="R166" s="294"/>
      <c r="S166" s="294"/>
      <c r="T166" s="295"/>
      <c r="AT166" s="260" t="s">
        <v>214</v>
      </c>
      <c r="AU166" s="260" t="s">
        <v>92</v>
      </c>
      <c r="AV166" s="249" t="s">
        <v>92</v>
      </c>
      <c r="AW166" s="249" t="s">
        <v>39</v>
      </c>
      <c r="AX166" s="249" t="s">
        <v>18</v>
      </c>
      <c r="AY166" s="260" t="s">
        <v>206</v>
      </c>
    </row>
    <row r="167" spans="1:65" s="136" customFormat="1" ht="21.75" customHeight="1">
      <c r="A167" s="131"/>
      <c r="B167" s="132"/>
      <c r="C167" s="236">
        <f>C165+1</f>
        <v>10</v>
      </c>
      <c r="D167" s="236" t="s">
        <v>208</v>
      </c>
      <c r="E167" s="237" t="s">
        <v>271</v>
      </c>
      <c r="F167" s="238" t="s">
        <v>272</v>
      </c>
      <c r="G167" s="239" t="s">
        <v>268</v>
      </c>
      <c r="H167" s="72"/>
      <c r="I167" s="241">
        <v>78.273</v>
      </c>
      <c r="J167" s="240">
        <f>ROUND($H167*I167,2)</f>
        <v>0</v>
      </c>
      <c r="K167" s="242"/>
      <c r="L167" s="132"/>
      <c r="M167" s="296" t="s">
        <v>1</v>
      </c>
      <c r="N167" s="297" t="s">
        <v>47</v>
      </c>
      <c r="O167" s="298">
        <v>0.72</v>
      </c>
      <c r="P167" s="298">
        <f>O167*I167</f>
        <v>56.356559999999995</v>
      </c>
      <c r="Q167" s="298">
        <v>0</v>
      </c>
      <c r="R167" s="298">
        <f>Q167*I167</f>
        <v>0</v>
      </c>
      <c r="S167" s="298">
        <v>0</v>
      </c>
      <c r="T167" s="299">
        <f>S167*I167</f>
        <v>0</v>
      </c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R167" s="247" t="s">
        <v>212</v>
      </c>
      <c r="AT167" s="247" t="s">
        <v>208</v>
      </c>
      <c r="AU167" s="247" t="s">
        <v>92</v>
      </c>
      <c r="AY167" s="120" t="s">
        <v>206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20" t="s">
        <v>18</v>
      </c>
      <c r="BK167" s="248">
        <f>ROUND(H167*I167,2)</f>
        <v>0</v>
      </c>
      <c r="BL167" s="120" t="s">
        <v>212</v>
      </c>
      <c r="BM167" s="247" t="s">
        <v>676</v>
      </c>
    </row>
    <row r="168" spans="2:51" s="249" customFormat="1" ht="33.75">
      <c r="B168" s="250"/>
      <c r="C168" s="254"/>
      <c r="D168" s="251" t="s">
        <v>214</v>
      </c>
      <c r="E168" s="252" t="s">
        <v>1</v>
      </c>
      <c r="F168" s="253" t="s">
        <v>677</v>
      </c>
      <c r="G168" s="254"/>
      <c r="H168" s="312"/>
      <c r="I168" s="255">
        <v>22.45</v>
      </c>
      <c r="J168" s="254"/>
      <c r="K168" s="254"/>
      <c r="L168" s="250"/>
      <c r="M168" s="293"/>
      <c r="N168" s="294"/>
      <c r="O168" s="294"/>
      <c r="P168" s="294"/>
      <c r="Q168" s="294"/>
      <c r="R168" s="294"/>
      <c r="S168" s="294"/>
      <c r="T168" s="295"/>
      <c r="AT168" s="260" t="s">
        <v>214</v>
      </c>
      <c r="AU168" s="260" t="s">
        <v>92</v>
      </c>
      <c r="AV168" s="249" t="s">
        <v>92</v>
      </c>
      <c r="AW168" s="249" t="s">
        <v>39</v>
      </c>
      <c r="AX168" s="249" t="s">
        <v>82</v>
      </c>
      <c r="AY168" s="260" t="s">
        <v>206</v>
      </c>
    </row>
    <row r="169" spans="2:51" s="249" customFormat="1" ht="12">
      <c r="B169" s="250"/>
      <c r="C169" s="254"/>
      <c r="D169" s="251" t="s">
        <v>214</v>
      </c>
      <c r="E169" s="252" t="s">
        <v>1</v>
      </c>
      <c r="F169" s="253" t="s">
        <v>678</v>
      </c>
      <c r="G169" s="254"/>
      <c r="H169" s="312"/>
      <c r="I169" s="255">
        <v>48.64</v>
      </c>
      <c r="J169" s="254"/>
      <c r="K169" s="254"/>
      <c r="L169" s="250"/>
      <c r="M169" s="293"/>
      <c r="N169" s="294"/>
      <c r="O169" s="294"/>
      <c r="P169" s="294"/>
      <c r="Q169" s="294"/>
      <c r="R169" s="294"/>
      <c r="S169" s="294"/>
      <c r="T169" s="295"/>
      <c r="AT169" s="260" t="s">
        <v>214</v>
      </c>
      <c r="AU169" s="260" t="s">
        <v>92</v>
      </c>
      <c r="AV169" s="249" t="s">
        <v>92</v>
      </c>
      <c r="AW169" s="249" t="s">
        <v>39</v>
      </c>
      <c r="AX169" s="249" t="s">
        <v>82</v>
      </c>
      <c r="AY169" s="260" t="s">
        <v>206</v>
      </c>
    </row>
    <row r="170" spans="2:51" s="249" customFormat="1" ht="12">
      <c r="B170" s="250"/>
      <c r="C170" s="254"/>
      <c r="D170" s="251" t="s">
        <v>214</v>
      </c>
      <c r="E170" s="252" t="s">
        <v>1</v>
      </c>
      <c r="F170" s="253" t="s">
        <v>679</v>
      </c>
      <c r="G170" s="254"/>
      <c r="H170" s="312"/>
      <c r="I170" s="255">
        <v>59.365</v>
      </c>
      <c r="J170" s="254"/>
      <c r="K170" s="254"/>
      <c r="L170" s="250"/>
      <c r="M170" s="293"/>
      <c r="N170" s="294"/>
      <c r="O170" s="294"/>
      <c r="P170" s="294"/>
      <c r="Q170" s="294"/>
      <c r="R170" s="294"/>
      <c r="S170" s="294"/>
      <c r="T170" s="295"/>
      <c r="AT170" s="260" t="s">
        <v>214</v>
      </c>
      <c r="AU170" s="260" t="s">
        <v>92</v>
      </c>
      <c r="AV170" s="249" t="s">
        <v>92</v>
      </c>
      <c r="AW170" s="249" t="s">
        <v>39</v>
      </c>
      <c r="AX170" s="249" t="s">
        <v>82</v>
      </c>
      <c r="AY170" s="260" t="s">
        <v>206</v>
      </c>
    </row>
    <row r="171" spans="2:51" s="261" customFormat="1" ht="12">
      <c r="B171" s="262"/>
      <c r="C171" s="265"/>
      <c r="D171" s="251" t="s">
        <v>214</v>
      </c>
      <c r="E171" s="263" t="s">
        <v>150</v>
      </c>
      <c r="F171" s="264" t="s">
        <v>218</v>
      </c>
      <c r="G171" s="265"/>
      <c r="H171" s="313"/>
      <c r="I171" s="266">
        <v>130.455</v>
      </c>
      <c r="J171" s="265"/>
      <c r="K171" s="265"/>
      <c r="L171" s="262"/>
      <c r="M171" s="334"/>
      <c r="N171" s="335"/>
      <c r="O171" s="335"/>
      <c r="P171" s="335"/>
      <c r="Q171" s="335"/>
      <c r="R171" s="335"/>
      <c r="S171" s="335"/>
      <c r="T171" s="336"/>
      <c r="AT171" s="271" t="s">
        <v>214</v>
      </c>
      <c r="AU171" s="271" t="s">
        <v>92</v>
      </c>
      <c r="AV171" s="261" t="s">
        <v>219</v>
      </c>
      <c r="AW171" s="261" t="s">
        <v>39</v>
      </c>
      <c r="AX171" s="261" t="s">
        <v>82</v>
      </c>
      <c r="AY171" s="271" t="s">
        <v>206</v>
      </c>
    </row>
    <row r="172" spans="2:51" s="249" customFormat="1" ht="12">
      <c r="B172" s="250"/>
      <c r="C172" s="254"/>
      <c r="D172" s="251" t="s">
        <v>214</v>
      </c>
      <c r="E172" s="252" t="s">
        <v>149</v>
      </c>
      <c r="F172" s="253" t="s">
        <v>278</v>
      </c>
      <c r="G172" s="254"/>
      <c r="H172" s="312"/>
      <c r="I172" s="255">
        <v>0</v>
      </c>
      <c r="J172" s="254"/>
      <c r="K172" s="254"/>
      <c r="L172" s="250"/>
      <c r="M172" s="293"/>
      <c r="N172" s="294"/>
      <c r="O172" s="294"/>
      <c r="P172" s="294"/>
      <c r="Q172" s="294"/>
      <c r="R172" s="294"/>
      <c r="S172" s="294"/>
      <c r="T172" s="295"/>
      <c r="AT172" s="260" t="s">
        <v>214</v>
      </c>
      <c r="AU172" s="260" t="s">
        <v>92</v>
      </c>
      <c r="AV172" s="249" t="s">
        <v>92</v>
      </c>
      <c r="AW172" s="249" t="s">
        <v>39</v>
      </c>
      <c r="AX172" s="249" t="s">
        <v>82</v>
      </c>
      <c r="AY172" s="260" t="s">
        <v>206</v>
      </c>
    </row>
    <row r="173" spans="2:51" s="249" customFormat="1" ht="12">
      <c r="B173" s="250"/>
      <c r="C173" s="254"/>
      <c r="D173" s="251" t="s">
        <v>214</v>
      </c>
      <c r="E173" s="252" t="s">
        <v>147</v>
      </c>
      <c r="F173" s="253" t="s">
        <v>279</v>
      </c>
      <c r="G173" s="254"/>
      <c r="H173" s="312"/>
      <c r="I173" s="255">
        <v>130.455</v>
      </c>
      <c r="J173" s="254"/>
      <c r="K173" s="254"/>
      <c r="L173" s="250"/>
      <c r="M173" s="293"/>
      <c r="N173" s="294"/>
      <c r="O173" s="294"/>
      <c r="P173" s="294"/>
      <c r="Q173" s="294"/>
      <c r="R173" s="294"/>
      <c r="S173" s="294"/>
      <c r="T173" s="295"/>
      <c r="AT173" s="260" t="s">
        <v>214</v>
      </c>
      <c r="AU173" s="260" t="s">
        <v>92</v>
      </c>
      <c r="AV173" s="249" t="s">
        <v>92</v>
      </c>
      <c r="AW173" s="249" t="s">
        <v>39</v>
      </c>
      <c r="AX173" s="249" t="s">
        <v>82</v>
      </c>
      <c r="AY173" s="260" t="s">
        <v>206</v>
      </c>
    </row>
    <row r="174" spans="2:51" s="249" customFormat="1" ht="12">
      <c r="B174" s="250"/>
      <c r="C174" s="254"/>
      <c r="D174" s="251" t="s">
        <v>214</v>
      </c>
      <c r="E174" s="252" t="s">
        <v>151</v>
      </c>
      <c r="F174" s="253" t="s">
        <v>280</v>
      </c>
      <c r="G174" s="254"/>
      <c r="H174" s="312"/>
      <c r="I174" s="255">
        <v>78.273</v>
      </c>
      <c r="J174" s="254"/>
      <c r="K174" s="254"/>
      <c r="L174" s="250"/>
      <c r="M174" s="293"/>
      <c r="N174" s="294"/>
      <c r="O174" s="294"/>
      <c r="P174" s="294"/>
      <c r="Q174" s="294"/>
      <c r="R174" s="294"/>
      <c r="S174" s="294"/>
      <c r="T174" s="295"/>
      <c r="AT174" s="260" t="s">
        <v>214</v>
      </c>
      <c r="AU174" s="260" t="s">
        <v>92</v>
      </c>
      <c r="AV174" s="249" t="s">
        <v>92</v>
      </c>
      <c r="AW174" s="249" t="s">
        <v>39</v>
      </c>
      <c r="AX174" s="249" t="s">
        <v>18</v>
      </c>
      <c r="AY174" s="260" t="s">
        <v>206</v>
      </c>
    </row>
    <row r="175" spans="1:65" s="136" customFormat="1" ht="21.75" customHeight="1">
      <c r="A175" s="131"/>
      <c r="B175" s="132"/>
      <c r="C175" s="236">
        <f>C167+1</f>
        <v>11</v>
      </c>
      <c r="D175" s="236" t="s">
        <v>208</v>
      </c>
      <c r="E175" s="237" t="s">
        <v>281</v>
      </c>
      <c r="F175" s="238" t="s">
        <v>282</v>
      </c>
      <c r="G175" s="239" t="s">
        <v>268</v>
      </c>
      <c r="H175" s="72"/>
      <c r="I175" s="241">
        <v>52.182</v>
      </c>
      <c r="J175" s="240">
        <f>ROUND($H175*I175,2)</f>
        <v>0</v>
      </c>
      <c r="K175" s="242"/>
      <c r="L175" s="132"/>
      <c r="M175" s="296" t="s">
        <v>1</v>
      </c>
      <c r="N175" s="297" t="s">
        <v>47</v>
      </c>
      <c r="O175" s="298">
        <v>0.974</v>
      </c>
      <c r="P175" s="298">
        <f>O175*I175</f>
        <v>50.825268</v>
      </c>
      <c r="Q175" s="298">
        <v>0</v>
      </c>
      <c r="R175" s="298">
        <f>Q175*I175</f>
        <v>0</v>
      </c>
      <c r="S175" s="298">
        <v>0</v>
      </c>
      <c r="T175" s="299">
        <f>S175*I175</f>
        <v>0</v>
      </c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R175" s="247" t="s">
        <v>212</v>
      </c>
      <c r="AT175" s="247" t="s">
        <v>208</v>
      </c>
      <c r="AU175" s="247" t="s">
        <v>92</v>
      </c>
      <c r="AY175" s="120" t="s">
        <v>206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20" t="s">
        <v>18</v>
      </c>
      <c r="BK175" s="248">
        <f>ROUND(H175*I175,2)</f>
        <v>0</v>
      </c>
      <c r="BL175" s="120" t="s">
        <v>212</v>
      </c>
      <c r="BM175" s="247" t="s">
        <v>680</v>
      </c>
    </row>
    <row r="176" spans="2:51" s="249" customFormat="1" ht="12">
      <c r="B176" s="250"/>
      <c r="C176" s="254"/>
      <c r="D176" s="251" t="s">
        <v>214</v>
      </c>
      <c r="E176" s="252" t="s">
        <v>153</v>
      </c>
      <c r="F176" s="253" t="s">
        <v>284</v>
      </c>
      <c r="G176" s="254"/>
      <c r="H176" s="312"/>
      <c r="I176" s="255">
        <v>52.182</v>
      </c>
      <c r="J176" s="254"/>
      <c r="K176" s="254"/>
      <c r="L176" s="250"/>
      <c r="M176" s="293"/>
      <c r="N176" s="294"/>
      <c r="O176" s="294"/>
      <c r="P176" s="294"/>
      <c r="Q176" s="294"/>
      <c r="R176" s="294"/>
      <c r="S176" s="294"/>
      <c r="T176" s="295"/>
      <c r="AT176" s="260" t="s">
        <v>214</v>
      </c>
      <c r="AU176" s="260" t="s">
        <v>92</v>
      </c>
      <c r="AV176" s="249" t="s">
        <v>92</v>
      </c>
      <c r="AW176" s="249" t="s">
        <v>39</v>
      </c>
      <c r="AX176" s="249" t="s">
        <v>18</v>
      </c>
      <c r="AY176" s="260" t="s">
        <v>206</v>
      </c>
    </row>
    <row r="177" spans="1:65" s="136" customFormat="1" ht="21.75" customHeight="1">
      <c r="A177" s="131"/>
      <c r="B177" s="132"/>
      <c r="C177" s="236">
        <f>C175+1</f>
        <v>12</v>
      </c>
      <c r="D177" s="236" t="s">
        <v>208</v>
      </c>
      <c r="E177" s="237" t="s">
        <v>285</v>
      </c>
      <c r="F177" s="238" t="s">
        <v>286</v>
      </c>
      <c r="G177" s="239" t="s">
        <v>268</v>
      </c>
      <c r="H177" s="72"/>
      <c r="I177" s="241">
        <v>85.868</v>
      </c>
      <c r="J177" s="240">
        <f>ROUND($H177*I177,2)</f>
        <v>0</v>
      </c>
      <c r="K177" s="242"/>
      <c r="L177" s="132"/>
      <c r="M177" s="296" t="s">
        <v>1</v>
      </c>
      <c r="N177" s="297" t="s">
        <v>47</v>
      </c>
      <c r="O177" s="298">
        <v>1.763</v>
      </c>
      <c r="P177" s="298">
        <f>O177*I177</f>
        <v>151.38528399999998</v>
      </c>
      <c r="Q177" s="298">
        <v>0</v>
      </c>
      <c r="R177" s="298">
        <f>Q177*I177</f>
        <v>0</v>
      </c>
      <c r="S177" s="298">
        <v>0</v>
      </c>
      <c r="T177" s="299">
        <f>S177*I177</f>
        <v>0</v>
      </c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R177" s="247" t="s">
        <v>212</v>
      </c>
      <c r="AT177" s="247" t="s">
        <v>208</v>
      </c>
      <c r="AU177" s="247" t="s">
        <v>92</v>
      </c>
      <c r="AY177" s="120" t="s">
        <v>206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20" t="s">
        <v>18</v>
      </c>
      <c r="BK177" s="248">
        <f>ROUND(H177*I177,2)</f>
        <v>0</v>
      </c>
      <c r="BL177" s="120" t="s">
        <v>212</v>
      </c>
      <c r="BM177" s="247" t="s">
        <v>681</v>
      </c>
    </row>
    <row r="178" spans="2:51" s="249" customFormat="1" ht="22.5">
      <c r="B178" s="250"/>
      <c r="C178" s="254"/>
      <c r="D178" s="251" t="s">
        <v>214</v>
      </c>
      <c r="E178" s="252" t="s">
        <v>1</v>
      </c>
      <c r="F178" s="253" t="s">
        <v>288</v>
      </c>
      <c r="G178" s="254"/>
      <c r="H178" s="312"/>
      <c r="I178" s="255">
        <v>39.12</v>
      </c>
      <c r="J178" s="254"/>
      <c r="K178" s="254"/>
      <c r="L178" s="250"/>
      <c r="M178" s="293"/>
      <c r="N178" s="294"/>
      <c r="O178" s="294"/>
      <c r="P178" s="294"/>
      <c r="Q178" s="294"/>
      <c r="R178" s="294"/>
      <c r="S178" s="294"/>
      <c r="T178" s="295"/>
      <c r="AT178" s="260" t="s">
        <v>214</v>
      </c>
      <c r="AU178" s="260" t="s">
        <v>92</v>
      </c>
      <c r="AV178" s="249" t="s">
        <v>92</v>
      </c>
      <c r="AW178" s="249" t="s">
        <v>39</v>
      </c>
      <c r="AX178" s="249" t="s">
        <v>82</v>
      </c>
      <c r="AY178" s="260" t="s">
        <v>206</v>
      </c>
    </row>
    <row r="179" spans="2:51" s="249" customFormat="1" ht="12">
      <c r="B179" s="250"/>
      <c r="C179" s="254"/>
      <c r="D179" s="251" t="s">
        <v>214</v>
      </c>
      <c r="E179" s="252" t="s">
        <v>1</v>
      </c>
      <c r="F179" s="253" t="s">
        <v>290</v>
      </c>
      <c r="G179" s="254"/>
      <c r="H179" s="312"/>
      <c r="I179" s="255">
        <v>46.748</v>
      </c>
      <c r="J179" s="254"/>
      <c r="K179" s="254"/>
      <c r="L179" s="250"/>
      <c r="M179" s="293"/>
      <c r="N179" s="294"/>
      <c r="O179" s="294"/>
      <c r="P179" s="294"/>
      <c r="Q179" s="294"/>
      <c r="R179" s="294"/>
      <c r="S179" s="294"/>
      <c r="T179" s="295"/>
      <c r="AT179" s="260" t="s">
        <v>214</v>
      </c>
      <c r="AU179" s="260" t="s">
        <v>92</v>
      </c>
      <c r="AV179" s="249" t="s">
        <v>92</v>
      </c>
      <c r="AW179" s="249" t="s">
        <v>39</v>
      </c>
      <c r="AX179" s="249" t="s">
        <v>82</v>
      </c>
      <c r="AY179" s="260" t="s">
        <v>206</v>
      </c>
    </row>
    <row r="180" spans="2:51" s="272" customFormat="1" ht="12">
      <c r="B180" s="273"/>
      <c r="C180" s="276"/>
      <c r="D180" s="251" t="s">
        <v>214</v>
      </c>
      <c r="E180" s="274" t="s">
        <v>1</v>
      </c>
      <c r="F180" s="275" t="s">
        <v>291</v>
      </c>
      <c r="G180" s="276"/>
      <c r="H180" s="314"/>
      <c r="I180" s="277">
        <v>85.868</v>
      </c>
      <c r="J180" s="276"/>
      <c r="K180" s="276"/>
      <c r="L180" s="273"/>
      <c r="M180" s="337"/>
      <c r="N180" s="338"/>
      <c r="O180" s="338"/>
      <c r="P180" s="338"/>
      <c r="Q180" s="338"/>
      <c r="R180" s="338"/>
      <c r="S180" s="338"/>
      <c r="T180" s="339"/>
      <c r="AT180" s="282" t="s">
        <v>214</v>
      </c>
      <c r="AU180" s="282" t="s">
        <v>92</v>
      </c>
      <c r="AV180" s="272" t="s">
        <v>212</v>
      </c>
      <c r="AW180" s="272" t="s">
        <v>39</v>
      </c>
      <c r="AX180" s="272" t="s">
        <v>18</v>
      </c>
      <c r="AY180" s="282" t="s">
        <v>206</v>
      </c>
    </row>
    <row r="181" spans="1:65" s="136" customFormat="1" ht="16.5" customHeight="1">
      <c r="A181" s="131"/>
      <c r="B181" s="132"/>
      <c r="C181" s="236">
        <f>C177+1</f>
        <v>13</v>
      </c>
      <c r="D181" s="236" t="s">
        <v>208</v>
      </c>
      <c r="E181" s="237" t="s">
        <v>292</v>
      </c>
      <c r="F181" s="238" t="s">
        <v>293</v>
      </c>
      <c r="G181" s="239" t="s">
        <v>211</v>
      </c>
      <c r="H181" s="72"/>
      <c r="I181" s="241">
        <f>I186</f>
        <v>110.20800000000001</v>
      </c>
      <c r="J181" s="240">
        <f>ROUND($H181*I181,2)</f>
        <v>0</v>
      </c>
      <c r="K181" s="242"/>
      <c r="L181" s="132"/>
      <c r="M181" s="296" t="s">
        <v>1</v>
      </c>
      <c r="N181" s="297" t="s">
        <v>47</v>
      </c>
      <c r="O181" s="298">
        <v>0.236</v>
      </c>
      <c r="P181" s="298">
        <f>O181*I181</f>
        <v>26.009088000000002</v>
      </c>
      <c r="Q181" s="298">
        <v>0.00084</v>
      </c>
      <c r="R181" s="298">
        <f>Q181*I181</f>
        <v>0.09257472000000001</v>
      </c>
      <c r="S181" s="298">
        <v>0</v>
      </c>
      <c r="T181" s="299">
        <f>S181*I181</f>
        <v>0</v>
      </c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R181" s="247" t="s">
        <v>212</v>
      </c>
      <c r="AT181" s="247" t="s">
        <v>208</v>
      </c>
      <c r="AU181" s="247" t="s">
        <v>92</v>
      </c>
      <c r="AY181" s="120" t="s">
        <v>206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20" t="s">
        <v>18</v>
      </c>
      <c r="BK181" s="248">
        <f>ROUND(H181*I181,2)</f>
        <v>0</v>
      </c>
      <c r="BL181" s="120" t="s">
        <v>212</v>
      </c>
      <c r="BM181" s="247" t="s">
        <v>682</v>
      </c>
    </row>
    <row r="182" spans="2:51" s="249" customFormat="1" ht="12">
      <c r="B182" s="250"/>
      <c r="C182" s="254"/>
      <c r="D182" s="251" t="s">
        <v>214</v>
      </c>
      <c r="E182" s="252" t="s">
        <v>1</v>
      </c>
      <c r="F182" s="253" t="s">
        <v>683</v>
      </c>
      <c r="G182" s="254"/>
      <c r="H182" s="312"/>
      <c r="I182" s="255">
        <v>59.368</v>
      </c>
      <c r="J182" s="254"/>
      <c r="K182" s="254"/>
      <c r="L182" s="250"/>
      <c r="M182" s="293"/>
      <c r="N182" s="294"/>
      <c r="O182" s="294"/>
      <c r="P182" s="294"/>
      <c r="Q182" s="294"/>
      <c r="R182" s="294"/>
      <c r="S182" s="294"/>
      <c r="T182" s="295"/>
      <c r="AT182" s="260" t="s">
        <v>214</v>
      </c>
      <c r="AU182" s="260" t="s">
        <v>92</v>
      </c>
      <c r="AV182" s="249" t="s">
        <v>92</v>
      </c>
      <c r="AW182" s="249" t="s">
        <v>39</v>
      </c>
      <c r="AX182" s="249" t="s">
        <v>82</v>
      </c>
      <c r="AY182" s="260" t="s">
        <v>206</v>
      </c>
    </row>
    <row r="183" spans="2:51" s="249" customFormat="1" ht="12">
      <c r="B183" s="250"/>
      <c r="C183" s="254"/>
      <c r="D183" s="251" t="s">
        <v>214</v>
      </c>
      <c r="E183" s="252" t="s">
        <v>1</v>
      </c>
      <c r="F183" s="253" t="s">
        <v>684</v>
      </c>
      <c r="G183" s="254"/>
      <c r="H183" s="312"/>
      <c r="I183" s="255">
        <v>11.64</v>
      </c>
      <c r="J183" s="254"/>
      <c r="K183" s="254"/>
      <c r="L183" s="250"/>
      <c r="M183" s="293"/>
      <c r="N183" s="294"/>
      <c r="O183" s="294"/>
      <c r="P183" s="294"/>
      <c r="Q183" s="294"/>
      <c r="R183" s="294"/>
      <c r="S183" s="294"/>
      <c r="T183" s="295"/>
      <c r="AT183" s="260" t="s">
        <v>214</v>
      </c>
      <c r="AU183" s="260" t="s">
        <v>92</v>
      </c>
      <c r="AV183" s="249" t="s">
        <v>92</v>
      </c>
      <c r="AW183" s="249" t="s">
        <v>39</v>
      </c>
      <c r="AX183" s="249" t="s">
        <v>82</v>
      </c>
      <c r="AY183" s="260" t="s">
        <v>206</v>
      </c>
    </row>
    <row r="184" spans="2:51" s="249" customFormat="1" ht="12">
      <c r="B184" s="250"/>
      <c r="C184" s="254"/>
      <c r="D184" s="251"/>
      <c r="E184" s="252"/>
      <c r="F184" s="253" t="s">
        <v>895</v>
      </c>
      <c r="G184" s="254"/>
      <c r="H184" s="312"/>
      <c r="I184" s="255">
        <f>2.8*4*2.5</f>
        <v>28</v>
      </c>
      <c r="J184" s="254"/>
      <c r="K184" s="254"/>
      <c r="L184" s="250"/>
      <c r="M184" s="293"/>
      <c r="N184" s="294"/>
      <c r="O184" s="294"/>
      <c r="P184" s="294"/>
      <c r="Q184" s="294"/>
      <c r="R184" s="294"/>
      <c r="S184" s="294"/>
      <c r="T184" s="295"/>
      <c r="AT184" s="260"/>
      <c r="AU184" s="260"/>
      <c r="AY184" s="260"/>
    </row>
    <row r="185" spans="2:51" s="249" customFormat="1" ht="12">
      <c r="B185" s="250"/>
      <c r="C185" s="254"/>
      <c r="D185" s="251"/>
      <c r="E185" s="252"/>
      <c r="F185" s="253" t="s">
        <v>896</v>
      </c>
      <c r="G185" s="254"/>
      <c r="H185" s="312"/>
      <c r="I185" s="255">
        <f>2.8*4*1</f>
        <v>11.2</v>
      </c>
      <c r="J185" s="254"/>
      <c r="K185" s="254"/>
      <c r="L185" s="250"/>
      <c r="M185" s="293"/>
      <c r="N185" s="294"/>
      <c r="O185" s="294"/>
      <c r="P185" s="294"/>
      <c r="Q185" s="294"/>
      <c r="R185" s="294"/>
      <c r="S185" s="294"/>
      <c r="T185" s="295"/>
      <c r="AT185" s="260"/>
      <c r="AU185" s="260"/>
      <c r="AY185" s="260"/>
    </row>
    <row r="186" spans="2:51" s="261" customFormat="1" ht="12">
      <c r="B186" s="262"/>
      <c r="C186" s="265"/>
      <c r="D186" s="251" t="s">
        <v>214</v>
      </c>
      <c r="E186" s="263" t="s">
        <v>135</v>
      </c>
      <c r="F186" s="264" t="s">
        <v>218</v>
      </c>
      <c r="G186" s="265"/>
      <c r="H186" s="313"/>
      <c r="I186" s="266">
        <f>SUM(I182:I185)</f>
        <v>110.20800000000001</v>
      </c>
      <c r="J186" s="265"/>
      <c r="K186" s="265"/>
      <c r="L186" s="262"/>
      <c r="M186" s="334"/>
      <c r="N186" s="335"/>
      <c r="O186" s="335"/>
      <c r="P186" s="335"/>
      <c r="Q186" s="335"/>
      <c r="R186" s="335"/>
      <c r="S186" s="335"/>
      <c r="T186" s="336"/>
      <c r="AT186" s="271" t="s">
        <v>214</v>
      </c>
      <c r="AU186" s="271" t="s">
        <v>92</v>
      </c>
      <c r="AV186" s="261" t="s">
        <v>219</v>
      </c>
      <c r="AW186" s="261" t="s">
        <v>39</v>
      </c>
      <c r="AX186" s="261" t="s">
        <v>82</v>
      </c>
      <c r="AY186" s="271" t="s">
        <v>206</v>
      </c>
    </row>
    <row r="187" spans="1:65" s="136" customFormat="1" ht="21.75" customHeight="1">
      <c r="A187" s="131"/>
      <c r="B187" s="132"/>
      <c r="C187" s="236">
        <f>C181+1</f>
        <v>14</v>
      </c>
      <c r="D187" s="236" t="s">
        <v>208</v>
      </c>
      <c r="E187" s="237" t="s">
        <v>296</v>
      </c>
      <c r="F187" s="238" t="s">
        <v>297</v>
      </c>
      <c r="G187" s="239" t="s">
        <v>211</v>
      </c>
      <c r="H187" s="72"/>
      <c r="I187" s="241">
        <f>I188</f>
        <v>110.20800000000001</v>
      </c>
      <c r="J187" s="240">
        <f>ROUND($H187*I187,2)</f>
        <v>0</v>
      </c>
      <c r="K187" s="242"/>
      <c r="L187" s="132"/>
      <c r="M187" s="296" t="s">
        <v>1</v>
      </c>
      <c r="N187" s="297" t="s">
        <v>47</v>
      </c>
      <c r="O187" s="298">
        <v>0.216</v>
      </c>
      <c r="P187" s="298">
        <f>O187*I187</f>
        <v>23.804928000000004</v>
      </c>
      <c r="Q187" s="298">
        <v>0</v>
      </c>
      <c r="R187" s="298">
        <f>Q187*I187</f>
        <v>0</v>
      </c>
      <c r="S187" s="298">
        <v>0</v>
      </c>
      <c r="T187" s="299">
        <f>S187*I187</f>
        <v>0</v>
      </c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R187" s="247" t="s">
        <v>212</v>
      </c>
      <c r="AT187" s="247" t="s">
        <v>208</v>
      </c>
      <c r="AU187" s="247" t="s">
        <v>92</v>
      </c>
      <c r="AY187" s="120" t="s">
        <v>206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20" t="s">
        <v>18</v>
      </c>
      <c r="BK187" s="248">
        <f>ROUND(H187*I187,2)</f>
        <v>0</v>
      </c>
      <c r="BL187" s="120" t="s">
        <v>212</v>
      </c>
      <c r="BM187" s="247" t="s">
        <v>685</v>
      </c>
    </row>
    <row r="188" spans="2:51" s="249" customFormat="1" ht="12">
      <c r="B188" s="250"/>
      <c r="C188" s="254"/>
      <c r="D188" s="251" t="s">
        <v>214</v>
      </c>
      <c r="E188" s="252" t="s">
        <v>1</v>
      </c>
      <c r="F188" s="253" t="s">
        <v>137</v>
      </c>
      <c r="G188" s="254"/>
      <c r="H188" s="312"/>
      <c r="I188" s="255">
        <f>I186</f>
        <v>110.20800000000001</v>
      </c>
      <c r="J188" s="254"/>
      <c r="K188" s="254"/>
      <c r="L188" s="250"/>
      <c r="M188" s="293"/>
      <c r="N188" s="294"/>
      <c r="O188" s="294"/>
      <c r="P188" s="294"/>
      <c r="Q188" s="294"/>
      <c r="R188" s="294"/>
      <c r="S188" s="294"/>
      <c r="T188" s="295"/>
      <c r="AT188" s="260" t="s">
        <v>214</v>
      </c>
      <c r="AU188" s="260" t="s">
        <v>92</v>
      </c>
      <c r="AV188" s="249" t="s">
        <v>92</v>
      </c>
      <c r="AW188" s="249" t="s">
        <v>39</v>
      </c>
      <c r="AX188" s="249" t="s">
        <v>18</v>
      </c>
      <c r="AY188" s="260" t="s">
        <v>206</v>
      </c>
    </row>
    <row r="189" spans="1:65" s="136" customFormat="1" ht="33" customHeight="1">
      <c r="A189" s="131"/>
      <c r="B189" s="132"/>
      <c r="C189" s="236">
        <f>C187+1</f>
        <v>15</v>
      </c>
      <c r="D189" s="236" t="s">
        <v>208</v>
      </c>
      <c r="E189" s="237" t="s">
        <v>300</v>
      </c>
      <c r="F189" s="238" t="s">
        <v>301</v>
      </c>
      <c r="G189" s="239" t="s">
        <v>268</v>
      </c>
      <c r="H189" s="72"/>
      <c r="I189" s="241">
        <v>40</v>
      </c>
      <c r="J189" s="240">
        <f>ROUND($H189*I189,2)</f>
        <v>0</v>
      </c>
      <c r="K189" s="242"/>
      <c r="L189" s="132"/>
      <c r="M189" s="296" t="s">
        <v>1</v>
      </c>
      <c r="N189" s="297" t="s">
        <v>47</v>
      </c>
      <c r="O189" s="298">
        <v>0.291</v>
      </c>
      <c r="P189" s="298">
        <f>O189*I189</f>
        <v>11.639999999999999</v>
      </c>
      <c r="Q189" s="298">
        <v>0</v>
      </c>
      <c r="R189" s="298">
        <f>Q189*I189</f>
        <v>0</v>
      </c>
      <c r="S189" s="298">
        <v>0</v>
      </c>
      <c r="T189" s="299">
        <f>S189*I189</f>
        <v>0</v>
      </c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R189" s="247" t="s">
        <v>212</v>
      </c>
      <c r="AT189" s="247" t="s">
        <v>208</v>
      </c>
      <c r="AU189" s="247" t="s">
        <v>92</v>
      </c>
      <c r="AY189" s="120" t="s">
        <v>206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20" t="s">
        <v>18</v>
      </c>
      <c r="BK189" s="248">
        <f>ROUND(H189*I189,2)</f>
        <v>0</v>
      </c>
      <c r="BL189" s="120" t="s">
        <v>212</v>
      </c>
      <c r="BM189" s="247" t="s">
        <v>686</v>
      </c>
    </row>
    <row r="190" spans="2:51" s="249" customFormat="1" ht="12">
      <c r="B190" s="250"/>
      <c r="C190" s="254"/>
      <c r="D190" s="251" t="s">
        <v>214</v>
      </c>
      <c r="E190" s="252" t="s">
        <v>1</v>
      </c>
      <c r="F190" s="253" t="s">
        <v>897</v>
      </c>
      <c r="G190" s="254"/>
      <c r="H190" s="312"/>
      <c r="I190" s="255">
        <v>40</v>
      </c>
      <c r="J190" s="254"/>
      <c r="K190" s="254"/>
      <c r="L190" s="250"/>
      <c r="M190" s="293"/>
      <c r="N190" s="294"/>
      <c r="O190" s="294"/>
      <c r="P190" s="294"/>
      <c r="Q190" s="294"/>
      <c r="R190" s="294"/>
      <c r="S190" s="294"/>
      <c r="T190" s="295"/>
      <c r="AT190" s="260" t="s">
        <v>214</v>
      </c>
      <c r="AU190" s="260" t="s">
        <v>92</v>
      </c>
      <c r="AV190" s="249" t="s">
        <v>92</v>
      </c>
      <c r="AW190" s="249" t="s">
        <v>39</v>
      </c>
      <c r="AX190" s="249" t="s">
        <v>18</v>
      </c>
      <c r="AY190" s="260" t="s">
        <v>206</v>
      </c>
    </row>
    <row r="191" spans="1:65" s="136" customFormat="1" ht="21.75" customHeight="1">
      <c r="A191" s="131"/>
      <c r="B191" s="132"/>
      <c r="C191" s="236">
        <f>C189+1</f>
        <v>16</v>
      </c>
      <c r="D191" s="236" t="s">
        <v>208</v>
      </c>
      <c r="E191" s="237" t="s">
        <v>303</v>
      </c>
      <c r="F191" s="238" t="s">
        <v>687</v>
      </c>
      <c r="G191" s="239" t="s">
        <v>268</v>
      </c>
      <c r="H191" s="72"/>
      <c r="I191" s="241">
        <v>130.455</v>
      </c>
      <c r="J191" s="240">
        <f>ROUND($H191*I191,2)</f>
        <v>0</v>
      </c>
      <c r="K191" s="242"/>
      <c r="L191" s="132"/>
      <c r="M191" s="296" t="s">
        <v>1</v>
      </c>
      <c r="N191" s="297" t="s">
        <v>47</v>
      </c>
      <c r="O191" s="298">
        <v>0.087</v>
      </c>
      <c r="P191" s="298">
        <f>O191*I191</f>
        <v>11.349585000000001</v>
      </c>
      <c r="Q191" s="298">
        <v>0</v>
      </c>
      <c r="R191" s="298">
        <f>Q191*I191</f>
        <v>0</v>
      </c>
      <c r="S191" s="298">
        <v>0</v>
      </c>
      <c r="T191" s="299">
        <f>S191*I191</f>
        <v>0</v>
      </c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R191" s="247" t="s">
        <v>212</v>
      </c>
      <c r="AT191" s="247" t="s">
        <v>208</v>
      </c>
      <c r="AU191" s="247" t="s">
        <v>92</v>
      </c>
      <c r="AY191" s="120" t="s">
        <v>206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20" t="s">
        <v>18</v>
      </c>
      <c r="BK191" s="248">
        <f>ROUND(H191*I191,2)</f>
        <v>0</v>
      </c>
      <c r="BL191" s="120" t="s">
        <v>212</v>
      </c>
      <c r="BM191" s="247" t="s">
        <v>688</v>
      </c>
    </row>
    <row r="192" spans="2:51" s="249" customFormat="1" ht="22.5">
      <c r="B192" s="250"/>
      <c r="C192" s="254"/>
      <c r="D192" s="251" t="s">
        <v>214</v>
      </c>
      <c r="E192" s="252" t="s">
        <v>156</v>
      </c>
      <c r="F192" s="253" t="s">
        <v>689</v>
      </c>
      <c r="G192" s="254"/>
      <c r="H192" s="312"/>
      <c r="I192" s="255">
        <v>28.497</v>
      </c>
      <c r="J192" s="254"/>
      <c r="K192" s="254"/>
      <c r="L192" s="250"/>
      <c r="M192" s="293"/>
      <c r="N192" s="294"/>
      <c r="O192" s="294"/>
      <c r="P192" s="294"/>
      <c r="Q192" s="294"/>
      <c r="R192" s="294"/>
      <c r="S192" s="294"/>
      <c r="T192" s="295"/>
      <c r="AT192" s="260" t="s">
        <v>214</v>
      </c>
      <c r="AU192" s="260" t="s">
        <v>92</v>
      </c>
      <c r="AV192" s="249" t="s">
        <v>92</v>
      </c>
      <c r="AW192" s="249" t="s">
        <v>39</v>
      </c>
      <c r="AX192" s="249" t="s">
        <v>82</v>
      </c>
      <c r="AY192" s="260" t="s">
        <v>206</v>
      </c>
    </row>
    <row r="193" spans="2:51" s="249" customFormat="1" ht="12">
      <c r="B193" s="250"/>
      <c r="C193" s="254"/>
      <c r="D193" s="251" t="s">
        <v>214</v>
      </c>
      <c r="E193" s="252" t="s">
        <v>155</v>
      </c>
      <c r="F193" s="253" t="s">
        <v>307</v>
      </c>
      <c r="G193" s="254"/>
      <c r="H193" s="312"/>
      <c r="I193" s="255">
        <v>0</v>
      </c>
      <c r="J193" s="254"/>
      <c r="K193" s="254"/>
      <c r="L193" s="250"/>
      <c r="M193" s="293"/>
      <c r="N193" s="294"/>
      <c r="O193" s="294"/>
      <c r="P193" s="294"/>
      <c r="Q193" s="294"/>
      <c r="R193" s="294"/>
      <c r="S193" s="294"/>
      <c r="T193" s="295"/>
      <c r="AT193" s="260" t="s">
        <v>214</v>
      </c>
      <c r="AU193" s="260" t="s">
        <v>92</v>
      </c>
      <c r="AV193" s="249" t="s">
        <v>92</v>
      </c>
      <c r="AW193" s="249" t="s">
        <v>39</v>
      </c>
      <c r="AX193" s="249" t="s">
        <v>82</v>
      </c>
      <c r="AY193" s="260" t="s">
        <v>206</v>
      </c>
    </row>
    <row r="194" spans="2:51" s="249" customFormat="1" ht="12">
      <c r="B194" s="250"/>
      <c r="C194" s="254"/>
      <c r="D194" s="251" t="s">
        <v>214</v>
      </c>
      <c r="E194" s="252" t="s">
        <v>690</v>
      </c>
      <c r="F194" s="253" t="s">
        <v>691</v>
      </c>
      <c r="G194" s="254"/>
      <c r="H194" s="312"/>
      <c r="I194" s="255">
        <v>130.455</v>
      </c>
      <c r="J194" s="254"/>
      <c r="K194" s="254"/>
      <c r="L194" s="250"/>
      <c r="M194" s="293"/>
      <c r="N194" s="294"/>
      <c r="O194" s="294"/>
      <c r="P194" s="294"/>
      <c r="Q194" s="294"/>
      <c r="R194" s="294"/>
      <c r="S194" s="294"/>
      <c r="T194" s="295"/>
      <c r="AT194" s="260" t="s">
        <v>214</v>
      </c>
      <c r="AU194" s="260" t="s">
        <v>92</v>
      </c>
      <c r="AV194" s="249" t="s">
        <v>92</v>
      </c>
      <c r="AW194" s="249" t="s">
        <v>39</v>
      </c>
      <c r="AX194" s="249" t="s">
        <v>18</v>
      </c>
      <c r="AY194" s="260" t="s">
        <v>206</v>
      </c>
    </row>
    <row r="195" spans="1:65" s="136" customFormat="1" ht="21.75" customHeight="1">
      <c r="A195" s="131"/>
      <c r="B195" s="132"/>
      <c r="C195" s="236">
        <f>C191+1</f>
        <v>17</v>
      </c>
      <c r="D195" s="236" t="s">
        <v>208</v>
      </c>
      <c r="E195" s="237" t="s">
        <v>315</v>
      </c>
      <c r="F195" s="238" t="s">
        <v>316</v>
      </c>
      <c r="G195" s="239" t="s">
        <v>268</v>
      </c>
      <c r="H195" s="72"/>
      <c r="I195" s="241">
        <v>306.058</v>
      </c>
      <c r="J195" s="240">
        <f>ROUND($H195*I195,2)</f>
        <v>0</v>
      </c>
      <c r="K195" s="242"/>
      <c r="L195" s="132"/>
      <c r="M195" s="296" t="s">
        <v>1</v>
      </c>
      <c r="N195" s="297" t="s">
        <v>47</v>
      </c>
      <c r="O195" s="298">
        <v>0.328</v>
      </c>
      <c r="P195" s="298">
        <f>O195*I195</f>
        <v>100.387024</v>
      </c>
      <c r="Q195" s="298">
        <v>0</v>
      </c>
      <c r="R195" s="298">
        <f>Q195*I195</f>
        <v>0</v>
      </c>
      <c r="S195" s="298">
        <v>0</v>
      </c>
      <c r="T195" s="299">
        <f>S195*I195</f>
        <v>0</v>
      </c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R195" s="247" t="s">
        <v>212</v>
      </c>
      <c r="AT195" s="247" t="s">
        <v>208</v>
      </c>
      <c r="AU195" s="247" t="s">
        <v>92</v>
      </c>
      <c r="AY195" s="120" t="s">
        <v>206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120" t="s">
        <v>18</v>
      </c>
      <c r="BK195" s="248">
        <f>ROUND(H195*I195,2)</f>
        <v>0</v>
      </c>
      <c r="BL195" s="120" t="s">
        <v>212</v>
      </c>
      <c r="BM195" s="247" t="s">
        <v>692</v>
      </c>
    </row>
    <row r="196" spans="2:51" s="249" customFormat="1" ht="12">
      <c r="B196" s="250"/>
      <c r="C196" s="254"/>
      <c r="D196" s="251" t="s">
        <v>214</v>
      </c>
      <c r="E196" s="252" t="s">
        <v>164</v>
      </c>
      <c r="F196" s="253" t="s">
        <v>318</v>
      </c>
      <c r="G196" s="254"/>
      <c r="H196" s="312"/>
      <c r="I196" s="255">
        <v>101.958</v>
      </c>
      <c r="J196" s="254"/>
      <c r="K196" s="254"/>
      <c r="L196" s="250"/>
      <c r="M196" s="293"/>
      <c r="N196" s="294"/>
      <c r="O196" s="294"/>
      <c r="P196" s="294"/>
      <c r="Q196" s="294"/>
      <c r="R196" s="294"/>
      <c r="S196" s="294"/>
      <c r="T196" s="295"/>
      <c r="AT196" s="260" t="s">
        <v>214</v>
      </c>
      <c r="AU196" s="260" t="s">
        <v>92</v>
      </c>
      <c r="AV196" s="249" t="s">
        <v>92</v>
      </c>
      <c r="AW196" s="249" t="s">
        <v>39</v>
      </c>
      <c r="AX196" s="249" t="s">
        <v>82</v>
      </c>
      <c r="AY196" s="260" t="s">
        <v>206</v>
      </c>
    </row>
    <row r="197" spans="2:51" s="249" customFormat="1" ht="12">
      <c r="B197" s="250"/>
      <c r="C197" s="254"/>
      <c r="D197" s="251" t="s">
        <v>214</v>
      </c>
      <c r="E197" s="252" t="s">
        <v>319</v>
      </c>
      <c r="F197" s="253" t="s">
        <v>320</v>
      </c>
      <c r="G197" s="254"/>
      <c r="H197" s="312"/>
      <c r="I197" s="255">
        <v>0</v>
      </c>
      <c r="J197" s="254"/>
      <c r="K197" s="254"/>
      <c r="L197" s="250"/>
      <c r="M197" s="293"/>
      <c r="N197" s="294"/>
      <c r="O197" s="294"/>
      <c r="P197" s="294"/>
      <c r="Q197" s="294"/>
      <c r="R197" s="294"/>
      <c r="S197" s="294"/>
      <c r="T197" s="295"/>
      <c r="AT197" s="260" t="s">
        <v>214</v>
      </c>
      <c r="AU197" s="260" t="s">
        <v>92</v>
      </c>
      <c r="AV197" s="249" t="s">
        <v>92</v>
      </c>
      <c r="AW197" s="249" t="s">
        <v>39</v>
      </c>
      <c r="AX197" s="249" t="s">
        <v>82</v>
      </c>
      <c r="AY197" s="260" t="s">
        <v>206</v>
      </c>
    </row>
    <row r="198" spans="2:51" s="249" customFormat="1" ht="22.5">
      <c r="B198" s="250"/>
      <c r="C198" s="254"/>
      <c r="D198" s="251" t="s">
        <v>214</v>
      </c>
      <c r="E198" s="252" t="s">
        <v>167</v>
      </c>
      <c r="F198" s="253" t="s">
        <v>693</v>
      </c>
      <c r="G198" s="254"/>
      <c r="H198" s="312"/>
      <c r="I198" s="255">
        <v>118.642</v>
      </c>
      <c r="J198" s="254"/>
      <c r="K198" s="254"/>
      <c r="L198" s="250"/>
      <c r="M198" s="293"/>
      <c r="N198" s="294"/>
      <c r="O198" s="294"/>
      <c r="P198" s="294"/>
      <c r="Q198" s="294"/>
      <c r="R198" s="294"/>
      <c r="S198" s="294"/>
      <c r="T198" s="295"/>
      <c r="AT198" s="260" t="s">
        <v>214</v>
      </c>
      <c r="AU198" s="260" t="s">
        <v>92</v>
      </c>
      <c r="AV198" s="249" t="s">
        <v>92</v>
      </c>
      <c r="AW198" s="249" t="s">
        <v>39</v>
      </c>
      <c r="AX198" s="249" t="s">
        <v>82</v>
      </c>
      <c r="AY198" s="260" t="s">
        <v>206</v>
      </c>
    </row>
    <row r="199" spans="2:51" s="249" customFormat="1" ht="22.5">
      <c r="B199" s="250"/>
      <c r="C199" s="254"/>
      <c r="D199" s="251" t="s">
        <v>214</v>
      </c>
      <c r="E199" s="252" t="s">
        <v>169</v>
      </c>
      <c r="F199" s="253" t="s">
        <v>694</v>
      </c>
      <c r="G199" s="254"/>
      <c r="H199" s="312"/>
      <c r="I199" s="255">
        <v>65.458</v>
      </c>
      <c r="J199" s="254"/>
      <c r="K199" s="254"/>
      <c r="L199" s="250"/>
      <c r="M199" s="293"/>
      <c r="N199" s="294"/>
      <c r="O199" s="294"/>
      <c r="P199" s="294"/>
      <c r="Q199" s="294"/>
      <c r="R199" s="294"/>
      <c r="S199" s="294"/>
      <c r="T199" s="295"/>
      <c r="AT199" s="260" t="s">
        <v>214</v>
      </c>
      <c r="AU199" s="260" t="s">
        <v>92</v>
      </c>
      <c r="AV199" s="249" t="s">
        <v>92</v>
      </c>
      <c r="AW199" s="249" t="s">
        <v>39</v>
      </c>
      <c r="AX199" s="249" t="s">
        <v>82</v>
      </c>
      <c r="AY199" s="260" t="s">
        <v>206</v>
      </c>
    </row>
    <row r="200" spans="2:51" s="249" customFormat="1" ht="12">
      <c r="B200" s="250"/>
      <c r="C200" s="254"/>
      <c r="D200" s="251" t="s">
        <v>214</v>
      </c>
      <c r="E200" s="252" t="s">
        <v>695</v>
      </c>
      <c r="F200" s="253" t="s">
        <v>696</v>
      </c>
      <c r="G200" s="254"/>
      <c r="H200" s="312"/>
      <c r="I200" s="255">
        <v>20</v>
      </c>
      <c r="J200" s="254"/>
      <c r="K200" s="254"/>
      <c r="L200" s="250"/>
      <c r="M200" s="293"/>
      <c r="N200" s="294"/>
      <c r="O200" s="294"/>
      <c r="P200" s="294"/>
      <c r="Q200" s="294"/>
      <c r="R200" s="294"/>
      <c r="S200" s="294"/>
      <c r="T200" s="295"/>
      <c r="AT200" s="260" t="s">
        <v>214</v>
      </c>
      <c r="AU200" s="260" t="s">
        <v>92</v>
      </c>
      <c r="AV200" s="249" t="s">
        <v>92</v>
      </c>
      <c r="AW200" s="249" t="s">
        <v>39</v>
      </c>
      <c r="AX200" s="249" t="s">
        <v>82</v>
      </c>
      <c r="AY200" s="260" t="s">
        <v>206</v>
      </c>
    </row>
    <row r="201" spans="2:51" s="272" customFormat="1" ht="12">
      <c r="B201" s="273"/>
      <c r="C201" s="276"/>
      <c r="D201" s="251" t="s">
        <v>214</v>
      </c>
      <c r="E201" s="274" t="s">
        <v>323</v>
      </c>
      <c r="F201" s="275" t="s">
        <v>291</v>
      </c>
      <c r="G201" s="276"/>
      <c r="H201" s="314"/>
      <c r="I201" s="277">
        <v>306.058</v>
      </c>
      <c r="J201" s="276"/>
      <c r="K201" s="276"/>
      <c r="L201" s="273"/>
      <c r="M201" s="337"/>
      <c r="N201" s="338"/>
      <c r="O201" s="338"/>
      <c r="P201" s="338"/>
      <c r="Q201" s="338"/>
      <c r="R201" s="338"/>
      <c r="S201" s="338"/>
      <c r="T201" s="339"/>
      <c r="AT201" s="282" t="s">
        <v>214</v>
      </c>
      <c r="AU201" s="282" t="s">
        <v>92</v>
      </c>
      <c r="AV201" s="272" t="s">
        <v>212</v>
      </c>
      <c r="AW201" s="272" t="s">
        <v>39</v>
      </c>
      <c r="AX201" s="272" t="s">
        <v>18</v>
      </c>
      <c r="AY201" s="282" t="s">
        <v>206</v>
      </c>
    </row>
    <row r="202" spans="1:65" s="136" customFormat="1" ht="27" customHeight="1">
      <c r="A202" s="131"/>
      <c r="B202" s="132"/>
      <c r="C202" s="236">
        <f>C195+1</f>
        <v>18</v>
      </c>
      <c r="D202" s="284" t="s">
        <v>324</v>
      </c>
      <c r="E202" s="285"/>
      <c r="F202" s="286" t="s">
        <v>898</v>
      </c>
      <c r="G202" s="287" t="s">
        <v>325</v>
      </c>
      <c r="H202" s="73"/>
      <c r="I202" s="288">
        <v>572.116</v>
      </c>
      <c r="J202" s="240">
        <f>ROUND($H202*I202,2)</f>
        <v>0</v>
      </c>
      <c r="K202" s="289"/>
      <c r="L202" s="304"/>
      <c r="M202" s="305" t="s">
        <v>1</v>
      </c>
      <c r="N202" s="306" t="s">
        <v>47</v>
      </c>
      <c r="O202" s="298">
        <v>0</v>
      </c>
      <c r="P202" s="298">
        <f>O202*I202</f>
        <v>0</v>
      </c>
      <c r="Q202" s="298">
        <v>1</v>
      </c>
      <c r="R202" s="298">
        <f>Q202*I202</f>
        <v>572.116</v>
      </c>
      <c r="S202" s="298">
        <v>0</v>
      </c>
      <c r="T202" s="299">
        <f>S202*I202</f>
        <v>0</v>
      </c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R202" s="247" t="s">
        <v>256</v>
      </c>
      <c r="AT202" s="247" t="s">
        <v>324</v>
      </c>
      <c r="AU202" s="247" t="s">
        <v>92</v>
      </c>
      <c r="AY202" s="120" t="s">
        <v>206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20" t="s">
        <v>18</v>
      </c>
      <c r="BK202" s="248">
        <f>ROUND(H202*I202,2)</f>
        <v>0</v>
      </c>
      <c r="BL202" s="120" t="s">
        <v>212</v>
      </c>
      <c r="BM202" s="247" t="s">
        <v>697</v>
      </c>
    </row>
    <row r="203" spans="2:51" s="249" customFormat="1" ht="12">
      <c r="B203" s="250"/>
      <c r="C203" s="254"/>
      <c r="D203" s="251" t="s">
        <v>214</v>
      </c>
      <c r="E203" s="252" t="s">
        <v>1</v>
      </c>
      <c r="F203" s="253" t="s">
        <v>327</v>
      </c>
      <c r="G203" s="254"/>
      <c r="H203" s="312"/>
      <c r="I203" s="255">
        <v>572.116</v>
      </c>
      <c r="J203" s="254"/>
      <c r="K203" s="254"/>
      <c r="L203" s="250"/>
      <c r="M203" s="293"/>
      <c r="N203" s="294"/>
      <c r="O203" s="294"/>
      <c r="P203" s="294"/>
      <c r="Q203" s="294"/>
      <c r="R203" s="294"/>
      <c r="S203" s="294"/>
      <c r="T203" s="295"/>
      <c r="AT203" s="260" t="s">
        <v>214</v>
      </c>
      <c r="AU203" s="260" t="s">
        <v>92</v>
      </c>
      <c r="AV203" s="249" t="s">
        <v>92</v>
      </c>
      <c r="AW203" s="249" t="s">
        <v>39</v>
      </c>
      <c r="AX203" s="249" t="s">
        <v>18</v>
      </c>
      <c r="AY203" s="260" t="s">
        <v>206</v>
      </c>
    </row>
    <row r="204" spans="1:65" s="136" customFormat="1" ht="21.75" customHeight="1">
      <c r="A204" s="131"/>
      <c r="B204" s="132"/>
      <c r="C204" s="236">
        <f>C202+1</f>
        <v>19</v>
      </c>
      <c r="D204" s="236" t="s">
        <v>208</v>
      </c>
      <c r="E204" s="237" t="s">
        <v>328</v>
      </c>
      <c r="F204" s="238" t="s">
        <v>329</v>
      </c>
      <c r="G204" s="239" t="s">
        <v>268</v>
      </c>
      <c r="H204" s="72"/>
      <c r="I204" s="241">
        <v>15.515</v>
      </c>
      <c r="J204" s="240">
        <f>ROUND($H204*I204,2)</f>
        <v>0</v>
      </c>
      <c r="K204" s="242"/>
      <c r="L204" s="132"/>
      <c r="M204" s="296" t="s">
        <v>1</v>
      </c>
      <c r="N204" s="297" t="s">
        <v>47</v>
      </c>
      <c r="O204" s="298">
        <v>0.435</v>
      </c>
      <c r="P204" s="298">
        <f>O204*I204</f>
        <v>6.7490250000000005</v>
      </c>
      <c r="Q204" s="298">
        <v>0</v>
      </c>
      <c r="R204" s="298">
        <f>Q204*I204</f>
        <v>0</v>
      </c>
      <c r="S204" s="298">
        <v>0</v>
      </c>
      <c r="T204" s="299">
        <f>S204*I204</f>
        <v>0</v>
      </c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R204" s="247" t="s">
        <v>212</v>
      </c>
      <c r="AT204" s="247" t="s">
        <v>208</v>
      </c>
      <c r="AU204" s="247" t="s">
        <v>92</v>
      </c>
      <c r="AY204" s="120" t="s">
        <v>206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20" t="s">
        <v>18</v>
      </c>
      <c r="BK204" s="248">
        <f>ROUND(H204*I204,2)</f>
        <v>0</v>
      </c>
      <c r="BL204" s="120" t="s">
        <v>212</v>
      </c>
      <c r="BM204" s="247" t="s">
        <v>698</v>
      </c>
    </row>
    <row r="205" spans="2:51" s="249" customFormat="1" ht="12">
      <c r="B205" s="250"/>
      <c r="C205" s="254"/>
      <c r="D205" s="251" t="s">
        <v>214</v>
      </c>
      <c r="E205" s="252" t="s">
        <v>130</v>
      </c>
      <c r="F205" s="253" t="s">
        <v>699</v>
      </c>
      <c r="G205" s="254"/>
      <c r="H205" s="312"/>
      <c r="I205" s="255">
        <v>15.515</v>
      </c>
      <c r="J205" s="254"/>
      <c r="K205" s="254"/>
      <c r="L205" s="250"/>
      <c r="M205" s="293"/>
      <c r="N205" s="294"/>
      <c r="O205" s="294"/>
      <c r="P205" s="294"/>
      <c r="Q205" s="294"/>
      <c r="R205" s="294"/>
      <c r="S205" s="294"/>
      <c r="T205" s="295"/>
      <c r="AT205" s="260" t="s">
        <v>214</v>
      </c>
      <c r="AU205" s="260" t="s">
        <v>92</v>
      </c>
      <c r="AV205" s="249" t="s">
        <v>92</v>
      </c>
      <c r="AW205" s="249" t="s">
        <v>39</v>
      </c>
      <c r="AX205" s="249" t="s">
        <v>18</v>
      </c>
      <c r="AY205" s="260" t="s">
        <v>206</v>
      </c>
    </row>
    <row r="206" spans="1:65" s="136" customFormat="1" ht="16.5" customHeight="1">
      <c r="A206" s="131"/>
      <c r="B206" s="132"/>
      <c r="C206" s="236">
        <f>C204+1</f>
        <v>20</v>
      </c>
      <c r="D206" s="284" t="s">
        <v>324</v>
      </c>
      <c r="E206" s="285" t="s">
        <v>332</v>
      </c>
      <c r="F206" s="286" t="s">
        <v>333</v>
      </c>
      <c r="G206" s="287" t="s">
        <v>325</v>
      </c>
      <c r="H206" s="73"/>
      <c r="I206" s="288">
        <v>31.03</v>
      </c>
      <c r="J206" s="240">
        <f>ROUND($H206*I206,2)</f>
        <v>0</v>
      </c>
      <c r="K206" s="289"/>
      <c r="L206" s="304"/>
      <c r="M206" s="305" t="s">
        <v>1</v>
      </c>
      <c r="N206" s="306" t="s">
        <v>47</v>
      </c>
      <c r="O206" s="298">
        <v>0</v>
      </c>
      <c r="P206" s="298">
        <f>O206*I206</f>
        <v>0</v>
      </c>
      <c r="Q206" s="298">
        <v>1</v>
      </c>
      <c r="R206" s="298">
        <f>Q206*I206</f>
        <v>31.03</v>
      </c>
      <c r="S206" s="298">
        <v>0</v>
      </c>
      <c r="T206" s="299">
        <f>S206*I206</f>
        <v>0</v>
      </c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R206" s="247" t="s">
        <v>256</v>
      </c>
      <c r="AT206" s="247" t="s">
        <v>324</v>
      </c>
      <c r="AU206" s="247" t="s">
        <v>92</v>
      </c>
      <c r="AY206" s="120" t="s">
        <v>206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20" t="s">
        <v>18</v>
      </c>
      <c r="BK206" s="248">
        <f>ROUND(H206*I206,2)</f>
        <v>0</v>
      </c>
      <c r="BL206" s="120" t="s">
        <v>212</v>
      </c>
      <c r="BM206" s="247" t="s">
        <v>700</v>
      </c>
    </row>
    <row r="207" spans="2:51" s="249" customFormat="1" ht="12">
      <c r="B207" s="250"/>
      <c r="C207" s="254"/>
      <c r="D207" s="251" t="s">
        <v>214</v>
      </c>
      <c r="E207" s="252" t="s">
        <v>1</v>
      </c>
      <c r="F207" s="253" t="s">
        <v>335</v>
      </c>
      <c r="G207" s="254"/>
      <c r="H207" s="312"/>
      <c r="I207" s="255">
        <v>31.03</v>
      </c>
      <c r="J207" s="254"/>
      <c r="K207" s="254"/>
      <c r="L207" s="250"/>
      <c r="M207" s="293"/>
      <c r="N207" s="294"/>
      <c r="O207" s="294"/>
      <c r="P207" s="294"/>
      <c r="Q207" s="294"/>
      <c r="R207" s="294"/>
      <c r="S207" s="294"/>
      <c r="T207" s="295"/>
      <c r="AT207" s="260" t="s">
        <v>214</v>
      </c>
      <c r="AU207" s="260" t="s">
        <v>92</v>
      </c>
      <c r="AV207" s="249" t="s">
        <v>92</v>
      </c>
      <c r="AW207" s="249" t="s">
        <v>39</v>
      </c>
      <c r="AX207" s="249" t="s">
        <v>18</v>
      </c>
      <c r="AY207" s="260" t="s">
        <v>206</v>
      </c>
    </row>
    <row r="208" spans="2:63" s="218" customFormat="1" ht="22.9" customHeight="1">
      <c r="B208" s="219"/>
      <c r="C208" s="223"/>
      <c r="D208" s="221" t="s">
        <v>81</v>
      </c>
      <c r="E208" s="233" t="s">
        <v>219</v>
      </c>
      <c r="F208" s="233" t="s">
        <v>336</v>
      </c>
      <c r="G208" s="223"/>
      <c r="H208" s="315"/>
      <c r="I208" s="223"/>
      <c r="J208" s="234">
        <f>SUM(J209:J219)</f>
        <v>0</v>
      </c>
      <c r="K208" s="223"/>
      <c r="L208" s="219"/>
      <c r="M208" s="330"/>
      <c r="N208" s="331"/>
      <c r="O208" s="331"/>
      <c r="P208" s="332">
        <f>SUM(P209:P220)</f>
        <v>282.705232</v>
      </c>
      <c r="Q208" s="331"/>
      <c r="R208" s="332">
        <f>SUM(R209:R220)</f>
        <v>0</v>
      </c>
      <c r="S208" s="331"/>
      <c r="T208" s="333">
        <f>SUM(T209:T220)</f>
        <v>77.3478</v>
      </c>
      <c r="AR208" s="230" t="s">
        <v>18</v>
      </c>
      <c r="AT208" s="231" t="s">
        <v>81</v>
      </c>
      <c r="AU208" s="231" t="s">
        <v>18</v>
      </c>
      <c r="AY208" s="230" t="s">
        <v>206</v>
      </c>
      <c r="BK208" s="232">
        <f>SUM(BK209:BK220)</f>
        <v>0</v>
      </c>
    </row>
    <row r="209" spans="1:65" s="136" customFormat="1" ht="21.75" customHeight="1">
      <c r="A209" s="131"/>
      <c r="B209" s="132"/>
      <c r="C209" s="236">
        <f>C206+1</f>
        <v>21</v>
      </c>
      <c r="D209" s="236" t="s">
        <v>208</v>
      </c>
      <c r="E209" s="237"/>
      <c r="F209" s="238" t="s">
        <v>902</v>
      </c>
      <c r="G209" s="239" t="s">
        <v>268</v>
      </c>
      <c r="H209" s="72"/>
      <c r="I209" s="241">
        <f>I210+I211</f>
        <v>18.216</v>
      </c>
      <c r="J209" s="240">
        <f>ROUND($H209*I209,2)</f>
        <v>0</v>
      </c>
      <c r="K209" s="242"/>
      <c r="L209" s="132"/>
      <c r="M209" s="296" t="s">
        <v>1</v>
      </c>
      <c r="N209" s="297" t="s">
        <v>47</v>
      </c>
      <c r="O209" s="298">
        <v>4.16</v>
      </c>
      <c r="P209" s="298">
        <f>O209*I209</f>
        <v>75.77856000000001</v>
      </c>
      <c r="Q209" s="298">
        <v>0</v>
      </c>
      <c r="R209" s="298">
        <f>Q209*I209</f>
        <v>0</v>
      </c>
      <c r="S209" s="298">
        <v>2.5</v>
      </c>
      <c r="T209" s="299">
        <f>S209*I209</f>
        <v>45.540000000000006</v>
      </c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R209" s="247" t="s">
        <v>212</v>
      </c>
      <c r="AT209" s="247" t="s">
        <v>208</v>
      </c>
      <c r="AU209" s="247" t="s">
        <v>92</v>
      </c>
      <c r="AY209" s="120" t="s">
        <v>206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20" t="s">
        <v>18</v>
      </c>
      <c r="BK209" s="248">
        <f>ROUND(H209*I209,2)</f>
        <v>0</v>
      </c>
      <c r="BL209" s="120" t="s">
        <v>212</v>
      </c>
      <c r="BM209" s="247" t="s">
        <v>701</v>
      </c>
    </row>
    <row r="210" spans="2:51" s="249" customFormat="1" ht="12">
      <c r="B210" s="250"/>
      <c r="C210" s="254"/>
      <c r="D210" s="251" t="s">
        <v>214</v>
      </c>
      <c r="E210" s="252"/>
      <c r="F210" s="253" t="s">
        <v>899</v>
      </c>
      <c r="G210" s="254"/>
      <c r="H210" s="312"/>
      <c r="I210" s="255">
        <f>15.3*((1*1.2)-(0.6*0.8))</f>
        <v>11.016</v>
      </c>
      <c r="J210" s="254"/>
      <c r="K210" s="254"/>
      <c r="L210" s="250"/>
      <c r="M210" s="293"/>
      <c r="N210" s="294"/>
      <c r="O210" s="294"/>
      <c r="P210" s="294"/>
      <c r="Q210" s="294"/>
      <c r="R210" s="294"/>
      <c r="S210" s="294"/>
      <c r="T210" s="295"/>
      <c r="AT210" s="260" t="s">
        <v>214</v>
      </c>
      <c r="AU210" s="260" t="s">
        <v>92</v>
      </c>
      <c r="AV210" s="249" t="s">
        <v>92</v>
      </c>
      <c r="AW210" s="249" t="s">
        <v>39</v>
      </c>
      <c r="AX210" s="249" t="s">
        <v>18</v>
      </c>
      <c r="AY210" s="260" t="s">
        <v>206</v>
      </c>
    </row>
    <row r="211" spans="2:51" s="249" customFormat="1" ht="12">
      <c r="B211" s="250"/>
      <c r="C211" s="254"/>
      <c r="D211" s="251"/>
      <c r="E211" s="252"/>
      <c r="F211" s="253" t="s">
        <v>901</v>
      </c>
      <c r="G211" s="254"/>
      <c r="H211" s="312"/>
      <c r="I211" s="255">
        <f>10*((1*1.2)-(0.6*0.8))</f>
        <v>7.199999999999999</v>
      </c>
      <c r="J211" s="254"/>
      <c r="K211" s="254"/>
      <c r="L211" s="250"/>
      <c r="M211" s="293"/>
      <c r="N211" s="294"/>
      <c r="O211" s="294"/>
      <c r="P211" s="294"/>
      <c r="Q211" s="294"/>
      <c r="R211" s="294"/>
      <c r="S211" s="294"/>
      <c r="T211" s="295"/>
      <c r="AT211" s="260"/>
      <c r="AU211" s="260"/>
      <c r="AY211" s="260"/>
    </row>
    <row r="212" spans="1:65" s="136" customFormat="1" ht="21.75" customHeight="1">
      <c r="A212" s="131"/>
      <c r="B212" s="132"/>
      <c r="C212" s="236">
        <f>C209+1</f>
        <v>22</v>
      </c>
      <c r="D212" s="236" t="s">
        <v>208</v>
      </c>
      <c r="E212" s="237"/>
      <c r="F212" s="238" t="s">
        <v>900</v>
      </c>
      <c r="G212" s="239" t="s">
        <v>238</v>
      </c>
      <c r="H212" s="72"/>
      <c r="I212" s="241">
        <f>I213</f>
        <v>6.3</v>
      </c>
      <c r="J212" s="240">
        <f>ROUND($H212*I212,2)</f>
        <v>0</v>
      </c>
      <c r="K212" s="242"/>
      <c r="L212" s="132"/>
      <c r="M212" s="296" t="s">
        <v>1</v>
      </c>
      <c r="N212" s="297" t="s">
        <v>47</v>
      </c>
      <c r="O212" s="298">
        <v>4.16</v>
      </c>
      <c r="P212" s="298">
        <f>O212*I212</f>
        <v>26.208</v>
      </c>
      <c r="Q212" s="298">
        <v>0</v>
      </c>
      <c r="R212" s="298">
        <f>Q212*I212</f>
        <v>0</v>
      </c>
      <c r="S212" s="298">
        <v>0.05</v>
      </c>
      <c r="T212" s="299">
        <f>S212*I212</f>
        <v>0.315</v>
      </c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R212" s="247" t="s">
        <v>212</v>
      </c>
      <c r="AT212" s="247" t="s">
        <v>208</v>
      </c>
      <c r="AU212" s="247" t="s">
        <v>92</v>
      </c>
      <c r="AY212" s="120" t="s">
        <v>206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120" t="s">
        <v>18</v>
      </c>
      <c r="BK212" s="248">
        <f>ROUND(H212*I212,2)</f>
        <v>0</v>
      </c>
      <c r="BL212" s="120" t="s">
        <v>212</v>
      </c>
      <c r="BM212" s="247" t="s">
        <v>701</v>
      </c>
    </row>
    <row r="213" spans="2:51" s="249" customFormat="1" ht="12">
      <c r="B213" s="250"/>
      <c r="C213" s="254"/>
      <c r="D213" s="251" t="s">
        <v>214</v>
      </c>
      <c r="E213" s="252"/>
      <c r="F213" s="253">
        <v>6.3</v>
      </c>
      <c r="G213" s="254"/>
      <c r="H213" s="312"/>
      <c r="I213" s="255">
        <v>6.3</v>
      </c>
      <c r="J213" s="254"/>
      <c r="K213" s="254"/>
      <c r="L213" s="250"/>
      <c r="M213" s="293"/>
      <c r="N213" s="294"/>
      <c r="O213" s="294"/>
      <c r="P213" s="294"/>
      <c r="Q213" s="294"/>
      <c r="R213" s="294"/>
      <c r="S213" s="294"/>
      <c r="T213" s="295"/>
      <c r="AT213" s="260" t="s">
        <v>214</v>
      </c>
      <c r="AU213" s="260" t="s">
        <v>92</v>
      </c>
      <c r="AV213" s="249" t="s">
        <v>92</v>
      </c>
      <c r="AW213" s="249" t="s">
        <v>39</v>
      </c>
      <c r="AX213" s="249" t="s">
        <v>18</v>
      </c>
      <c r="AY213" s="260" t="s">
        <v>206</v>
      </c>
    </row>
    <row r="214" spans="1:65" s="136" customFormat="1" ht="21.75" customHeight="1">
      <c r="A214" s="131"/>
      <c r="B214" s="132"/>
      <c r="C214" s="236">
        <f>C212+1</f>
        <v>23</v>
      </c>
      <c r="D214" s="236" t="s">
        <v>208</v>
      </c>
      <c r="E214" s="237"/>
      <c r="F214" s="238" t="s">
        <v>903</v>
      </c>
      <c r="G214" s="239" t="s">
        <v>268</v>
      </c>
      <c r="H214" s="72"/>
      <c r="I214" s="241">
        <f>I215</f>
        <v>13.122000000000002</v>
      </c>
      <c r="J214" s="240">
        <f>ROUND($H214*I214,2)</f>
        <v>0</v>
      </c>
      <c r="K214" s="242"/>
      <c r="L214" s="132"/>
      <c r="M214" s="296" t="s">
        <v>1</v>
      </c>
      <c r="N214" s="297" t="s">
        <v>47</v>
      </c>
      <c r="O214" s="298">
        <v>13.001</v>
      </c>
      <c r="P214" s="298">
        <f>O214*I214</f>
        <v>170.59912200000002</v>
      </c>
      <c r="Q214" s="298">
        <v>0</v>
      </c>
      <c r="R214" s="298">
        <f>Q214*I214</f>
        <v>0</v>
      </c>
      <c r="S214" s="298">
        <v>2.4</v>
      </c>
      <c r="T214" s="299">
        <f>S214*I214</f>
        <v>31.492800000000003</v>
      </c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R214" s="247" t="s">
        <v>212</v>
      </c>
      <c r="AT214" s="247" t="s">
        <v>208</v>
      </c>
      <c r="AU214" s="247" t="s">
        <v>92</v>
      </c>
      <c r="AY214" s="120" t="s">
        <v>206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20" t="s">
        <v>18</v>
      </c>
      <c r="BK214" s="248">
        <f>ROUND(H214*I214,2)</f>
        <v>0</v>
      </c>
      <c r="BL214" s="120" t="s">
        <v>212</v>
      </c>
      <c r="BM214" s="247" t="s">
        <v>702</v>
      </c>
    </row>
    <row r="215" spans="2:51" s="249" customFormat="1" ht="33.75">
      <c r="B215" s="250"/>
      <c r="C215" s="254"/>
      <c r="D215" s="251" t="s">
        <v>214</v>
      </c>
      <c r="E215" s="252" t="s">
        <v>703</v>
      </c>
      <c r="F215" s="253" t="s">
        <v>704</v>
      </c>
      <c r="G215" s="254"/>
      <c r="H215" s="312"/>
      <c r="I215" s="255">
        <f>((1.2*1.2)-(0.6*0.6))*(1.05+0.3+1.14+0.3+3.06-1+1+0.3+0.5+0.3+0.5+0.3+3.8-1+1+0.3+0.3)</f>
        <v>13.122000000000002</v>
      </c>
      <c r="J215" s="254"/>
      <c r="K215" s="254"/>
      <c r="L215" s="250"/>
      <c r="M215" s="293"/>
      <c r="N215" s="294"/>
      <c r="O215" s="294"/>
      <c r="P215" s="294"/>
      <c r="Q215" s="294"/>
      <c r="R215" s="294"/>
      <c r="S215" s="294"/>
      <c r="T215" s="295"/>
      <c r="AT215" s="260" t="s">
        <v>214</v>
      </c>
      <c r="AU215" s="260" t="s">
        <v>92</v>
      </c>
      <c r="AV215" s="249" t="s">
        <v>92</v>
      </c>
      <c r="AW215" s="249" t="s">
        <v>39</v>
      </c>
      <c r="AX215" s="249" t="s">
        <v>82</v>
      </c>
      <c r="AY215" s="260" t="s">
        <v>206</v>
      </c>
    </row>
    <row r="216" spans="1:65" s="136" customFormat="1" ht="16.5" customHeight="1">
      <c r="A216" s="131"/>
      <c r="B216" s="132"/>
      <c r="C216" s="236">
        <f>C214+1</f>
        <v>24</v>
      </c>
      <c r="D216" s="236" t="s">
        <v>208</v>
      </c>
      <c r="E216" s="237" t="s">
        <v>705</v>
      </c>
      <c r="F216" s="238" t="s">
        <v>877</v>
      </c>
      <c r="G216" s="239" t="s">
        <v>238</v>
      </c>
      <c r="H216" s="72"/>
      <c r="I216" s="241">
        <f>I217+I218</f>
        <v>71.7</v>
      </c>
      <c r="J216" s="240">
        <f>ROUND($H216*I216,2)</f>
        <v>0</v>
      </c>
      <c r="K216" s="242"/>
      <c r="L216" s="132"/>
      <c r="M216" s="296" t="s">
        <v>1</v>
      </c>
      <c r="N216" s="297" t="s">
        <v>47</v>
      </c>
      <c r="O216" s="298">
        <v>0.069</v>
      </c>
      <c r="P216" s="298">
        <f>O216*I216</f>
        <v>4.9473</v>
      </c>
      <c r="Q216" s="298">
        <v>0</v>
      </c>
      <c r="R216" s="298">
        <f>Q216*I216</f>
        <v>0</v>
      </c>
      <c r="S216" s="298">
        <v>0</v>
      </c>
      <c r="T216" s="299">
        <f>S216*I216</f>
        <v>0</v>
      </c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R216" s="247" t="s">
        <v>212</v>
      </c>
      <c r="AT216" s="247" t="s">
        <v>208</v>
      </c>
      <c r="AU216" s="247" t="s">
        <v>92</v>
      </c>
      <c r="AY216" s="120" t="s">
        <v>206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20" t="s">
        <v>18</v>
      </c>
      <c r="BK216" s="248">
        <f>ROUND(H216*I216,2)</f>
        <v>0</v>
      </c>
      <c r="BL216" s="120" t="s">
        <v>212</v>
      </c>
      <c r="BM216" s="247" t="s">
        <v>706</v>
      </c>
    </row>
    <row r="217" spans="2:51" s="249" customFormat="1" ht="12">
      <c r="B217" s="250"/>
      <c r="C217" s="254"/>
      <c r="D217" s="251" t="s">
        <v>214</v>
      </c>
      <c r="E217" s="252" t="s">
        <v>1</v>
      </c>
      <c r="F217" s="253" t="s">
        <v>707</v>
      </c>
      <c r="G217" s="254"/>
      <c r="H217" s="312"/>
      <c r="I217" s="255">
        <v>21.7</v>
      </c>
      <c r="J217" s="254"/>
      <c r="K217" s="254"/>
      <c r="L217" s="250"/>
      <c r="M217" s="293"/>
      <c r="N217" s="294"/>
      <c r="O217" s="294"/>
      <c r="P217" s="294"/>
      <c r="Q217" s="294"/>
      <c r="R217" s="294"/>
      <c r="S217" s="294"/>
      <c r="T217" s="295"/>
      <c r="AT217" s="260" t="s">
        <v>214</v>
      </c>
      <c r="AU217" s="260" t="s">
        <v>92</v>
      </c>
      <c r="AV217" s="249" t="s">
        <v>92</v>
      </c>
      <c r="AW217" s="249" t="s">
        <v>39</v>
      </c>
      <c r="AX217" s="249" t="s">
        <v>82</v>
      </c>
      <c r="AY217" s="260" t="s">
        <v>206</v>
      </c>
    </row>
    <row r="218" spans="2:51" s="272" customFormat="1" ht="12">
      <c r="B218" s="273"/>
      <c r="C218" s="276"/>
      <c r="D218" s="251" t="s">
        <v>214</v>
      </c>
      <c r="E218" s="274" t="s">
        <v>1</v>
      </c>
      <c r="F218" s="340" t="s">
        <v>904</v>
      </c>
      <c r="G218" s="341"/>
      <c r="H218" s="314"/>
      <c r="I218" s="342">
        <f>50</f>
        <v>50</v>
      </c>
      <c r="J218" s="276"/>
      <c r="K218" s="276"/>
      <c r="L218" s="273"/>
      <c r="M218" s="337"/>
      <c r="N218" s="338"/>
      <c r="O218" s="338"/>
      <c r="P218" s="338"/>
      <c r="Q218" s="338"/>
      <c r="R218" s="338"/>
      <c r="S218" s="338"/>
      <c r="T218" s="339"/>
      <c r="AT218" s="282" t="s">
        <v>214</v>
      </c>
      <c r="AU218" s="282" t="s">
        <v>92</v>
      </c>
      <c r="AV218" s="272" t="s">
        <v>212</v>
      </c>
      <c r="AW218" s="272" t="s">
        <v>39</v>
      </c>
      <c r="AX218" s="272" t="s">
        <v>18</v>
      </c>
      <c r="AY218" s="282" t="s">
        <v>206</v>
      </c>
    </row>
    <row r="219" spans="1:65" s="136" customFormat="1" ht="30" customHeight="1">
      <c r="A219" s="131"/>
      <c r="B219" s="132"/>
      <c r="C219" s="236">
        <f>C216+1</f>
        <v>25</v>
      </c>
      <c r="D219" s="236" t="s">
        <v>208</v>
      </c>
      <c r="E219" s="237" t="s">
        <v>708</v>
      </c>
      <c r="F219" s="238" t="s">
        <v>876</v>
      </c>
      <c r="G219" s="239" t="s">
        <v>238</v>
      </c>
      <c r="H219" s="72"/>
      <c r="I219" s="241">
        <f>I220</f>
        <v>60.85</v>
      </c>
      <c r="J219" s="240">
        <f>ROUND($H219*I219,2)</f>
        <v>0</v>
      </c>
      <c r="K219" s="242"/>
      <c r="L219" s="132"/>
      <c r="M219" s="296" t="s">
        <v>1</v>
      </c>
      <c r="N219" s="297" t="s">
        <v>47</v>
      </c>
      <c r="O219" s="298">
        <v>0.085</v>
      </c>
      <c r="P219" s="298">
        <f>O219*I219</f>
        <v>5.172250000000001</v>
      </c>
      <c r="Q219" s="298">
        <v>0</v>
      </c>
      <c r="R219" s="298">
        <f>Q219*I219</f>
        <v>0</v>
      </c>
      <c r="S219" s="298">
        <v>0</v>
      </c>
      <c r="T219" s="299">
        <f>S219*I219</f>
        <v>0</v>
      </c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R219" s="247" t="s">
        <v>212</v>
      </c>
      <c r="AT219" s="247" t="s">
        <v>208</v>
      </c>
      <c r="AU219" s="247" t="s">
        <v>92</v>
      </c>
      <c r="AY219" s="120" t="s">
        <v>206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20" t="s">
        <v>18</v>
      </c>
      <c r="BK219" s="248">
        <f>ROUND(H219*I219,2)</f>
        <v>0</v>
      </c>
      <c r="BL219" s="120" t="s">
        <v>212</v>
      </c>
      <c r="BM219" s="247" t="s">
        <v>709</v>
      </c>
    </row>
    <row r="220" spans="2:51" s="249" customFormat="1" ht="12">
      <c r="B220" s="250"/>
      <c r="C220" s="254"/>
      <c r="D220" s="251" t="s">
        <v>214</v>
      </c>
      <c r="E220" s="252" t="s">
        <v>1</v>
      </c>
      <c r="F220" s="253" t="s">
        <v>905</v>
      </c>
      <c r="G220" s="254"/>
      <c r="H220" s="312"/>
      <c r="I220" s="255">
        <f>10.85+50</f>
        <v>60.85</v>
      </c>
      <c r="J220" s="254"/>
      <c r="K220" s="254"/>
      <c r="L220" s="250"/>
      <c r="M220" s="293"/>
      <c r="N220" s="294"/>
      <c r="O220" s="294"/>
      <c r="P220" s="294"/>
      <c r="Q220" s="294"/>
      <c r="R220" s="294"/>
      <c r="S220" s="294"/>
      <c r="T220" s="295"/>
      <c r="AT220" s="260" t="s">
        <v>214</v>
      </c>
      <c r="AU220" s="260" t="s">
        <v>92</v>
      </c>
      <c r="AV220" s="249" t="s">
        <v>92</v>
      </c>
      <c r="AW220" s="249" t="s">
        <v>39</v>
      </c>
      <c r="AX220" s="249" t="s">
        <v>18</v>
      </c>
      <c r="AY220" s="260" t="s">
        <v>206</v>
      </c>
    </row>
    <row r="221" spans="2:63" s="218" customFormat="1" ht="22.9" customHeight="1">
      <c r="B221" s="219"/>
      <c r="C221" s="223"/>
      <c r="D221" s="221" t="s">
        <v>81</v>
      </c>
      <c r="E221" s="233" t="s">
        <v>212</v>
      </c>
      <c r="F221" s="233" t="s">
        <v>339</v>
      </c>
      <c r="G221" s="223"/>
      <c r="H221" s="315"/>
      <c r="I221" s="223"/>
      <c r="J221" s="234">
        <f>SUM(J222:J224)</f>
        <v>0</v>
      </c>
      <c r="K221" s="223"/>
      <c r="L221" s="219"/>
      <c r="M221" s="330"/>
      <c r="N221" s="331"/>
      <c r="O221" s="331"/>
      <c r="P221" s="332">
        <f>SUM(P222:P225)</f>
        <v>13.281274999999999</v>
      </c>
      <c r="Q221" s="331"/>
      <c r="R221" s="332">
        <f>SUM(R222:R225)</f>
        <v>0</v>
      </c>
      <c r="S221" s="331"/>
      <c r="T221" s="333">
        <f>SUM(T222:T225)</f>
        <v>0</v>
      </c>
      <c r="AR221" s="230" t="s">
        <v>18</v>
      </c>
      <c r="AT221" s="231" t="s">
        <v>81</v>
      </c>
      <c r="AU221" s="231" t="s">
        <v>18</v>
      </c>
      <c r="AY221" s="230" t="s">
        <v>206</v>
      </c>
      <c r="BK221" s="232">
        <f>SUM(BK222:BK225)</f>
        <v>0</v>
      </c>
    </row>
    <row r="222" spans="1:65" s="136" customFormat="1" ht="21.75" customHeight="1">
      <c r="A222" s="131"/>
      <c r="B222" s="132"/>
      <c r="C222" s="236">
        <f>C219+1</f>
        <v>26</v>
      </c>
      <c r="D222" s="236" t="s">
        <v>208</v>
      </c>
      <c r="E222" s="237" t="s">
        <v>340</v>
      </c>
      <c r="F222" s="238" t="s">
        <v>341</v>
      </c>
      <c r="G222" s="239" t="s">
        <v>268</v>
      </c>
      <c r="H222" s="72"/>
      <c r="I222" s="241">
        <v>2.833</v>
      </c>
      <c r="J222" s="240">
        <f>ROUND($H222*I222,2)</f>
        <v>0</v>
      </c>
      <c r="K222" s="242"/>
      <c r="L222" s="132"/>
      <c r="M222" s="296" t="s">
        <v>1</v>
      </c>
      <c r="N222" s="297" t="s">
        <v>47</v>
      </c>
      <c r="O222" s="298">
        <v>1.695</v>
      </c>
      <c r="P222" s="298">
        <f>O222*I222</f>
        <v>4.801935</v>
      </c>
      <c r="Q222" s="298">
        <v>0</v>
      </c>
      <c r="R222" s="298">
        <f>Q222*I222</f>
        <v>0</v>
      </c>
      <c r="S222" s="298">
        <v>0</v>
      </c>
      <c r="T222" s="299">
        <f>S222*I222</f>
        <v>0</v>
      </c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R222" s="247" t="s">
        <v>212</v>
      </c>
      <c r="AT222" s="247" t="s">
        <v>208</v>
      </c>
      <c r="AU222" s="247" t="s">
        <v>92</v>
      </c>
      <c r="AY222" s="120" t="s">
        <v>206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20" t="s">
        <v>18</v>
      </c>
      <c r="BK222" s="248">
        <f>ROUND(H222*I222,2)</f>
        <v>0</v>
      </c>
      <c r="BL222" s="120" t="s">
        <v>212</v>
      </c>
      <c r="BM222" s="247" t="s">
        <v>710</v>
      </c>
    </row>
    <row r="223" spans="2:51" s="249" customFormat="1" ht="12">
      <c r="B223" s="250"/>
      <c r="C223" s="254"/>
      <c r="D223" s="251" t="s">
        <v>214</v>
      </c>
      <c r="E223" s="252" t="s">
        <v>343</v>
      </c>
      <c r="F223" s="253" t="s">
        <v>711</v>
      </c>
      <c r="G223" s="254"/>
      <c r="H223" s="312"/>
      <c r="I223" s="255">
        <v>2.833</v>
      </c>
      <c r="J223" s="254"/>
      <c r="K223" s="254"/>
      <c r="L223" s="250"/>
      <c r="M223" s="293"/>
      <c r="N223" s="294"/>
      <c r="O223" s="294"/>
      <c r="P223" s="294"/>
      <c r="Q223" s="294"/>
      <c r="R223" s="294"/>
      <c r="S223" s="294"/>
      <c r="T223" s="295"/>
      <c r="AT223" s="260" t="s">
        <v>214</v>
      </c>
      <c r="AU223" s="260" t="s">
        <v>92</v>
      </c>
      <c r="AV223" s="249" t="s">
        <v>92</v>
      </c>
      <c r="AW223" s="249" t="s">
        <v>39</v>
      </c>
      <c r="AX223" s="249" t="s">
        <v>18</v>
      </c>
      <c r="AY223" s="260" t="s">
        <v>206</v>
      </c>
    </row>
    <row r="224" spans="1:65" s="136" customFormat="1" ht="21.75" customHeight="1">
      <c r="A224" s="131"/>
      <c r="B224" s="132"/>
      <c r="C224" s="236">
        <f>C222+1</f>
        <v>27</v>
      </c>
      <c r="D224" s="236" t="s">
        <v>208</v>
      </c>
      <c r="E224" s="237" t="s">
        <v>712</v>
      </c>
      <c r="F224" s="238" t="s">
        <v>713</v>
      </c>
      <c r="G224" s="239" t="s">
        <v>268</v>
      </c>
      <c r="H224" s="72"/>
      <c r="I224" s="241">
        <v>6.14</v>
      </c>
      <c r="J224" s="240">
        <f>ROUND($H224*I224,2)</f>
        <v>0</v>
      </c>
      <c r="K224" s="242"/>
      <c r="L224" s="132"/>
      <c r="M224" s="296" t="s">
        <v>1</v>
      </c>
      <c r="N224" s="297" t="s">
        <v>47</v>
      </c>
      <c r="O224" s="298">
        <v>1.381</v>
      </c>
      <c r="P224" s="298">
        <f>O224*I224</f>
        <v>8.479339999999999</v>
      </c>
      <c r="Q224" s="298">
        <v>0</v>
      </c>
      <c r="R224" s="298">
        <f>Q224*I224</f>
        <v>0</v>
      </c>
      <c r="S224" s="298">
        <v>0</v>
      </c>
      <c r="T224" s="299">
        <f>S224*I224</f>
        <v>0</v>
      </c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R224" s="247" t="s">
        <v>212</v>
      </c>
      <c r="AT224" s="247" t="s">
        <v>208</v>
      </c>
      <c r="AU224" s="247" t="s">
        <v>92</v>
      </c>
      <c r="AY224" s="120" t="s">
        <v>206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20" t="s">
        <v>18</v>
      </c>
      <c r="BK224" s="248">
        <f>ROUND(H224*I224,2)</f>
        <v>0</v>
      </c>
      <c r="BL224" s="120" t="s">
        <v>212</v>
      </c>
      <c r="BM224" s="247" t="s">
        <v>714</v>
      </c>
    </row>
    <row r="225" spans="2:51" s="249" customFormat="1" ht="12">
      <c r="B225" s="250"/>
      <c r="C225" s="254"/>
      <c r="D225" s="251" t="s">
        <v>214</v>
      </c>
      <c r="E225" s="252" t="s">
        <v>715</v>
      </c>
      <c r="F225" s="253" t="s">
        <v>716</v>
      </c>
      <c r="G225" s="254"/>
      <c r="H225" s="312"/>
      <c r="I225" s="255">
        <v>6.14</v>
      </c>
      <c r="J225" s="254"/>
      <c r="K225" s="254"/>
      <c r="L225" s="250"/>
      <c r="M225" s="293"/>
      <c r="N225" s="294"/>
      <c r="O225" s="294"/>
      <c r="P225" s="294"/>
      <c r="Q225" s="294"/>
      <c r="R225" s="294"/>
      <c r="S225" s="294"/>
      <c r="T225" s="295"/>
      <c r="AT225" s="260" t="s">
        <v>214</v>
      </c>
      <c r="AU225" s="260" t="s">
        <v>92</v>
      </c>
      <c r="AV225" s="249" t="s">
        <v>92</v>
      </c>
      <c r="AW225" s="249" t="s">
        <v>39</v>
      </c>
      <c r="AX225" s="249" t="s">
        <v>18</v>
      </c>
      <c r="AY225" s="260" t="s">
        <v>206</v>
      </c>
    </row>
    <row r="226" spans="2:63" s="218" customFormat="1" ht="22.9" customHeight="1">
      <c r="B226" s="219"/>
      <c r="C226" s="223"/>
      <c r="D226" s="221" t="s">
        <v>81</v>
      </c>
      <c r="E226" s="233" t="s">
        <v>241</v>
      </c>
      <c r="F226" s="233" t="s">
        <v>357</v>
      </c>
      <c r="G226" s="223"/>
      <c r="H226" s="315"/>
      <c r="I226" s="223"/>
      <c r="J226" s="234">
        <f>J227</f>
        <v>0</v>
      </c>
      <c r="K226" s="223"/>
      <c r="L226" s="219"/>
      <c r="M226" s="330"/>
      <c r="N226" s="331"/>
      <c r="O226" s="331"/>
      <c r="P226" s="332">
        <f>SUM(P227:P228)</f>
        <v>3.660036</v>
      </c>
      <c r="Q226" s="331"/>
      <c r="R226" s="332">
        <f>SUM(R227:R228)</f>
        <v>0</v>
      </c>
      <c r="S226" s="331"/>
      <c r="T226" s="333">
        <f>SUM(T227:T228)</f>
        <v>0</v>
      </c>
      <c r="AR226" s="230" t="s">
        <v>18</v>
      </c>
      <c r="AT226" s="231" t="s">
        <v>81</v>
      </c>
      <c r="AU226" s="231" t="s">
        <v>18</v>
      </c>
      <c r="AY226" s="230" t="s">
        <v>206</v>
      </c>
      <c r="BK226" s="232">
        <f>SUM(BK227:BK228)</f>
        <v>0</v>
      </c>
    </row>
    <row r="227" spans="1:65" s="136" customFormat="1" ht="25.5" customHeight="1">
      <c r="A227" s="131"/>
      <c r="B227" s="132"/>
      <c r="C227" s="236">
        <f>C224+1</f>
        <v>28</v>
      </c>
      <c r="D227" s="236" t="s">
        <v>208</v>
      </c>
      <c r="E227" s="237" t="s">
        <v>361</v>
      </c>
      <c r="F227" s="238" t="s">
        <v>878</v>
      </c>
      <c r="G227" s="239" t="s">
        <v>211</v>
      </c>
      <c r="H227" s="72"/>
      <c r="I227" s="241">
        <f>I228</f>
        <v>159.132</v>
      </c>
      <c r="J227" s="240">
        <f>ROUND($H227*I227,2)</f>
        <v>0</v>
      </c>
      <c r="K227" s="242"/>
      <c r="L227" s="132"/>
      <c r="M227" s="296" t="s">
        <v>1</v>
      </c>
      <c r="N227" s="297" t="s">
        <v>47</v>
      </c>
      <c r="O227" s="298">
        <v>0.023</v>
      </c>
      <c r="P227" s="298">
        <f>O227*I227</f>
        <v>3.660036</v>
      </c>
      <c r="Q227" s="298">
        <v>0</v>
      </c>
      <c r="R227" s="298">
        <f>Q227*I227</f>
        <v>0</v>
      </c>
      <c r="S227" s="298">
        <v>0</v>
      </c>
      <c r="T227" s="299">
        <f>S227*I227</f>
        <v>0</v>
      </c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R227" s="247" t="s">
        <v>212</v>
      </c>
      <c r="AT227" s="247" t="s">
        <v>208</v>
      </c>
      <c r="AU227" s="247" t="s">
        <v>92</v>
      </c>
      <c r="AY227" s="120" t="s">
        <v>206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20" t="s">
        <v>18</v>
      </c>
      <c r="BK227" s="248">
        <f>ROUND(H227*I227,2)</f>
        <v>0</v>
      </c>
      <c r="BL227" s="120" t="s">
        <v>212</v>
      </c>
      <c r="BM227" s="247" t="s">
        <v>717</v>
      </c>
    </row>
    <row r="228" spans="2:51" s="249" customFormat="1" ht="22.5">
      <c r="B228" s="250"/>
      <c r="C228" s="254"/>
      <c r="D228" s="251" t="s">
        <v>214</v>
      </c>
      <c r="E228" s="252" t="s">
        <v>1</v>
      </c>
      <c r="F228" s="253" t="s">
        <v>853</v>
      </c>
      <c r="G228" s="254"/>
      <c r="H228" s="312"/>
      <c r="I228" s="255">
        <f>I150</f>
        <v>159.132</v>
      </c>
      <c r="J228" s="254"/>
      <c r="K228" s="254"/>
      <c r="L228" s="250"/>
      <c r="M228" s="293"/>
      <c r="N228" s="294"/>
      <c r="O228" s="294"/>
      <c r="P228" s="294"/>
      <c r="Q228" s="294"/>
      <c r="R228" s="294"/>
      <c r="S228" s="294"/>
      <c r="T228" s="295"/>
      <c r="AT228" s="260" t="s">
        <v>214</v>
      </c>
      <c r="AU228" s="260" t="s">
        <v>92</v>
      </c>
      <c r="AV228" s="249" t="s">
        <v>92</v>
      </c>
      <c r="AW228" s="249" t="s">
        <v>39</v>
      </c>
      <c r="AX228" s="249" t="s">
        <v>18</v>
      </c>
      <c r="AY228" s="260" t="s">
        <v>206</v>
      </c>
    </row>
    <row r="229" spans="2:63" s="218" customFormat="1" ht="22.9" customHeight="1">
      <c r="B229" s="219"/>
      <c r="C229" s="223"/>
      <c r="D229" s="221" t="s">
        <v>81</v>
      </c>
      <c r="E229" s="233" t="s">
        <v>256</v>
      </c>
      <c r="F229" s="233" t="s">
        <v>367</v>
      </c>
      <c r="G229" s="223"/>
      <c r="H229" s="315"/>
      <c r="I229" s="223"/>
      <c r="J229" s="234">
        <f>SUM(J230:J285)</f>
        <v>0</v>
      </c>
      <c r="K229" s="223"/>
      <c r="L229" s="219"/>
      <c r="M229" s="330"/>
      <c r="N229" s="331"/>
      <c r="O229" s="331"/>
      <c r="P229" s="332">
        <f>SUM(P230:P285)</f>
        <v>112.56954300000002</v>
      </c>
      <c r="Q229" s="331"/>
      <c r="R229" s="332">
        <f>SUM(R230:R285)</f>
        <v>19.320345599999996</v>
      </c>
      <c r="S229" s="331"/>
      <c r="T229" s="333">
        <f>SUM(T230:T285)</f>
        <v>1.3499999999999999</v>
      </c>
      <c r="AR229" s="230" t="s">
        <v>18</v>
      </c>
      <c r="AT229" s="231" t="s">
        <v>81</v>
      </c>
      <c r="AU229" s="231" t="s">
        <v>18</v>
      </c>
      <c r="AY229" s="230" t="s">
        <v>206</v>
      </c>
      <c r="BK229" s="232">
        <f>SUM(BK230:BK285)</f>
        <v>0</v>
      </c>
    </row>
    <row r="230" spans="1:65" s="136" customFormat="1" ht="21.75" customHeight="1">
      <c r="A230" s="131"/>
      <c r="B230" s="132"/>
      <c r="C230" s="236">
        <f>C227+1</f>
        <v>29</v>
      </c>
      <c r="D230" s="236" t="s">
        <v>208</v>
      </c>
      <c r="E230" s="237" t="s">
        <v>718</v>
      </c>
      <c r="F230" s="238" t="s">
        <v>719</v>
      </c>
      <c r="G230" s="239" t="s">
        <v>238</v>
      </c>
      <c r="H230" s="72"/>
      <c r="I230" s="241">
        <v>3.88</v>
      </c>
      <c r="J230" s="240">
        <f>ROUND($H230*I230,2)</f>
        <v>0</v>
      </c>
      <c r="K230" s="242"/>
      <c r="L230" s="132"/>
      <c r="M230" s="296" t="s">
        <v>1</v>
      </c>
      <c r="N230" s="297" t="s">
        <v>47</v>
      </c>
      <c r="O230" s="298">
        <v>0.283</v>
      </c>
      <c r="P230" s="298">
        <f>O230*I230</f>
        <v>1.09804</v>
      </c>
      <c r="Q230" s="298">
        <v>3E-05</v>
      </c>
      <c r="R230" s="298">
        <f>Q230*I230</f>
        <v>0.0001164</v>
      </c>
      <c r="S230" s="298">
        <v>0</v>
      </c>
      <c r="T230" s="299">
        <f>S230*I230</f>
        <v>0</v>
      </c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R230" s="247" t="s">
        <v>212</v>
      </c>
      <c r="AT230" s="247" t="s">
        <v>208</v>
      </c>
      <c r="AU230" s="247" t="s">
        <v>92</v>
      </c>
      <c r="AY230" s="120" t="s">
        <v>206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20" t="s">
        <v>18</v>
      </c>
      <c r="BK230" s="248">
        <f>ROUND(H230*I230,2)</f>
        <v>0</v>
      </c>
      <c r="BL230" s="120" t="s">
        <v>212</v>
      </c>
      <c r="BM230" s="247" t="s">
        <v>720</v>
      </c>
    </row>
    <row r="231" spans="2:51" s="249" customFormat="1" ht="12">
      <c r="B231" s="250"/>
      <c r="C231" s="254"/>
      <c r="D231" s="251" t="s">
        <v>214</v>
      </c>
      <c r="E231" s="252" t="s">
        <v>1</v>
      </c>
      <c r="F231" s="253" t="s">
        <v>721</v>
      </c>
      <c r="G231" s="254"/>
      <c r="H231" s="312"/>
      <c r="I231" s="255">
        <v>3.88</v>
      </c>
      <c r="J231" s="254"/>
      <c r="K231" s="254"/>
      <c r="L231" s="250"/>
      <c r="M231" s="293"/>
      <c r="N231" s="294"/>
      <c r="O231" s="294"/>
      <c r="P231" s="294"/>
      <c r="Q231" s="294"/>
      <c r="R231" s="294"/>
      <c r="S231" s="294"/>
      <c r="T231" s="295"/>
      <c r="AT231" s="260" t="s">
        <v>214</v>
      </c>
      <c r="AU231" s="260" t="s">
        <v>92</v>
      </c>
      <c r="AV231" s="249" t="s">
        <v>92</v>
      </c>
      <c r="AW231" s="249" t="s">
        <v>39</v>
      </c>
      <c r="AX231" s="249" t="s">
        <v>18</v>
      </c>
      <c r="AY231" s="260" t="s">
        <v>206</v>
      </c>
    </row>
    <row r="232" spans="1:65" s="136" customFormat="1" ht="21.75" customHeight="1">
      <c r="A232" s="131"/>
      <c r="B232" s="132"/>
      <c r="C232" s="236">
        <f>C230+1</f>
        <v>30</v>
      </c>
      <c r="D232" s="284" t="s">
        <v>324</v>
      </c>
      <c r="E232" s="285" t="s">
        <v>722</v>
      </c>
      <c r="F232" s="286" t="s">
        <v>723</v>
      </c>
      <c r="G232" s="287" t="s">
        <v>238</v>
      </c>
      <c r="H232" s="73"/>
      <c r="I232" s="288">
        <v>3.88</v>
      </c>
      <c r="J232" s="240">
        <f>ROUND($H232*I232,2)</f>
        <v>0</v>
      </c>
      <c r="K232" s="289"/>
      <c r="L232" s="304"/>
      <c r="M232" s="305" t="s">
        <v>1</v>
      </c>
      <c r="N232" s="306" t="s">
        <v>47</v>
      </c>
      <c r="O232" s="298">
        <v>0</v>
      </c>
      <c r="P232" s="298">
        <f>O232*I232</f>
        <v>0</v>
      </c>
      <c r="Q232" s="298">
        <v>0.024</v>
      </c>
      <c r="R232" s="298">
        <f>Q232*I232</f>
        <v>0.09312</v>
      </c>
      <c r="S232" s="298">
        <v>0</v>
      </c>
      <c r="T232" s="299">
        <f>S232*I232</f>
        <v>0</v>
      </c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R232" s="247" t="s">
        <v>256</v>
      </c>
      <c r="AT232" s="247" t="s">
        <v>324</v>
      </c>
      <c r="AU232" s="247" t="s">
        <v>92</v>
      </c>
      <c r="AY232" s="120" t="s">
        <v>206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20" t="s">
        <v>18</v>
      </c>
      <c r="BK232" s="248">
        <f>ROUND(H232*I232,2)</f>
        <v>0</v>
      </c>
      <c r="BL232" s="120" t="s">
        <v>212</v>
      </c>
      <c r="BM232" s="247" t="s">
        <v>724</v>
      </c>
    </row>
    <row r="233" spans="2:51" s="249" customFormat="1" ht="12">
      <c r="B233" s="250"/>
      <c r="C233" s="254"/>
      <c r="D233" s="251" t="s">
        <v>214</v>
      </c>
      <c r="E233" s="252" t="s">
        <v>1</v>
      </c>
      <c r="F233" s="253" t="s">
        <v>613</v>
      </c>
      <c r="G233" s="254"/>
      <c r="H233" s="312"/>
      <c r="I233" s="255">
        <v>3.88</v>
      </c>
      <c r="J233" s="254"/>
      <c r="K233" s="254"/>
      <c r="L233" s="250"/>
      <c r="M233" s="293"/>
      <c r="N233" s="294"/>
      <c r="O233" s="294"/>
      <c r="P233" s="294"/>
      <c r="Q233" s="294"/>
      <c r="R233" s="294"/>
      <c r="S233" s="294"/>
      <c r="T233" s="295"/>
      <c r="AT233" s="260" t="s">
        <v>214</v>
      </c>
      <c r="AU233" s="260" t="s">
        <v>92</v>
      </c>
      <c r="AV233" s="249" t="s">
        <v>92</v>
      </c>
      <c r="AW233" s="249" t="s">
        <v>39</v>
      </c>
      <c r="AX233" s="249" t="s">
        <v>18</v>
      </c>
      <c r="AY233" s="260" t="s">
        <v>206</v>
      </c>
    </row>
    <row r="234" spans="1:65" s="136" customFormat="1" ht="21.75" customHeight="1">
      <c r="A234" s="131"/>
      <c r="B234" s="132"/>
      <c r="C234" s="236">
        <f>C232+1</f>
        <v>31</v>
      </c>
      <c r="D234" s="236" t="s">
        <v>208</v>
      </c>
      <c r="E234" s="237" t="s">
        <v>725</v>
      </c>
      <c r="F234" s="238" t="s">
        <v>726</v>
      </c>
      <c r="G234" s="239" t="s">
        <v>376</v>
      </c>
      <c r="H234" s="72"/>
      <c r="I234" s="241">
        <v>4</v>
      </c>
      <c r="J234" s="240">
        <f>ROUND($H234*I234,2)</f>
        <v>0</v>
      </c>
      <c r="K234" s="242"/>
      <c r="L234" s="132"/>
      <c r="M234" s="296" t="s">
        <v>1</v>
      </c>
      <c r="N234" s="297" t="s">
        <v>47</v>
      </c>
      <c r="O234" s="298">
        <v>0.037</v>
      </c>
      <c r="P234" s="298">
        <f>O234*I234</f>
        <v>0.148</v>
      </c>
      <c r="Q234" s="298">
        <v>0.00085</v>
      </c>
      <c r="R234" s="298">
        <f>Q234*I234</f>
        <v>0.0034</v>
      </c>
      <c r="S234" s="298">
        <v>0</v>
      </c>
      <c r="T234" s="299">
        <f>S234*I234</f>
        <v>0</v>
      </c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R234" s="247" t="s">
        <v>212</v>
      </c>
      <c r="AT234" s="247" t="s">
        <v>208</v>
      </c>
      <c r="AU234" s="247" t="s">
        <v>92</v>
      </c>
      <c r="AY234" s="120" t="s">
        <v>206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20" t="s">
        <v>18</v>
      </c>
      <c r="BK234" s="248">
        <f>ROUND(H234*I234,2)</f>
        <v>0</v>
      </c>
      <c r="BL234" s="120" t="s">
        <v>212</v>
      </c>
      <c r="BM234" s="247" t="s">
        <v>727</v>
      </c>
    </row>
    <row r="235" spans="2:51" s="249" customFormat="1" ht="12">
      <c r="B235" s="250"/>
      <c r="C235" s="254"/>
      <c r="D235" s="251" t="s">
        <v>214</v>
      </c>
      <c r="E235" s="252" t="s">
        <v>1</v>
      </c>
      <c r="F235" s="253" t="s">
        <v>728</v>
      </c>
      <c r="G235" s="254"/>
      <c r="H235" s="312"/>
      <c r="I235" s="255">
        <v>4</v>
      </c>
      <c r="J235" s="254"/>
      <c r="K235" s="254"/>
      <c r="L235" s="250"/>
      <c r="M235" s="293"/>
      <c r="N235" s="294"/>
      <c r="O235" s="294"/>
      <c r="P235" s="294"/>
      <c r="Q235" s="294"/>
      <c r="R235" s="294"/>
      <c r="S235" s="294"/>
      <c r="T235" s="295"/>
      <c r="AT235" s="260" t="s">
        <v>214</v>
      </c>
      <c r="AU235" s="260" t="s">
        <v>92</v>
      </c>
      <c r="AV235" s="249" t="s">
        <v>92</v>
      </c>
      <c r="AW235" s="249" t="s">
        <v>39</v>
      </c>
      <c r="AX235" s="249" t="s">
        <v>18</v>
      </c>
      <c r="AY235" s="260" t="s">
        <v>206</v>
      </c>
    </row>
    <row r="236" spans="1:65" s="136" customFormat="1" ht="21.75" customHeight="1">
      <c r="A236" s="131"/>
      <c r="B236" s="132"/>
      <c r="C236" s="236">
        <f>C234+1</f>
        <v>32</v>
      </c>
      <c r="D236" s="284" t="s">
        <v>324</v>
      </c>
      <c r="E236" s="285" t="s">
        <v>729</v>
      </c>
      <c r="F236" s="286" t="s">
        <v>730</v>
      </c>
      <c r="G236" s="287" t="s">
        <v>376</v>
      </c>
      <c r="H236" s="73"/>
      <c r="I236" s="288">
        <v>4</v>
      </c>
      <c r="J236" s="240">
        <f>ROUND($H236*I236,2)</f>
        <v>0</v>
      </c>
      <c r="K236" s="289"/>
      <c r="L236" s="304"/>
      <c r="M236" s="305" t="s">
        <v>1</v>
      </c>
      <c r="N236" s="306" t="s">
        <v>47</v>
      </c>
      <c r="O236" s="298">
        <v>0</v>
      </c>
      <c r="P236" s="298">
        <f>O236*I236</f>
        <v>0</v>
      </c>
      <c r="Q236" s="298">
        <v>0.00085</v>
      </c>
      <c r="R236" s="298">
        <f>Q236*I236</f>
        <v>0.0034</v>
      </c>
      <c r="S236" s="298">
        <v>0</v>
      </c>
      <c r="T236" s="299">
        <f>S236*I236</f>
        <v>0</v>
      </c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R236" s="247" t="s">
        <v>256</v>
      </c>
      <c r="AT236" s="247" t="s">
        <v>324</v>
      </c>
      <c r="AU236" s="247" t="s">
        <v>92</v>
      </c>
      <c r="AY236" s="120" t="s">
        <v>206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20" t="s">
        <v>18</v>
      </c>
      <c r="BK236" s="248">
        <f>ROUND(H236*I236,2)</f>
        <v>0</v>
      </c>
      <c r="BL236" s="120" t="s">
        <v>212</v>
      </c>
      <c r="BM236" s="247" t="s">
        <v>731</v>
      </c>
    </row>
    <row r="237" spans="1:65" s="136" customFormat="1" ht="21.75" customHeight="1">
      <c r="A237" s="131"/>
      <c r="B237" s="132"/>
      <c r="C237" s="343">
        <f>C236+1</f>
        <v>33</v>
      </c>
      <c r="D237" s="284" t="s">
        <v>324</v>
      </c>
      <c r="E237" s="285" t="s">
        <v>732</v>
      </c>
      <c r="F237" s="286" t="s">
        <v>733</v>
      </c>
      <c r="G237" s="287" t="s">
        <v>376</v>
      </c>
      <c r="H237" s="73"/>
      <c r="I237" s="288">
        <v>8</v>
      </c>
      <c r="J237" s="240">
        <f>ROUND($H237*I237,2)</f>
        <v>0</v>
      </c>
      <c r="K237" s="289"/>
      <c r="L237" s="304"/>
      <c r="M237" s="305" t="s">
        <v>1</v>
      </c>
      <c r="N237" s="306" t="s">
        <v>47</v>
      </c>
      <c r="O237" s="298">
        <v>0</v>
      </c>
      <c r="P237" s="298">
        <f>O237*I237</f>
        <v>0</v>
      </c>
      <c r="Q237" s="298">
        <v>0.0004</v>
      </c>
      <c r="R237" s="298">
        <f>Q237*I237</f>
        <v>0.0032</v>
      </c>
      <c r="S237" s="298">
        <v>0</v>
      </c>
      <c r="T237" s="299">
        <f>S237*I237</f>
        <v>0</v>
      </c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R237" s="247" t="s">
        <v>256</v>
      </c>
      <c r="AT237" s="247" t="s">
        <v>324</v>
      </c>
      <c r="AU237" s="247" t="s">
        <v>92</v>
      </c>
      <c r="AY237" s="120" t="s">
        <v>206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20" t="s">
        <v>18</v>
      </c>
      <c r="BK237" s="248">
        <f>ROUND(H237*I237,2)</f>
        <v>0</v>
      </c>
      <c r="BL237" s="120" t="s">
        <v>212</v>
      </c>
      <c r="BM237" s="247" t="s">
        <v>734</v>
      </c>
    </row>
    <row r="238" spans="2:51" s="249" customFormat="1" ht="12">
      <c r="B238" s="250"/>
      <c r="C238" s="254"/>
      <c r="D238" s="251" t="s">
        <v>214</v>
      </c>
      <c r="E238" s="252" t="s">
        <v>1</v>
      </c>
      <c r="F238" s="253" t="s">
        <v>735</v>
      </c>
      <c r="G238" s="254"/>
      <c r="H238" s="312"/>
      <c r="I238" s="255">
        <v>8</v>
      </c>
      <c r="J238" s="254"/>
      <c r="K238" s="254"/>
      <c r="L238" s="250"/>
      <c r="M238" s="293"/>
      <c r="N238" s="294"/>
      <c r="O238" s="294"/>
      <c r="P238" s="294"/>
      <c r="Q238" s="294"/>
      <c r="R238" s="294"/>
      <c r="S238" s="294"/>
      <c r="T238" s="295"/>
      <c r="AT238" s="260" t="s">
        <v>214</v>
      </c>
      <c r="AU238" s="260" t="s">
        <v>92</v>
      </c>
      <c r="AV238" s="249" t="s">
        <v>92</v>
      </c>
      <c r="AW238" s="249" t="s">
        <v>39</v>
      </c>
      <c r="AX238" s="249" t="s">
        <v>18</v>
      </c>
      <c r="AY238" s="260" t="s">
        <v>206</v>
      </c>
    </row>
    <row r="239" spans="1:65" s="136" customFormat="1" ht="21.75" customHeight="1">
      <c r="A239" s="131"/>
      <c r="B239" s="132"/>
      <c r="C239" s="236">
        <f>C237+1</f>
        <v>34</v>
      </c>
      <c r="D239" s="236" t="s">
        <v>208</v>
      </c>
      <c r="E239" s="237" t="s">
        <v>736</v>
      </c>
      <c r="F239" s="238" t="s">
        <v>737</v>
      </c>
      <c r="G239" s="239" t="s">
        <v>238</v>
      </c>
      <c r="H239" s="72"/>
      <c r="I239" s="241">
        <v>20.7</v>
      </c>
      <c r="J239" s="240">
        <f>ROUND($H239*I239,2)</f>
        <v>0</v>
      </c>
      <c r="K239" s="242"/>
      <c r="L239" s="132"/>
      <c r="M239" s="296" t="s">
        <v>1</v>
      </c>
      <c r="N239" s="297" t="s">
        <v>47</v>
      </c>
      <c r="O239" s="298">
        <v>0.76</v>
      </c>
      <c r="P239" s="298">
        <f>O239*I239</f>
        <v>15.732</v>
      </c>
      <c r="Q239" s="298">
        <v>0.00011</v>
      </c>
      <c r="R239" s="298">
        <f>Q239*I239</f>
        <v>0.002277</v>
      </c>
      <c r="S239" s="298">
        <v>0</v>
      </c>
      <c r="T239" s="299">
        <f>S239*I239</f>
        <v>0</v>
      </c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R239" s="247" t="s">
        <v>212</v>
      </c>
      <c r="AT239" s="247" t="s">
        <v>208</v>
      </c>
      <c r="AU239" s="247" t="s">
        <v>92</v>
      </c>
      <c r="AY239" s="120" t="s">
        <v>206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20" t="s">
        <v>18</v>
      </c>
      <c r="BK239" s="248">
        <f>ROUND(H239*I239,2)</f>
        <v>0</v>
      </c>
      <c r="BL239" s="120" t="s">
        <v>212</v>
      </c>
      <c r="BM239" s="247" t="s">
        <v>738</v>
      </c>
    </row>
    <row r="240" spans="2:51" s="249" customFormat="1" ht="12">
      <c r="B240" s="250"/>
      <c r="C240" s="254"/>
      <c r="D240" s="251" t="s">
        <v>214</v>
      </c>
      <c r="E240" s="252" t="s">
        <v>1</v>
      </c>
      <c r="F240" s="253" t="s">
        <v>615</v>
      </c>
      <c r="G240" s="254"/>
      <c r="H240" s="312"/>
      <c r="I240" s="255">
        <v>20.7</v>
      </c>
      <c r="J240" s="254"/>
      <c r="K240" s="254"/>
      <c r="L240" s="250"/>
      <c r="M240" s="293"/>
      <c r="N240" s="294"/>
      <c r="O240" s="294"/>
      <c r="P240" s="294"/>
      <c r="Q240" s="294"/>
      <c r="R240" s="294"/>
      <c r="S240" s="294"/>
      <c r="T240" s="295"/>
      <c r="AT240" s="260" t="s">
        <v>214</v>
      </c>
      <c r="AU240" s="260" t="s">
        <v>92</v>
      </c>
      <c r="AV240" s="249" t="s">
        <v>92</v>
      </c>
      <c r="AW240" s="249" t="s">
        <v>39</v>
      </c>
      <c r="AX240" s="249" t="s">
        <v>18</v>
      </c>
      <c r="AY240" s="260" t="s">
        <v>206</v>
      </c>
    </row>
    <row r="241" spans="1:65" s="136" customFormat="1" ht="21.75" customHeight="1">
      <c r="A241" s="131"/>
      <c r="B241" s="132"/>
      <c r="C241" s="236">
        <f>C239+1</f>
        <v>35</v>
      </c>
      <c r="D241" s="284" t="s">
        <v>324</v>
      </c>
      <c r="E241" s="285" t="s">
        <v>739</v>
      </c>
      <c r="F241" s="286" t="s">
        <v>740</v>
      </c>
      <c r="G241" s="287" t="s">
        <v>238</v>
      </c>
      <c r="H241" s="73"/>
      <c r="I241" s="288">
        <v>20.7</v>
      </c>
      <c r="J241" s="240">
        <f>ROUND($H241*I241,2)</f>
        <v>0</v>
      </c>
      <c r="K241" s="289"/>
      <c r="L241" s="304"/>
      <c r="M241" s="305" t="s">
        <v>1</v>
      </c>
      <c r="N241" s="306" t="s">
        <v>47</v>
      </c>
      <c r="O241" s="298">
        <v>0</v>
      </c>
      <c r="P241" s="298">
        <f>O241*I241</f>
        <v>0</v>
      </c>
      <c r="Q241" s="298">
        <v>0.152</v>
      </c>
      <c r="R241" s="298">
        <f>Q241*I241</f>
        <v>3.1464</v>
      </c>
      <c r="S241" s="298">
        <v>0</v>
      </c>
      <c r="T241" s="299">
        <f>S241*I241</f>
        <v>0</v>
      </c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R241" s="247" t="s">
        <v>256</v>
      </c>
      <c r="AT241" s="247" t="s">
        <v>324</v>
      </c>
      <c r="AU241" s="247" t="s">
        <v>92</v>
      </c>
      <c r="AY241" s="120" t="s">
        <v>206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20" t="s">
        <v>18</v>
      </c>
      <c r="BK241" s="248">
        <f>ROUND(H241*I241,2)</f>
        <v>0</v>
      </c>
      <c r="BL241" s="120" t="s">
        <v>212</v>
      </c>
      <c r="BM241" s="247" t="s">
        <v>741</v>
      </c>
    </row>
    <row r="242" spans="2:51" s="249" customFormat="1" ht="12">
      <c r="B242" s="250"/>
      <c r="C242" s="254"/>
      <c r="D242" s="251" t="s">
        <v>214</v>
      </c>
      <c r="E242" s="252" t="s">
        <v>1</v>
      </c>
      <c r="F242" s="253" t="s">
        <v>615</v>
      </c>
      <c r="G242" s="254"/>
      <c r="H242" s="312"/>
      <c r="I242" s="255">
        <v>20.7</v>
      </c>
      <c r="J242" s="254"/>
      <c r="K242" s="254"/>
      <c r="L242" s="250"/>
      <c r="M242" s="293"/>
      <c r="N242" s="294"/>
      <c r="O242" s="294"/>
      <c r="P242" s="294"/>
      <c r="Q242" s="294"/>
      <c r="R242" s="294"/>
      <c r="S242" s="294"/>
      <c r="T242" s="295"/>
      <c r="AT242" s="260" t="s">
        <v>214</v>
      </c>
      <c r="AU242" s="260" t="s">
        <v>92</v>
      </c>
      <c r="AV242" s="249" t="s">
        <v>92</v>
      </c>
      <c r="AW242" s="249" t="s">
        <v>39</v>
      </c>
      <c r="AX242" s="249" t="s">
        <v>18</v>
      </c>
      <c r="AY242" s="260" t="s">
        <v>206</v>
      </c>
    </row>
    <row r="243" spans="1:65" s="136" customFormat="1" ht="16.5" customHeight="1">
      <c r="A243" s="131"/>
      <c r="B243" s="132"/>
      <c r="C243" s="236">
        <f>C241+1</f>
        <v>36</v>
      </c>
      <c r="D243" s="284" t="s">
        <v>324</v>
      </c>
      <c r="E243" s="285" t="s">
        <v>742</v>
      </c>
      <c r="F243" s="286" t="s">
        <v>743</v>
      </c>
      <c r="G243" s="287" t="s">
        <v>376</v>
      </c>
      <c r="H243" s="73"/>
      <c r="I243" s="288">
        <v>3</v>
      </c>
      <c r="J243" s="240">
        <f>ROUND($H243*I243,2)</f>
        <v>0</v>
      </c>
      <c r="K243" s="289"/>
      <c r="L243" s="304"/>
      <c r="M243" s="305" t="s">
        <v>1</v>
      </c>
      <c r="N243" s="306" t="s">
        <v>47</v>
      </c>
      <c r="O243" s="298">
        <v>0</v>
      </c>
      <c r="P243" s="298">
        <f>O243*I243</f>
        <v>0</v>
      </c>
      <c r="Q243" s="298">
        <v>0.0008</v>
      </c>
      <c r="R243" s="298">
        <f>Q243*I243</f>
        <v>0.0024000000000000002</v>
      </c>
      <c r="S243" s="298">
        <v>0</v>
      </c>
      <c r="T243" s="299">
        <f>S243*I243</f>
        <v>0</v>
      </c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R243" s="247" t="s">
        <v>256</v>
      </c>
      <c r="AT243" s="247" t="s">
        <v>324</v>
      </c>
      <c r="AU243" s="247" t="s">
        <v>92</v>
      </c>
      <c r="AY243" s="120" t="s">
        <v>206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20" t="s">
        <v>18</v>
      </c>
      <c r="BK243" s="248">
        <f>ROUND(H243*I243,2)</f>
        <v>0</v>
      </c>
      <c r="BL243" s="120" t="s">
        <v>212</v>
      </c>
      <c r="BM243" s="247" t="s">
        <v>744</v>
      </c>
    </row>
    <row r="244" spans="2:51" s="249" customFormat="1" ht="12">
      <c r="B244" s="250"/>
      <c r="C244" s="254"/>
      <c r="D244" s="251" t="s">
        <v>214</v>
      </c>
      <c r="E244" s="252" t="s">
        <v>1</v>
      </c>
      <c r="F244" s="253" t="s">
        <v>745</v>
      </c>
      <c r="G244" s="254"/>
      <c r="H244" s="312"/>
      <c r="I244" s="255">
        <v>3</v>
      </c>
      <c r="J244" s="254"/>
      <c r="K244" s="254"/>
      <c r="L244" s="250"/>
      <c r="M244" s="293"/>
      <c r="N244" s="294"/>
      <c r="O244" s="294"/>
      <c r="P244" s="294"/>
      <c r="Q244" s="294"/>
      <c r="R244" s="294"/>
      <c r="S244" s="294"/>
      <c r="T244" s="295"/>
      <c r="AT244" s="260" t="s">
        <v>214</v>
      </c>
      <c r="AU244" s="260" t="s">
        <v>92</v>
      </c>
      <c r="AV244" s="249" t="s">
        <v>92</v>
      </c>
      <c r="AW244" s="249" t="s">
        <v>39</v>
      </c>
      <c r="AX244" s="249" t="s">
        <v>18</v>
      </c>
      <c r="AY244" s="260" t="s">
        <v>206</v>
      </c>
    </row>
    <row r="245" spans="1:65" s="136" customFormat="1" ht="21.75" customHeight="1">
      <c r="A245" s="131"/>
      <c r="B245" s="132"/>
      <c r="C245" s="236">
        <f>C243+1</f>
        <v>37</v>
      </c>
      <c r="D245" s="236" t="s">
        <v>208</v>
      </c>
      <c r="E245" s="237" t="s">
        <v>746</v>
      </c>
      <c r="F245" s="238" t="s">
        <v>747</v>
      </c>
      <c r="G245" s="239" t="s">
        <v>376</v>
      </c>
      <c r="H245" s="72"/>
      <c r="I245" s="241">
        <v>3</v>
      </c>
      <c r="J245" s="240">
        <f>ROUND($H245*I245,2)</f>
        <v>0</v>
      </c>
      <c r="K245" s="242"/>
      <c r="L245" s="132"/>
      <c r="M245" s="296" t="s">
        <v>1</v>
      </c>
      <c r="N245" s="297" t="s">
        <v>47</v>
      </c>
      <c r="O245" s="298">
        <v>0.064</v>
      </c>
      <c r="P245" s="298">
        <f>O245*I245</f>
        <v>0.192</v>
      </c>
      <c r="Q245" s="298">
        <v>0.002</v>
      </c>
      <c r="R245" s="298">
        <f>Q245*I245</f>
        <v>0.006</v>
      </c>
      <c r="S245" s="298">
        <v>0</v>
      </c>
      <c r="T245" s="299">
        <f>S245*I245</f>
        <v>0</v>
      </c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R245" s="247" t="s">
        <v>212</v>
      </c>
      <c r="AT245" s="247" t="s">
        <v>208</v>
      </c>
      <c r="AU245" s="247" t="s">
        <v>92</v>
      </c>
      <c r="AY245" s="120" t="s">
        <v>206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20" t="s">
        <v>18</v>
      </c>
      <c r="BK245" s="248">
        <f>ROUND(H245*I245,2)</f>
        <v>0</v>
      </c>
      <c r="BL245" s="120" t="s">
        <v>212</v>
      </c>
      <c r="BM245" s="247" t="s">
        <v>748</v>
      </c>
    </row>
    <row r="246" spans="2:51" s="249" customFormat="1" ht="12">
      <c r="B246" s="250"/>
      <c r="C246" s="254"/>
      <c r="D246" s="251" t="s">
        <v>214</v>
      </c>
      <c r="E246" s="252" t="s">
        <v>1</v>
      </c>
      <c r="F246" s="253" t="s">
        <v>749</v>
      </c>
      <c r="G246" s="254"/>
      <c r="H246" s="312"/>
      <c r="I246" s="255">
        <v>3</v>
      </c>
      <c r="J246" s="254"/>
      <c r="K246" s="254"/>
      <c r="L246" s="250"/>
      <c r="M246" s="293"/>
      <c r="N246" s="294"/>
      <c r="O246" s="294"/>
      <c r="P246" s="294"/>
      <c r="Q246" s="294"/>
      <c r="R246" s="294"/>
      <c r="S246" s="294"/>
      <c r="T246" s="295"/>
      <c r="AT246" s="260" t="s">
        <v>214</v>
      </c>
      <c r="AU246" s="260" t="s">
        <v>92</v>
      </c>
      <c r="AV246" s="249" t="s">
        <v>92</v>
      </c>
      <c r="AW246" s="249" t="s">
        <v>39</v>
      </c>
      <c r="AX246" s="249" t="s">
        <v>18</v>
      </c>
      <c r="AY246" s="260" t="s">
        <v>206</v>
      </c>
    </row>
    <row r="247" spans="1:65" s="136" customFormat="1" ht="26.25" customHeight="1">
      <c r="A247" s="131"/>
      <c r="B247" s="132"/>
      <c r="C247" s="236">
        <f>C245+1</f>
        <v>38</v>
      </c>
      <c r="D247" s="284" t="s">
        <v>324</v>
      </c>
      <c r="E247" s="285" t="s">
        <v>750</v>
      </c>
      <c r="F247" s="286" t="s">
        <v>751</v>
      </c>
      <c r="G247" s="287" t="s">
        <v>376</v>
      </c>
      <c r="H247" s="73"/>
      <c r="I247" s="288">
        <v>3</v>
      </c>
      <c r="J247" s="240">
        <f>ROUND($H247*I247,2)</f>
        <v>0</v>
      </c>
      <c r="K247" s="289"/>
      <c r="L247" s="304"/>
      <c r="M247" s="305" t="s">
        <v>1</v>
      </c>
      <c r="N247" s="306" t="s">
        <v>47</v>
      </c>
      <c r="O247" s="298">
        <v>0</v>
      </c>
      <c r="P247" s="298">
        <f>O247*I247</f>
        <v>0</v>
      </c>
      <c r="Q247" s="298">
        <v>0.0018</v>
      </c>
      <c r="R247" s="298">
        <f>Q247*I247</f>
        <v>0.0054</v>
      </c>
      <c r="S247" s="298">
        <v>0</v>
      </c>
      <c r="T247" s="299">
        <f>S247*I247</f>
        <v>0</v>
      </c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R247" s="247" t="s">
        <v>256</v>
      </c>
      <c r="AT247" s="247" t="s">
        <v>324</v>
      </c>
      <c r="AU247" s="247" t="s">
        <v>92</v>
      </c>
      <c r="AY247" s="120" t="s">
        <v>206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120" t="s">
        <v>18</v>
      </c>
      <c r="BK247" s="248">
        <f>ROUND(H247*I247,2)</f>
        <v>0</v>
      </c>
      <c r="BL247" s="120" t="s">
        <v>212</v>
      </c>
      <c r="BM247" s="247" t="s">
        <v>752</v>
      </c>
    </row>
    <row r="248" spans="2:51" s="249" customFormat="1" ht="12">
      <c r="B248" s="250"/>
      <c r="C248" s="254"/>
      <c r="D248" s="251" t="s">
        <v>214</v>
      </c>
      <c r="E248" s="252" t="s">
        <v>1</v>
      </c>
      <c r="F248" s="253" t="s">
        <v>749</v>
      </c>
      <c r="G248" s="254"/>
      <c r="H248" s="312"/>
      <c r="I248" s="255">
        <v>3</v>
      </c>
      <c r="J248" s="254"/>
      <c r="K248" s="254"/>
      <c r="L248" s="250"/>
      <c r="M248" s="293"/>
      <c r="N248" s="294"/>
      <c r="O248" s="294"/>
      <c r="P248" s="294"/>
      <c r="Q248" s="294"/>
      <c r="R248" s="294"/>
      <c r="S248" s="294"/>
      <c r="T248" s="295"/>
      <c r="AT248" s="260" t="s">
        <v>214</v>
      </c>
      <c r="AU248" s="260" t="s">
        <v>92</v>
      </c>
      <c r="AV248" s="249" t="s">
        <v>92</v>
      </c>
      <c r="AW248" s="249" t="s">
        <v>39</v>
      </c>
      <c r="AX248" s="249" t="s">
        <v>18</v>
      </c>
      <c r="AY248" s="260" t="s">
        <v>206</v>
      </c>
    </row>
    <row r="249" spans="1:65" s="136" customFormat="1" ht="21.75" customHeight="1">
      <c r="A249" s="131"/>
      <c r="B249" s="132"/>
      <c r="C249" s="236">
        <f>C247+1</f>
        <v>39</v>
      </c>
      <c r="D249" s="284" t="s">
        <v>324</v>
      </c>
      <c r="E249" s="285" t="s">
        <v>753</v>
      </c>
      <c r="F249" s="286" t="s">
        <v>754</v>
      </c>
      <c r="G249" s="287" t="s">
        <v>376</v>
      </c>
      <c r="H249" s="73"/>
      <c r="I249" s="288">
        <v>6</v>
      </c>
      <c r="J249" s="240">
        <f>ROUND($H249*I249,2)</f>
        <v>0</v>
      </c>
      <c r="K249" s="289"/>
      <c r="L249" s="304"/>
      <c r="M249" s="305" t="s">
        <v>1</v>
      </c>
      <c r="N249" s="306" t="s">
        <v>47</v>
      </c>
      <c r="O249" s="298">
        <v>0</v>
      </c>
      <c r="P249" s="298">
        <f>O249*I249</f>
        <v>0</v>
      </c>
      <c r="Q249" s="298">
        <v>0.0008</v>
      </c>
      <c r="R249" s="298">
        <f>Q249*I249</f>
        <v>0.0048000000000000004</v>
      </c>
      <c r="S249" s="298">
        <v>0</v>
      </c>
      <c r="T249" s="299">
        <f>S249*I249</f>
        <v>0</v>
      </c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R249" s="247" t="s">
        <v>256</v>
      </c>
      <c r="AT249" s="247" t="s">
        <v>324</v>
      </c>
      <c r="AU249" s="247" t="s">
        <v>92</v>
      </c>
      <c r="AY249" s="120" t="s">
        <v>206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120" t="s">
        <v>18</v>
      </c>
      <c r="BK249" s="248">
        <f>ROUND(H249*I249,2)</f>
        <v>0</v>
      </c>
      <c r="BL249" s="120" t="s">
        <v>212</v>
      </c>
      <c r="BM249" s="247" t="s">
        <v>755</v>
      </c>
    </row>
    <row r="250" spans="2:51" s="249" customFormat="1" ht="12">
      <c r="B250" s="250"/>
      <c r="C250" s="254"/>
      <c r="D250" s="251" t="s">
        <v>214</v>
      </c>
      <c r="E250" s="252" t="s">
        <v>1</v>
      </c>
      <c r="F250" s="253" t="s">
        <v>756</v>
      </c>
      <c r="G250" s="254"/>
      <c r="H250" s="312"/>
      <c r="I250" s="255">
        <v>6</v>
      </c>
      <c r="J250" s="254"/>
      <c r="K250" s="254"/>
      <c r="L250" s="250"/>
      <c r="M250" s="293"/>
      <c r="N250" s="294"/>
      <c r="O250" s="294"/>
      <c r="P250" s="294"/>
      <c r="Q250" s="294"/>
      <c r="R250" s="294"/>
      <c r="S250" s="294"/>
      <c r="T250" s="295"/>
      <c r="AT250" s="260" t="s">
        <v>214</v>
      </c>
      <c r="AU250" s="260" t="s">
        <v>92</v>
      </c>
      <c r="AV250" s="249" t="s">
        <v>92</v>
      </c>
      <c r="AW250" s="249" t="s">
        <v>39</v>
      </c>
      <c r="AX250" s="249" t="s">
        <v>18</v>
      </c>
      <c r="AY250" s="260" t="s">
        <v>206</v>
      </c>
    </row>
    <row r="251" spans="1:65" s="136" customFormat="1" ht="21.75" customHeight="1">
      <c r="A251" s="131"/>
      <c r="B251" s="132"/>
      <c r="C251" s="236">
        <f>C249+1</f>
        <v>40</v>
      </c>
      <c r="D251" s="284" t="s">
        <v>324</v>
      </c>
      <c r="E251" s="285" t="s">
        <v>757</v>
      </c>
      <c r="F251" s="286" t="s">
        <v>758</v>
      </c>
      <c r="G251" s="287" t="s">
        <v>376</v>
      </c>
      <c r="H251" s="73"/>
      <c r="I251" s="288">
        <v>6</v>
      </c>
      <c r="J251" s="240">
        <f>ROUND($H251*I251,2)</f>
        <v>0</v>
      </c>
      <c r="K251" s="289"/>
      <c r="L251" s="304"/>
      <c r="M251" s="305" t="s">
        <v>1</v>
      </c>
      <c r="N251" s="306" t="s">
        <v>47</v>
      </c>
      <c r="O251" s="298">
        <v>0</v>
      </c>
      <c r="P251" s="298">
        <f>O251*I251</f>
        <v>0</v>
      </c>
      <c r="Q251" s="298">
        <v>0.01</v>
      </c>
      <c r="R251" s="298">
        <f>Q251*I251</f>
        <v>0.06</v>
      </c>
      <c r="S251" s="298">
        <v>0</v>
      </c>
      <c r="T251" s="299">
        <f>S251*I251</f>
        <v>0</v>
      </c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R251" s="247" t="s">
        <v>256</v>
      </c>
      <c r="AT251" s="247" t="s">
        <v>324</v>
      </c>
      <c r="AU251" s="247" t="s">
        <v>92</v>
      </c>
      <c r="AY251" s="120" t="s">
        <v>206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120" t="s">
        <v>18</v>
      </c>
      <c r="BK251" s="248">
        <f>ROUND(H251*I251,2)</f>
        <v>0</v>
      </c>
      <c r="BL251" s="120" t="s">
        <v>212</v>
      </c>
      <c r="BM251" s="247" t="s">
        <v>759</v>
      </c>
    </row>
    <row r="252" spans="2:51" s="249" customFormat="1" ht="12">
      <c r="B252" s="250"/>
      <c r="C252" s="254"/>
      <c r="D252" s="251" t="s">
        <v>214</v>
      </c>
      <c r="E252" s="252" t="s">
        <v>1</v>
      </c>
      <c r="F252" s="253" t="s">
        <v>538</v>
      </c>
      <c r="G252" s="254"/>
      <c r="H252" s="312"/>
      <c r="I252" s="255">
        <v>6</v>
      </c>
      <c r="J252" s="254"/>
      <c r="K252" s="254"/>
      <c r="L252" s="250"/>
      <c r="M252" s="293"/>
      <c r="N252" s="294"/>
      <c r="O252" s="294"/>
      <c r="P252" s="294"/>
      <c r="Q252" s="294"/>
      <c r="R252" s="294"/>
      <c r="S252" s="294"/>
      <c r="T252" s="295"/>
      <c r="AT252" s="260" t="s">
        <v>214</v>
      </c>
      <c r="AU252" s="260" t="s">
        <v>92</v>
      </c>
      <c r="AV252" s="249" t="s">
        <v>92</v>
      </c>
      <c r="AW252" s="249" t="s">
        <v>39</v>
      </c>
      <c r="AX252" s="249" t="s">
        <v>18</v>
      </c>
      <c r="AY252" s="260" t="s">
        <v>206</v>
      </c>
    </row>
    <row r="253" spans="1:65" s="136" customFormat="1" ht="21.75" customHeight="1">
      <c r="A253" s="131"/>
      <c r="B253" s="132"/>
      <c r="C253" s="236">
        <f>C251+1</f>
        <v>41</v>
      </c>
      <c r="D253" s="236" t="s">
        <v>208</v>
      </c>
      <c r="E253" s="237" t="s">
        <v>760</v>
      </c>
      <c r="F253" s="238" t="s">
        <v>761</v>
      </c>
      <c r="G253" s="239" t="s">
        <v>376</v>
      </c>
      <c r="H253" s="72"/>
      <c r="I253" s="241">
        <v>2</v>
      </c>
      <c r="J253" s="240">
        <f aca="true" t="shared" si="0" ref="J253:J257">ROUND($H253*I253,2)</f>
        <v>0</v>
      </c>
      <c r="K253" s="242"/>
      <c r="L253" s="132"/>
      <c r="M253" s="296" t="s">
        <v>1</v>
      </c>
      <c r="N253" s="297" t="s">
        <v>47</v>
      </c>
      <c r="O253" s="298">
        <v>1.006</v>
      </c>
      <c r="P253" s="298">
        <f>O253*I253</f>
        <v>2.012</v>
      </c>
      <c r="Q253" s="298">
        <v>9E-05</v>
      </c>
      <c r="R253" s="298">
        <f>Q253*I253</f>
        <v>0.00018</v>
      </c>
      <c r="S253" s="298">
        <v>0</v>
      </c>
      <c r="T253" s="299">
        <f>S253*I253</f>
        <v>0</v>
      </c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R253" s="247" t="s">
        <v>212</v>
      </c>
      <c r="AT253" s="247" t="s">
        <v>208</v>
      </c>
      <c r="AU253" s="247" t="s">
        <v>92</v>
      </c>
      <c r="AY253" s="120" t="s">
        <v>206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120" t="s">
        <v>18</v>
      </c>
      <c r="BK253" s="248">
        <f>ROUND(H253*I253,2)</f>
        <v>0</v>
      </c>
      <c r="BL253" s="120" t="s">
        <v>212</v>
      </c>
      <c r="BM253" s="247" t="s">
        <v>762</v>
      </c>
    </row>
    <row r="254" spans="1:65" s="136" customFormat="1" ht="21.75" customHeight="1">
      <c r="A254" s="131"/>
      <c r="B254" s="132"/>
      <c r="C254" s="343">
        <f aca="true" t="shared" si="1" ref="C254:C257">C253+1</f>
        <v>42</v>
      </c>
      <c r="D254" s="284" t="s">
        <v>324</v>
      </c>
      <c r="E254" s="285" t="s">
        <v>763</v>
      </c>
      <c r="F254" s="286" t="s">
        <v>764</v>
      </c>
      <c r="G254" s="287" t="s">
        <v>376</v>
      </c>
      <c r="H254" s="73"/>
      <c r="I254" s="288">
        <v>1</v>
      </c>
      <c r="J254" s="240">
        <f t="shared" si="0"/>
        <v>0</v>
      </c>
      <c r="K254" s="289"/>
      <c r="L254" s="304"/>
      <c r="M254" s="305" t="s">
        <v>1</v>
      </c>
      <c r="N254" s="306" t="s">
        <v>47</v>
      </c>
      <c r="O254" s="298">
        <v>0</v>
      </c>
      <c r="P254" s="298">
        <f>O254*I254</f>
        <v>0</v>
      </c>
      <c r="Q254" s="298">
        <v>0.056</v>
      </c>
      <c r="R254" s="298">
        <f>Q254*I254</f>
        <v>0.056</v>
      </c>
      <c r="S254" s="298">
        <v>0</v>
      </c>
      <c r="T254" s="299">
        <f>S254*I254</f>
        <v>0</v>
      </c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R254" s="247" t="s">
        <v>256</v>
      </c>
      <c r="AT254" s="247" t="s">
        <v>324</v>
      </c>
      <c r="AU254" s="247" t="s">
        <v>92</v>
      </c>
      <c r="AY254" s="120" t="s">
        <v>206</v>
      </c>
      <c r="BE254" s="248">
        <f>IF(N254="základní",J254,0)</f>
        <v>0</v>
      </c>
      <c r="BF254" s="248">
        <f>IF(N254="snížená",J254,0)</f>
        <v>0</v>
      </c>
      <c r="BG254" s="248">
        <f>IF(N254="zákl. přenesená",J254,0)</f>
        <v>0</v>
      </c>
      <c r="BH254" s="248">
        <f>IF(N254="sníž. přenesená",J254,0)</f>
        <v>0</v>
      </c>
      <c r="BI254" s="248">
        <f>IF(N254="nulová",J254,0)</f>
        <v>0</v>
      </c>
      <c r="BJ254" s="120" t="s">
        <v>18</v>
      </c>
      <c r="BK254" s="248">
        <f>ROUND(H254*I254,2)</f>
        <v>0</v>
      </c>
      <c r="BL254" s="120" t="s">
        <v>212</v>
      </c>
      <c r="BM254" s="247" t="s">
        <v>765</v>
      </c>
    </row>
    <row r="255" spans="1:65" s="136" customFormat="1" ht="21.75" customHeight="1">
      <c r="A255" s="131"/>
      <c r="B255" s="132"/>
      <c r="C255" s="343">
        <f t="shared" si="1"/>
        <v>43</v>
      </c>
      <c r="D255" s="284" t="s">
        <v>324</v>
      </c>
      <c r="E255" s="285" t="s">
        <v>766</v>
      </c>
      <c r="F255" s="286" t="s">
        <v>767</v>
      </c>
      <c r="G255" s="287" t="s">
        <v>376</v>
      </c>
      <c r="H255" s="73"/>
      <c r="I255" s="288">
        <v>1</v>
      </c>
      <c r="J255" s="240">
        <f t="shared" si="0"/>
        <v>0</v>
      </c>
      <c r="K255" s="289"/>
      <c r="L255" s="304"/>
      <c r="M255" s="305" t="s">
        <v>1</v>
      </c>
      <c r="N255" s="306" t="s">
        <v>47</v>
      </c>
      <c r="O255" s="298">
        <v>0</v>
      </c>
      <c r="P255" s="298">
        <f>O255*I255</f>
        <v>0</v>
      </c>
      <c r="Q255" s="298">
        <v>0.045</v>
      </c>
      <c r="R255" s="298">
        <f>Q255*I255</f>
        <v>0.045</v>
      </c>
      <c r="S255" s="298">
        <v>0</v>
      </c>
      <c r="T255" s="299">
        <f>S255*I255</f>
        <v>0</v>
      </c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R255" s="247" t="s">
        <v>256</v>
      </c>
      <c r="AT255" s="247" t="s">
        <v>324</v>
      </c>
      <c r="AU255" s="247" t="s">
        <v>92</v>
      </c>
      <c r="AY255" s="120" t="s">
        <v>206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120" t="s">
        <v>18</v>
      </c>
      <c r="BK255" s="248">
        <f>ROUND(H255*I255,2)</f>
        <v>0</v>
      </c>
      <c r="BL255" s="120" t="s">
        <v>212</v>
      </c>
      <c r="BM255" s="247" t="s">
        <v>768</v>
      </c>
    </row>
    <row r="256" spans="1:65" s="136" customFormat="1" ht="21.75" customHeight="1">
      <c r="A256" s="131"/>
      <c r="B256" s="132"/>
      <c r="C256" s="343">
        <f t="shared" si="1"/>
        <v>44</v>
      </c>
      <c r="D256" s="236" t="s">
        <v>208</v>
      </c>
      <c r="E256" s="237" t="s">
        <v>769</v>
      </c>
      <c r="F256" s="238" t="s">
        <v>770</v>
      </c>
      <c r="G256" s="239" t="s">
        <v>376</v>
      </c>
      <c r="H256" s="72"/>
      <c r="I256" s="241">
        <v>3</v>
      </c>
      <c r="J256" s="240">
        <f t="shared" si="0"/>
        <v>0</v>
      </c>
      <c r="K256" s="242"/>
      <c r="L256" s="132"/>
      <c r="M256" s="296" t="s">
        <v>1</v>
      </c>
      <c r="N256" s="297" t="s">
        <v>47</v>
      </c>
      <c r="O256" s="298">
        <v>1.169</v>
      </c>
      <c r="P256" s="298">
        <f>O256*I256</f>
        <v>3.507</v>
      </c>
      <c r="Q256" s="298">
        <v>0.0001</v>
      </c>
      <c r="R256" s="298">
        <f>Q256*I256</f>
        <v>0.00030000000000000003</v>
      </c>
      <c r="S256" s="298">
        <v>0</v>
      </c>
      <c r="T256" s="299">
        <f>S256*I256</f>
        <v>0</v>
      </c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R256" s="247" t="s">
        <v>212</v>
      </c>
      <c r="AT256" s="247" t="s">
        <v>208</v>
      </c>
      <c r="AU256" s="247" t="s">
        <v>92</v>
      </c>
      <c r="AY256" s="120" t="s">
        <v>206</v>
      </c>
      <c r="BE256" s="248">
        <f>IF(N256="základní",J256,0)</f>
        <v>0</v>
      </c>
      <c r="BF256" s="248">
        <f>IF(N256="snížená",J256,0)</f>
        <v>0</v>
      </c>
      <c r="BG256" s="248">
        <f>IF(N256="zákl. přenesená",J256,0)</f>
        <v>0</v>
      </c>
      <c r="BH256" s="248">
        <f>IF(N256="sníž. přenesená",J256,0)</f>
        <v>0</v>
      </c>
      <c r="BI256" s="248">
        <f>IF(N256="nulová",J256,0)</f>
        <v>0</v>
      </c>
      <c r="BJ256" s="120" t="s">
        <v>18</v>
      </c>
      <c r="BK256" s="248">
        <f>ROUND(H256*I256,2)</f>
        <v>0</v>
      </c>
      <c r="BL256" s="120" t="s">
        <v>212</v>
      </c>
      <c r="BM256" s="247" t="s">
        <v>771</v>
      </c>
    </row>
    <row r="257" spans="1:65" s="136" customFormat="1" ht="21.75" customHeight="1">
      <c r="A257" s="131"/>
      <c r="B257" s="132"/>
      <c r="C257" s="343">
        <f t="shared" si="1"/>
        <v>45</v>
      </c>
      <c r="D257" s="284" t="s">
        <v>324</v>
      </c>
      <c r="E257" s="285" t="s">
        <v>772</v>
      </c>
      <c r="F257" s="286" t="s">
        <v>773</v>
      </c>
      <c r="G257" s="287" t="s">
        <v>376</v>
      </c>
      <c r="H257" s="73"/>
      <c r="I257" s="288">
        <v>1</v>
      </c>
      <c r="J257" s="240">
        <f t="shared" si="0"/>
        <v>0</v>
      </c>
      <c r="K257" s="289"/>
      <c r="L257" s="304"/>
      <c r="M257" s="305" t="s">
        <v>1</v>
      </c>
      <c r="N257" s="306" t="s">
        <v>47</v>
      </c>
      <c r="O257" s="298">
        <v>0</v>
      </c>
      <c r="P257" s="298">
        <f>O257*I257</f>
        <v>0</v>
      </c>
      <c r="Q257" s="298">
        <v>0.115</v>
      </c>
      <c r="R257" s="298">
        <f>Q257*I257</f>
        <v>0.115</v>
      </c>
      <c r="S257" s="298">
        <v>0</v>
      </c>
      <c r="T257" s="299">
        <f>S257*I257</f>
        <v>0</v>
      </c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R257" s="247" t="s">
        <v>256</v>
      </c>
      <c r="AT257" s="247" t="s">
        <v>324</v>
      </c>
      <c r="AU257" s="247" t="s">
        <v>92</v>
      </c>
      <c r="AY257" s="120" t="s">
        <v>206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20" t="s">
        <v>18</v>
      </c>
      <c r="BK257" s="248">
        <f>ROUND(H257*I257,2)</f>
        <v>0</v>
      </c>
      <c r="BL257" s="120" t="s">
        <v>212</v>
      </c>
      <c r="BM257" s="247" t="s">
        <v>774</v>
      </c>
    </row>
    <row r="258" spans="2:51" s="249" customFormat="1" ht="12">
      <c r="B258" s="250"/>
      <c r="C258" s="254"/>
      <c r="D258" s="251" t="s">
        <v>214</v>
      </c>
      <c r="E258" s="252" t="s">
        <v>1</v>
      </c>
      <c r="F258" s="253" t="s">
        <v>18</v>
      </c>
      <c r="G258" s="254"/>
      <c r="H258" s="312"/>
      <c r="I258" s="255">
        <v>1</v>
      </c>
      <c r="J258" s="254"/>
      <c r="K258" s="254"/>
      <c r="L258" s="250"/>
      <c r="M258" s="293"/>
      <c r="N258" s="294"/>
      <c r="O258" s="294"/>
      <c r="P258" s="294"/>
      <c r="Q258" s="294"/>
      <c r="R258" s="294"/>
      <c r="S258" s="294"/>
      <c r="T258" s="295"/>
      <c r="AT258" s="260" t="s">
        <v>214</v>
      </c>
      <c r="AU258" s="260" t="s">
        <v>92</v>
      </c>
      <c r="AV258" s="249" t="s">
        <v>92</v>
      </c>
      <c r="AW258" s="249" t="s">
        <v>39</v>
      </c>
      <c r="AX258" s="249" t="s">
        <v>18</v>
      </c>
      <c r="AY258" s="260" t="s">
        <v>206</v>
      </c>
    </row>
    <row r="259" spans="1:65" s="136" customFormat="1" ht="21.75" customHeight="1">
      <c r="A259" s="131"/>
      <c r="B259" s="132"/>
      <c r="C259" s="236">
        <f>C257+1</f>
        <v>46</v>
      </c>
      <c r="D259" s="284" t="s">
        <v>324</v>
      </c>
      <c r="E259" s="285" t="s">
        <v>775</v>
      </c>
      <c r="F259" s="286" t="s">
        <v>776</v>
      </c>
      <c r="G259" s="287" t="s">
        <v>376</v>
      </c>
      <c r="H259" s="73"/>
      <c r="I259" s="288">
        <v>2</v>
      </c>
      <c r="J259" s="240">
        <f aca="true" t="shared" si="2" ref="J259:J261">ROUND($H259*I259,2)</f>
        <v>0</v>
      </c>
      <c r="K259" s="289"/>
      <c r="L259" s="304"/>
      <c r="M259" s="305" t="s">
        <v>1</v>
      </c>
      <c r="N259" s="306" t="s">
        <v>47</v>
      </c>
      <c r="O259" s="298">
        <v>0</v>
      </c>
      <c r="P259" s="298">
        <f>O259*I259</f>
        <v>0</v>
      </c>
      <c r="Q259" s="298">
        <v>0.095</v>
      </c>
      <c r="R259" s="298">
        <f>Q259*I259</f>
        <v>0.19</v>
      </c>
      <c r="S259" s="298">
        <v>0</v>
      </c>
      <c r="T259" s="299">
        <f>S259*I259</f>
        <v>0</v>
      </c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R259" s="247" t="s">
        <v>256</v>
      </c>
      <c r="AT259" s="247" t="s">
        <v>324</v>
      </c>
      <c r="AU259" s="247" t="s">
        <v>92</v>
      </c>
      <c r="AY259" s="120" t="s">
        <v>206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120" t="s">
        <v>18</v>
      </c>
      <c r="BK259" s="248">
        <f>ROUND(H259*I259,2)</f>
        <v>0</v>
      </c>
      <c r="BL259" s="120" t="s">
        <v>212</v>
      </c>
      <c r="BM259" s="247" t="s">
        <v>777</v>
      </c>
    </row>
    <row r="260" spans="1:65" s="136" customFormat="1" ht="21.75" customHeight="1">
      <c r="A260" s="131"/>
      <c r="B260" s="132"/>
      <c r="C260" s="343">
        <f aca="true" t="shared" si="3" ref="C260:C261">C259+1</f>
        <v>47</v>
      </c>
      <c r="D260" s="236" t="s">
        <v>208</v>
      </c>
      <c r="E260" s="237" t="s">
        <v>778</v>
      </c>
      <c r="F260" s="238" t="s">
        <v>779</v>
      </c>
      <c r="G260" s="239" t="s">
        <v>780</v>
      </c>
      <c r="H260" s="72"/>
      <c r="I260" s="241">
        <v>1</v>
      </c>
      <c r="J260" s="240">
        <f t="shared" si="2"/>
        <v>0</v>
      </c>
      <c r="K260" s="242"/>
      <c r="L260" s="132"/>
      <c r="M260" s="296" t="s">
        <v>1</v>
      </c>
      <c r="N260" s="297" t="s">
        <v>47</v>
      </c>
      <c r="O260" s="298">
        <v>1.872</v>
      </c>
      <c r="P260" s="298">
        <f>O260*I260</f>
        <v>1.872</v>
      </c>
      <c r="Q260" s="298">
        <v>0.00025</v>
      </c>
      <c r="R260" s="298">
        <f>Q260*I260</f>
        <v>0.00025</v>
      </c>
      <c r="S260" s="298">
        <v>0</v>
      </c>
      <c r="T260" s="299">
        <f>S260*I260</f>
        <v>0</v>
      </c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R260" s="247" t="s">
        <v>212</v>
      </c>
      <c r="AT260" s="247" t="s">
        <v>208</v>
      </c>
      <c r="AU260" s="247" t="s">
        <v>92</v>
      </c>
      <c r="AY260" s="120" t="s">
        <v>206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20" t="s">
        <v>18</v>
      </c>
      <c r="BK260" s="248">
        <f>ROUND(H260*I260,2)</f>
        <v>0</v>
      </c>
      <c r="BL260" s="120" t="s">
        <v>212</v>
      </c>
      <c r="BM260" s="247" t="s">
        <v>781</v>
      </c>
    </row>
    <row r="261" spans="1:65" s="136" customFormat="1" ht="21.75" customHeight="1">
      <c r="A261" s="131"/>
      <c r="B261" s="132"/>
      <c r="C261" s="343">
        <f t="shared" si="3"/>
        <v>48</v>
      </c>
      <c r="D261" s="236" t="s">
        <v>208</v>
      </c>
      <c r="E261" s="237" t="s">
        <v>782</v>
      </c>
      <c r="F261" s="238" t="s">
        <v>783</v>
      </c>
      <c r="G261" s="239" t="s">
        <v>780</v>
      </c>
      <c r="H261" s="72"/>
      <c r="I261" s="241">
        <v>1</v>
      </c>
      <c r="J261" s="240">
        <f t="shared" si="2"/>
        <v>0</v>
      </c>
      <c r="K261" s="242"/>
      <c r="L261" s="132"/>
      <c r="M261" s="296" t="s">
        <v>1</v>
      </c>
      <c r="N261" s="297" t="s">
        <v>47</v>
      </c>
      <c r="O261" s="298">
        <v>2.889</v>
      </c>
      <c r="P261" s="298">
        <f>O261*I261</f>
        <v>2.889</v>
      </c>
      <c r="Q261" s="298">
        <v>0.00122</v>
      </c>
      <c r="R261" s="298">
        <f>Q261*I261</f>
        <v>0.00122</v>
      </c>
      <c r="S261" s="298">
        <v>0</v>
      </c>
      <c r="T261" s="299">
        <f>S261*I261</f>
        <v>0</v>
      </c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R261" s="247" t="s">
        <v>212</v>
      </c>
      <c r="AT261" s="247" t="s">
        <v>208</v>
      </c>
      <c r="AU261" s="247" t="s">
        <v>92</v>
      </c>
      <c r="AY261" s="120" t="s">
        <v>206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20" t="s">
        <v>18</v>
      </c>
      <c r="BK261" s="248">
        <f>ROUND(H261*I261,2)</f>
        <v>0</v>
      </c>
      <c r="BL261" s="120" t="s">
        <v>212</v>
      </c>
      <c r="BM261" s="247" t="s">
        <v>784</v>
      </c>
    </row>
    <row r="262" spans="2:51" s="249" customFormat="1" ht="12">
      <c r="B262" s="250"/>
      <c r="C262" s="254"/>
      <c r="D262" s="251" t="s">
        <v>214</v>
      </c>
      <c r="E262" s="252" t="s">
        <v>1</v>
      </c>
      <c r="F262" s="253" t="s">
        <v>785</v>
      </c>
      <c r="G262" s="254"/>
      <c r="H262" s="312"/>
      <c r="I262" s="255">
        <v>1</v>
      </c>
      <c r="J262" s="254"/>
      <c r="K262" s="254"/>
      <c r="L262" s="250"/>
      <c r="M262" s="293"/>
      <c r="N262" s="294"/>
      <c r="O262" s="294"/>
      <c r="P262" s="294"/>
      <c r="Q262" s="294"/>
      <c r="R262" s="294"/>
      <c r="S262" s="294"/>
      <c r="T262" s="295"/>
      <c r="AT262" s="260" t="s">
        <v>214</v>
      </c>
      <c r="AU262" s="260" t="s">
        <v>92</v>
      </c>
      <c r="AV262" s="249" t="s">
        <v>92</v>
      </c>
      <c r="AW262" s="249" t="s">
        <v>39</v>
      </c>
      <c r="AX262" s="249" t="s">
        <v>18</v>
      </c>
      <c r="AY262" s="260" t="s">
        <v>206</v>
      </c>
    </row>
    <row r="263" spans="1:65" s="136" customFormat="1" ht="21.75" customHeight="1">
      <c r="A263" s="131"/>
      <c r="B263" s="132"/>
      <c r="C263" s="236">
        <f>C261+1</f>
        <v>49</v>
      </c>
      <c r="D263" s="236" t="s">
        <v>208</v>
      </c>
      <c r="E263" s="237" t="s">
        <v>786</v>
      </c>
      <c r="F263" s="238" t="s">
        <v>787</v>
      </c>
      <c r="G263" s="239" t="s">
        <v>376</v>
      </c>
      <c r="H263" s="72"/>
      <c r="I263" s="241">
        <v>1</v>
      </c>
      <c r="J263" s="240">
        <f aca="true" t="shared" si="4" ref="J263:J272">ROUND($H263*I263,2)</f>
        <v>0</v>
      </c>
      <c r="K263" s="242"/>
      <c r="L263" s="132"/>
      <c r="M263" s="296" t="s">
        <v>1</v>
      </c>
      <c r="N263" s="297" t="s">
        <v>47</v>
      </c>
      <c r="O263" s="298">
        <v>23.395</v>
      </c>
      <c r="P263" s="298">
        <f aca="true" t="shared" si="5" ref="P263:P272">O263*I263</f>
        <v>23.395</v>
      </c>
      <c r="Q263" s="298">
        <v>2.25689</v>
      </c>
      <c r="R263" s="298">
        <f aca="true" t="shared" si="6" ref="R263:R272">Q263*I263</f>
        <v>2.25689</v>
      </c>
      <c r="S263" s="298">
        <v>0</v>
      </c>
      <c r="T263" s="299">
        <f aca="true" t="shared" si="7" ref="T263:T272">S263*I263</f>
        <v>0</v>
      </c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R263" s="247" t="s">
        <v>212</v>
      </c>
      <c r="AT263" s="247" t="s">
        <v>208</v>
      </c>
      <c r="AU263" s="247" t="s">
        <v>92</v>
      </c>
      <c r="AY263" s="120" t="s">
        <v>206</v>
      </c>
      <c r="BE263" s="248">
        <f aca="true" t="shared" si="8" ref="BE263:BE272">IF(N263="základní",J263,0)</f>
        <v>0</v>
      </c>
      <c r="BF263" s="248">
        <f aca="true" t="shared" si="9" ref="BF263:BF272">IF(N263="snížená",J263,0)</f>
        <v>0</v>
      </c>
      <c r="BG263" s="248">
        <f aca="true" t="shared" si="10" ref="BG263:BG272">IF(N263="zákl. přenesená",J263,0)</f>
        <v>0</v>
      </c>
      <c r="BH263" s="248">
        <f aca="true" t="shared" si="11" ref="BH263:BH272">IF(N263="sníž. přenesená",J263,0)</f>
        <v>0</v>
      </c>
      <c r="BI263" s="248">
        <f aca="true" t="shared" si="12" ref="BI263:BI272">IF(N263="nulová",J263,0)</f>
        <v>0</v>
      </c>
      <c r="BJ263" s="120" t="s">
        <v>18</v>
      </c>
      <c r="BK263" s="248">
        <f aca="true" t="shared" si="13" ref="BK263:BK272">ROUND(H263*I263,2)</f>
        <v>0</v>
      </c>
      <c r="BL263" s="120" t="s">
        <v>212</v>
      </c>
      <c r="BM263" s="247" t="s">
        <v>788</v>
      </c>
    </row>
    <row r="264" spans="1:65" s="136" customFormat="1" ht="21.75" customHeight="1">
      <c r="A264" s="131"/>
      <c r="B264" s="132"/>
      <c r="C264" s="343">
        <f aca="true" t="shared" si="14" ref="C264:C268">C263+1</f>
        <v>50</v>
      </c>
      <c r="D264" s="284" t="s">
        <v>324</v>
      </c>
      <c r="E264" s="285" t="s">
        <v>789</v>
      </c>
      <c r="F264" s="286" t="s">
        <v>790</v>
      </c>
      <c r="G264" s="287" t="s">
        <v>376</v>
      </c>
      <c r="H264" s="73"/>
      <c r="I264" s="288">
        <v>1</v>
      </c>
      <c r="J264" s="240">
        <f t="shared" si="4"/>
        <v>0</v>
      </c>
      <c r="K264" s="289"/>
      <c r="L264" s="304"/>
      <c r="M264" s="305" t="s">
        <v>1</v>
      </c>
      <c r="N264" s="306" t="s">
        <v>47</v>
      </c>
      <c r="O264" s="298">
        <v>0</v>
      </c>
      <c r="P264" s="298">
        <f t="shared" si="5"/>
        <v>0</v>
      </c>
      <c r="Q264" s="298">
        <v>1.6</v>
      </c>
      <c r="R264" s="298">
        <f t="shared" si="6"/>
        <v>1.6</v>
      </c>
      <c r="S264" s="298">
        <v>0</v>
      </c>
      <c r="T264" s="299">
        <f t="shared" si="7"/>
        <v>0</v>
      </c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R264" s="247" t="s">
        <v>256</v>
      </c>
      <c r="AT264" s="247" t="s">
        <v>324</v>
      </c>
      <c r="AU264" s="247" t="s">
        <v>92</v>
      </c>
      <c r="AY264" s="120" t="s">
        <v>206</v>
      </c>
      <c r="BE264" s="248">
        <f t="shared" si="8"/>
        <v>0</v>
      </c>
      <c r="BF264" s="248">
        <f t="shared" si="9"/>
        <v>0</v>
      </c>
      <c r="BG264" s="248">
        <f t="shared" si="10"/>
        <v>0</v>
      </c>
      <c r="BH264" s="248">
        <f t="shared" si="11"/>
        <v>0</v>
      </c>
      <c r="BI264" s="248">
        <f t="shared" si="12"/>
        <v>0</v>
      </c>
      <c r="BJ264" s="120" t="s">
        <v>18</v>
      </c>
      <c r="BK264" s="248">
        <f t="shared" si="13"/>
        <v>0</v>
      </c>
      <c r="BL264" s="120" t="s">
        <v>212</v>
      </c>
      <c r="BM264" s="247" t="s">
        <v>791</v>
      </c>
    </row>
    <row r="265" spans="1:65" s="136" customFormat="1" ht="21.75" customHeight="1">
      <c r="A265" s="131"/>
      <c r="B265" s="132"/>
      <c r="C265" s="343">
        <f t="shared" si="14"/>
        <v>51</v>
      </c>
      <c r="D265" s="284" t="s">
        <v>324</v>
      </c>
      <c r="E265" s="285" t="s">
        <v>792</v>
      </c>
      <c r="F265" s="286" t="s">
        <v>793</v>
      </c>
      <c r="G265" s="287" t="s">
        <v>376</v>
      </c>
      <c r="H265" s="73"/>
      <c r="I265" s="288">
        <v>1</v>
      </c>
      <c r="J265" s="240">
        <f t="shared" si="4"/>
        <v>0</v>
      </c>
      <c r="K265" s="289"/>
      <c r="L265" s="304"/>
      <c r="M265" s="305" t="s">
        <v>1</v>
      </c>
      <c r="N265" s="306" t="s">
        <v>47</v>
      </c>
      <c r="O265" s="298">
        <v>0</v>
      </c>
      <c r="P265" s="298">
        <f t="shared" si="5"/>
        <v>0</v>
      </c>
      <c r="Q265" s="298">
        <v>0.59</v>
      </c>
      <c r="R265" s="298">
        <f t="shared" si="6"/>
        <v>0.59</v>
      </c>
      <c r="S265" s="298">
        <v>0</v>
      </c>
      <c r="T265" s="299">
        <f t="shared" si="7"/>
        <v>0</v>
      </c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R265" s="247" t="s">
        <v>256</v>
      </c>
      <c r="AT265" s="247" t="s">
        <v>324</v>
      </c>
      <c r="AU265" s="247" t="s">
        <v>92</v>
      </c>
      <c r="AY265" s="120" t="s">
        <v>206</v>
      </c>
      <c r="BE265" s="248">
        <f t="shared" si="8"/>
        <v>0</v>
      </c>
      <c r="BF265" s="248">
        <f t="shared" si="9"/>
        <v>0</v>
      </c>
      <c r="BG265" s="248">
        <f t="shared" si="10"/>
        <v>0</v>
      </c>
      <c r="BH265" s="248">
        <f t="shared" si="11"/>
        <v>0</v>
      </c>
      <c r="BI265" s="248">
        <f t="shared" si="12"/>
        <v>0</v>
      </c>
      <c r="BJ265" s="120" t="s">
        <v>18</v>
      </c>
      <c r="BK265" s="248">
        <f t="shared" si="13"/>
        <v>0</v>
      </c>
      <c r="BL265" s="120" t="s">
        <v>212</v>
      </c>
      <c r="BM265" s="247" t="s">
        <v>794</v>
      </c>
    </row>
    <row r="266" spans="1:65" s="136" customFormat="1" ht="21.75" customHeight="1">
      <c r="A266" s="131"/>
      <c r="B266" s="132"/>
      <c r="C266" s="343">
        <f t="shared" si="14"/>
        <v>52</v>
      </c>
      <c r="D266" s="236" t="s">
        <v>208</v>
      </c>
      <c r="E266" s="237" t="s">
        <v>795</v>
      </c>
      <c r="F266" s="238" t="s">
        <v>796</v>
      </c>
      <c r="G266" s="239" t="s">
        <v>376</v>
      </c>
      <c r="H266" s="72"/>
      <c r="I266" s="241">
        <v>9</v>
      </c>
      <c r="J266" s="240">
        <f t="shared" si="4"/>
        <v>0</v>
      </c>
      <c r="K266" s="242"/>
      <c r="L266" s="132"/>
      <c r="M266" s="296" t="s">
        <v>1</v>
      </c>
      <c r="N266" s="297" t="s">
        <v>47</v>
      </c>
      <c r="O266" s="298">
        <v>0.8</v>
      </c>
      <c r="P266" s="298">
        <f t="shared" si="5"/>
        <v>7.2</v>
      </c>
      <c r="Q266" s="298">
        <v>0</v>
      </c>
      <c r="R266" s="298">
        <f t="shared" si="6"/>
        <v>0</v>
      </c>
      <c r="S266" s="298">
        <v>0.15</v>
      </c>
      <c r="T266" s="299">
        <f t="shared" si="7"/>
        <v>1.3499999999999999</v>
      </c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R266" s="247" t="s">
        <v>212</v>
      </c>
      <c r="AT266" s="247" t="s">
        <v>208</v>
      </c>
      <c r="AU266" s="247" t="s">
        <v>92</v>
      </c>
      <c r="AY266" s="120" t="s">
        <v>206</v>
      </c>
      <c r="BE266" s="248">
        <f t="shared" si="8"/>
        <v>0</v>
      </c>
      <c r="BF266" s="248">
        <f t="shared" si="9"/>
        <v>0</v>
      </c>
      <c r="BG266" s="248">
        <f t="shared" si="10"/>
        <v>0</v>
      </c>
      <c r="BH266" s="248">
        <f t="shared" si="11"/>
        <v>0</v>
      </c>
      <c r="BI266" s="248">
        <f t="shared" si="12"/>
        <v>0</v>
      </c>
      <c r="BJ266" s="120" t="s">
        <v>18</v>
      </c>
      <c r="BK266" s="248">
        <f t="shared" si="13"/>
        <v>0</v>
      </c>
      <c r="BL266" s="120" t="s">
        <v>212</v>
      </c>
      <c r="BM266" s="247" t="s">
        <v>797</v>
      </c>
    </row>
    <row r="267" spans="1:65" s="136" customFormat="1" ht="21.75" customHeight="1">
      <c r="A267" s="131"/>
      <c r="B267" s="132"/>
      <c r="C267" s="343">
        <f t="shared" si="14"/>
        <v>53</v>
      </c>
      <c r="D267" s="236" t="s">
        <v>208</v>
      </c>
      <c r="E267" s="237" t="s">
        <v>798</v>
      </c>
      <c r="F267" s="238" t="s">
        <v>799</v>
      </c>
      <c r="G267" s="239" t="s">
        <v>376</v>
      </c>
      <c r="H267" s="72"/>
      <c r="I267" s="241">
        <v>7</v>
      </c>
      <c r="J267" s="240">
        <f t="shared" si="4"/>
        <v>0</v>
      </c>
      <c r="K267" s="242"/>
      <c r="L267" s="132"/>
      <c r="M267" s="296" t="s">
        <v>1</v>
      </c>
      <c r="N267" s="297" t="s">
        <v>47</v>
      </c>
      <c r="O267" s="298">
        <v>1.694</v>
      </c>
      <c r="P267" s="298">
        <f t="shared" si="5"/>
        <v>11.858</v>
      </c>
      <c r="Q267" s="298">
        <v>0.21734</v>
      </c>
      <c r="R267" s="298">
        <f t="shared" si="6"/>
        <v>1.52138</v>
      </c>
      <c r="S267" s="298">
        <v>0</v>
      </c>
      <c r="T267" s="299">
        <f t="shared" si="7"/>
        <v>0</v>
      </c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R267" s="247" t="s">
        <v>212</v>
      </c>
      <c r="AT267" s="247" t="s">
        <v>208</v>
      </c>
      <c r="AU267" s="247" t="s">
        <v>92</v>
      </c>
      <c r="AY267" s="120" t="s">
        <v>206</v>
      </c>
      <c r="BE267" s="248">
        <f t="shared" si="8"/>
        <v>0</v>
      </c>
      <c r="BF267" s="248">
        <f t="shared" si="9"/>
        <v>0</v>
      </c>
      <c r="BG267" s="248">
        <f t="shared" si="10"/>
        <v>0</v>
      </c>
      <c r="BH267" s="248">
        <f t="shared" si="11"/>
        <v>0</v>
      </c>
      <c r="BI267" s="248">
        <f t="shared" si="12"/>
        <v>0</v>
      </c>
      <c r="BJ267" s="120" t="s">
        <v>18</v>
      </c>
      <c r="BK267" s="248">
        <f t="shared" si="13"/>
        <v>0</v>
      </c>
      <c r="BL267" s="120" t="s">
        <v>212</v>
      </c>
      <c r="BM267" s="247" t="s">
        <v>800</v>
      </c>
    </row>
    <row r="268" spans="1:65" s="136" customFormat="1" ht="21.75" customHeight="1">
      <c r="A268" s="131"/>
      <c r="B268" s="132"/>
      <c r="C268" s="343">
        <f t="shared" si="14"/>
        <v>54</v>
      </c>
      <c r="D268" s="284" t="s">
        <v>324</v>
      </c>
      <c r="E268" s="285" t="s">
        <v>801</v>
      </c>
      <c r="F268" s="286" t="s">
        <v>802</v>
      </c>
      <c r="G268" s="287" t="s">
        <v>376</v>
      </c>
      <c r="H268" s="73"/>
      <c r="I268" s="288">
        <v>2</v>
      </c>
      <c r="J268" s="240">
        <f t="shared" si="4"/>
        <v>0</v>
      </c>
      <c r="K268" s="289"/>
      <c r="L268" s="304"/>
      <c r="M268" s="305" t="s">
        <v>1</v>
      </c>
      <c r="N268" s="306" t="s">
        <v>47</v>
      </c>
      <c r="O268" s="298">
        <v>0</v>
      </c>
      <c r="P268" s="298">
        <f t="shared" si="5"/>
        <v>0</v>
      </c>
      <c r="Q268" s="298">
        <v>0.0546</v>
      </c>
      <c r="R268" s="298">
        <f t="shared" si="6"/>
        <v>0.1092</v>
      </c>
      <c r="S268" s="298">
        <v>0</v>
      </c>
      <c r="T268" s="299">
        <f t="shared" si="7"/>
        <v>0</v>
      </c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R268" s="247" t="s">
        <v>256</v>
      </c>
      <c r="AT268" s="247" t="s">
        <v>324</v>
      </c>
      <c r="AU268" s="247" t="s">
        <v>92</v>
      </c>
      <c r="AY268" s="120" t="s">
        <v>206</v>
      </c>
      <c r="BE268" s="248">
        <f t="shared" si="8"/>
        <v>0</v>
      </c>
      <c r="BF268" s="248">
        <f t="shared" si="9"/>
        <v>0</v>
      </c>
      <c r="BG268" s="248">
        <f t="shared" si="10"/>
        <v>0</v>
      </c>
      <c r="BH268" s="248">
        <f t="shared" si="11"/>
        <v>0</v>
      </c>
      <c r="BI268" s="248">
        <f t="shared" si="12"/>
        <v>0</v>
      </c>
      <c r="BJ268" s="120" t="s">
        <v>18</v>
      </c>
      <c r="BK268" s="248">
        <f t="shared" si="13"/>
        <v>0</v>
      </c>
      <c r="BL268" s="120" t="s">
        <v>212</v>
      </c>
      <c r="BM268" s="247" t="s">
        <v>803</v>
      </c>
    </row>
    <row r="269" spans="1:65" s="136" customFormat="1" ht="33" customHeight="1">
      <c r="A269" s="131"/>
      <c r="B269" s="132"/>
      <c r="C269" s="284"/>
      <c r="D269" s="284" t="s">
        <v>324</v>
      </c>
      <c r="E269" s="285" t="s">
        <v>824</v>
      </c>
      <c r="F269" s="286" t="s">
        <v>825</v>
      </c>
      <c r="G269" s="287" t="s">
        <v>376</v>
      </c>
      <c r="H269" s="73"/>
      <c r="I269" s="288">
        <v>5</v>
      </c>
      <c r="J269" s="240">
        <f t="shared" si="4"/>
        <v>0</v>
      </c>
      <c r="K269" s="289"/>
      <c r="L269" s="304"/>
      <c r="M269" s="305" t="s">
        <v>1</v>
      </c>
      <c r="N269" s="306" t="s">
        <v>47</v>
      </c>
      <c r="O269" s="298">
        <v>0</v>
      </c>
      <c r="P269" s="298">
        <f t="shared" si="5"/>
        <v>0</v>
      </c>
      <c r="Q269" s="298">
        <v>0.081</v>
      </c>
      <c r="R269" s="298">
        <f t="shared" si="6"/>
        <v>0.405</v>
      </c>
      <c r="S269" s="298">
        <v>0</v>
      </c>
      <c r="T269" s="299">
        <f t="shared" si="7"/>
        <v>0</v>
      </c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R269" s="247" t="s">
        <v>256</v>
      </c>
      <c r="AT269" s="247" t="s">
        <v>324</v>
      </c>
      <c r="AU269" s="247" t="s">
        <v>92</v>
      </c>
      <c r="AY269" s="120" t="s">
        <v>206</v>
      </c>
      <c r="BE269" s="248">
        <f t="shared" si="8"/>
        <v>0</v>
      </c>
      <c r="BF269" s="248">
        <f t="shared" si="9"/>
        <v>0</v>
      </c>
      <c r="BG269" s="248">
        <f t="shared" si="10"/>
        <v>0</v>
      </c>
      <c r="BH269" s="248">
        <f t="shared" si="11"/>
        <v>0</v>
      </c>
      <c r="BI269" s="248">
        <f t="shared" si="12"/>
        <v>0</v>
      </c>
      <c r="BJ269" s="120" t="s">
        <v>18</v>
      </c>
      <c r="BK269" s="248">
        <f t="shared" si="13"/>
        <v>0</v>
      </c>
      <c r="BL269" s="120" t="s">
        <v>212</v>
      </c>
      <c r="BM269" s="247" t="s">
        <v>826</v>
      </c>
    </row>
    <row r="270" spans="1:65" s="136" customFormat="1" ht="21.75" customHeight="1">
      <c r="A270" s="131"/>
      <c r="B270" s="132"/>
      <c r="C270" s="236">
        <f>C268+1</f>
        <v>55</v>
      </c>
      <c r="D270" s="236" t="s">
        <v>208</v>
      </c>
      <c r="E270" s="237" t="s">
        <v>873</v>
      </c>
      <c r="F270" s="238" t="s">
        <v>874</v>
      </c>
      <c r="G270" s="239" t="s">
        <v>376</v>
      </c>
      <c r="H270" s="72"/>
      <c r="I270" s="241">
        <v>9</v>
      </c>
      <c r="J270" s="240">
        <f t="shared" si="4"/>
        <v>0</v>
      </c>
      <c r="K270" s="242"/>
      <c r="L270" s="132"/>
      <c r="M270" s="296" t="s">
        <v>1</v>
      </c>
      <c r="N270" s="297" t="s">
        <v>47</v>
      </c>
      <c r="O270" s="298">
        <v>3.817</v>
      </c>
      <c r="P270" s="298">
        <f t="shared" si="5"/>
        <v>34.353</v>
      </c>
      <c r="Q270" s="298">
        <v>0.4208</v>
      </c>
      <c r="R270" s="298">
        <f t="shared" si="6"/>
        <v>3.7872</v>
      </c>
      <c r="S270" s="298">
        <v>0</v>
      </c>
      <c r="T270" s="299">
        <f t="shared" si="7"/>
        <v>0</v>
      </c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R270" s="247" t="s">
        <v>212</v>
      </c>
      <c r="AT270" s="247" t="s">
        <v>208</v>
      </c>
      <c r="AU270" s="247" t="s">
        <v>92</v>
      </c>
      <c r="AY270" s="120" t="s">
        <v>206</v>
      </c>
      <c r="BE270" s="248">
        <f t="shared" si="8"/>
        <v>0</v>
      </c>
      <c r="BF270" s="248">
        <f t="shared" si="9"/>
        <v>0</v>
      </c>
      <c r="BG270" s="248">
        <f t="shared" si="10"/>
        <v>0</v>
      </c>
      <c r="BH270" s="248">
        <f t="shared" si="11"/>
        <v>0</v>
      </c>
      <c r="BI270" s="248">
        <f t="shared" si="12"/>
        <v>0</v>
      </c>
      <c r="BJ270" s="120" t="s">
        <v>18</v>
      </c>
      <c r="BK270" s="248">
        <f t="shared" si="13"/>
        <v>0</v>
      </c>
      <c r="BL270" s="120" t="s">
        <v>212</v>
      </c>
      <c r="BM270" s="247" t="s">
        <v>804</v>
      </c>
    </row>
    <row r="271" spans="1:65" s="136" customFormat="1" ht="28.5" customHeight="1">
      <c r="A271" s="131"/>
      <c r="B271" s="132"/>
      <c r="C271" s="343">
        <f aca="true" t="shared" si="15" ref="C271:C272">C270+1</f>
        <v>56</v>
      </c>
      <c r="D271" s="284" t="s">
        <v>324</v>
      </c>
      <c r="E271" s="285" t="s">
        <v>821</v>
      </c>
      <c r="F271" s="286" t="s">
        <v>822</v>
      </c>
      <c r="G271" s="287" t="s">
        <v>376</v>
      </c>
      <c r="H271" s="73"/>
      <c r="I271" s="288">
        <v>9</v>
      </c>
      <c r="J271" s="240">
        <f t="shared" si="4"/>
        <v>0</v>
      </c>
      <c r="K271" s="289"/>
      <c r="L271" s="304"/>
      <c r="M271" s="305" t="s">
        <v>1</v>
      </c>
      <c r="N271" s="306" t="s">
        <v>47</v>
      </c>
      <c r="O271" s="298">
        <v>0</v>
      </c>
      <c r="P271" s="298">
        <f t="shared" si="5"/>
        <v>0</v>
      </c>
      <c r="Q271" s="298">
        <v>0.59</v>
      </c>
      <c r="R271" s="298">
        <f t="shared" si="6"/>
        <v>5.31</v>
      </c>
      <c r="S271" s="298">
        <v>0</v>
      </c>
      <c r="T271" s="299">
        <f t="shared" si="7"/>
        <v>0</v>
      </c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R271" s="247" t="s">
        <v>256</v>
      </c>
      <c r="AT271" s="247" t="s">
        <v>324</v>
      </c>
      <c r="AU271" s="247" t="s">
        <v>92</v>
      </c>
      <c r="AY271" s="120" t="s">
        <v>206</v>
      </c>
      <c r="BE271" s="248">
        <f t="shared" si="8"/>
        <v>0</v>
      </c>
      <c r="BF271" s="248">
        <f t="shared" si="9"/>
        <v>0</v>
      </c>
      <c r="BG271" s="248">
        <f t="shared" si="10"/>
        <v>0</v>
      </c>
      <c r="BH271" s="248">
        <f t="shared" si="11"/>
        <v>0</v>
      </c>
      <c r="BI271" s="248">
        <f t="shared" si="12"/>
        <v>0</v>
      </c>
      <c r="BJ271" s="120" t="s">
        <v>18</v>
      </c>
      <c r="BK271" s="248">
        <f t="shared" si="13"/>
        <v>0</v>
      </c>
      <c r="BL271" s="120" t="s">
        <v>212</v>
      </c>
      <c r="BM271" s="247" t="s">
        <v>823</v>
      </c>
    </row>
    <row r="272" spans="1:65" s="136" customFormat="1" ht="21.75" customHeight="1">
      <c r="A272" s="131"/>
      <c r="B272" s="132"/>
      <c r="C272" s="343">
        <f t="shared" si="15"/>
        <v>57</v>
      </c>
      <c r="D272" s="236" t="s">
        <v>208</v>
      </c>
      <c r="E272" s="237" t="s">
        <v>805</v>
      </c>
      <c r="F272" s="238" t="s">
        <v>806</v>
      </c>
      <c r="G272" s="239" t="s">
        <v>268</v>
      </c>
      <c r="H272" s="72"/>
      <c r="I272" s="241">
        <v>5.837</v>
      </c>
      <c r="J272" s="240">
        <f t="shared" si="4"/>
        <v>0</v>
      </c>
      <c r="K272" s="242"/>
      <c r="L272" s="132"/>
      <c r="M272" s="296" t="s">
        <v>1</v>
      </c>
      <c r="N272" s="297" t="s">
        <v>47</v>
      </c>
      <c r="O272" s="298">
        <v>1.319</v>
      </c>
      <c r="P272" s="298">
        <f t="shared" si="5"/>
        <v>7.699002999999999</v>
      </c>
      <c r="Q272" s="298">
        <v>0</v>
      </c>
      <c r="R272" s="298">
        <f t="shared" si="6"/>
        <v>0</v>
      </c>
      <c r="S272" s="298">
        <v>0</v>
      </c>
      <c r="T272" s="299">
        <f t="shared" si="7"/>
        <v>0</v>
      </c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R272" s="247" t="s">
        <v>212</v>
      </c>
      <c r="AT272" s="247" t="s">
        <v>208</v>
      </c>
      <c r="AU272" s="247" t="s">
        <v>92</v>
      </c>
      <c r="AY272" s="120" t="s">
        <v>206</v>
      </c>
      <c r="BE272" s="248">
        <f t="shared" si="8"/>
        <v>0</v>
      </c>
      <c r="BF272" s="248">
        <f t="shared" si="9"/>
        <v>0</v>
      </c>
      <c r="BG272" s="248">
        <f t="shared" si="10"/>
        <v>0</v>
      </c>
      <c r="BH272" s="248">
        <f t="shared" si="11"/>
        <v>0</v>
      </c>
      <c r="BI272" s="248">
        <f t="shared" si="12"/>
        <v>0</v>
      </c>
      <c r="BJ272" s="120" t="s">
        <v>18</v>
      </c>
      <c r="BK272" s="248">
        <f t="shared" si="13"/>
        <v>0</v>
      </c>
      <c r="BL272" s="120" t="s">
        <v>212</v>
      </c>
      <c r="BM272" s="247" t="s">
        <v>807</v>
      </c>
    </row>
    <row r="273" spans="2:51" s="249" customFormat="1" ht="22.5">
      <c r="B273" s="250"/>
      <c r="C273" s="254"/>
      <c r="D273" s="251" t="s">
        <v>214</v>
      </c>
      <c r="E273" s="252" t="s">
        <v>1</v>
      </c>
      <c r="F273" s="253" t="s">
        <v>808</v>
      </c>
      <c r="G273" s="254"/>
      <c r="H273" s="312"/>
      <c r="I273" s="255">
        <v>1.027</v>
      </c>
      <c r="J273" s="254"/>
      <c r="K273" s="254"/>
      <c r="L273" s="250"/>
      <c r="M273" s="293"/>
      <c r="N273" s="294"/>
      <c r="O273" s="294"/>
      <c r="P273" s="294"/>
      <c r="Q273" s="294"/>
      <c r="R273" s="294"/>
      <c r="S273" s="294"/>
      <c r="T273" s="295"/>
      <c r="AT273" s="260" t="s">
        <v>214</v>
      </c>
      <c r="AU273" s="260" t="s">
        <v>92</v>
      </c>
      <c r="AV273" s="249" t="s">
        <v>92</v>
      </c>
      <c r="AW273" s="249" t="s">
        <v>39</v>
      </c>
      <c r="AX273" s="249" t="s">
        <v>82</v>
      </c>
      <c r="AY273" s="260" t="s">
        <v>206</v>
      </c>
    </row>
    <row r="274" spans="2:51" s="249" customFormat="1" ht="22.5">
      <c r="B274" s="250"/>
      <c r="C274" s="254"/>
      <c r="D274" s="251" t="s">
        <v>214</v>
      </c>
      <c r="E274" s="252" t="s">
        <v>1</v>
      </c>
      <c r="F274" s="253" t="s">
        <v>809</v>
      </c>
      <c r="G274" s="254"/>
      <c r="H274" s="312"/>
      <c r="I274" s="255">
        <v>1.152</v>
      </c>
      <c r="J274" s="254"/>
      <c r="K274" s="254"/>
      <c r="L274" s="250"/>
      <c r="M274" s="293"/>
      <c r="N274" s="294"/>
      <c r="O274" s="294"/>
      <c r="P274" s="294"/>
      <c r="Q274" s="294"/>
      <c r="R274" s="294"/>
      <c r="S274" s="294"/>
      <c r="T274" s="295"/>
      <c r="AT274" s="260" t="s">
        <v>214</v>
      </c>
      <c r="AU274" s="260" t="s">
        <v>92</v>
      </c>
      <c r="AV274" s="249" t="s">
        <v>92</v>
      </c>
      <c r="AW274" s="249" t="s">
        <v>39</v>
      </c>
      <c r="AX274" s="249" t="s">
        <v>82</v>
      </c>
      <c r="AY274" s="260" t="s">
        <v>206</v>
      </c>
    </row>
    <row r="275" spans="2:51" s="249" customFormat="1" ht="22.5">
      <c r="B275" s="250"/>
      <c r="C275" s="254"/>
      <c r="D275" s="251" t="s">
        <v>214</v>
      </c>
      <c r="E275" s="252" t="s">
        <v>1</v>
      </c>
      <c r="F275" s="253" t="s">
        <v>810</v>
      </c>
      <c r="G275" s="254"/>
      <c r="H275" s="312"/>
      <c r="I275" s="255">
        <v>1.671</v>
      </c>
      <c r="J275" s="254"/>
      <c r="K275" s="254"/>
      <c r="L275" s="250"/>
      <c r="M275" s="293"/>
      <c r="N275" s="294"/>
      <c r="O275" s="294"/>
      <c r="P275" s="294"/>
      <c r="Q275" s="294"/>
      <c r="R275" s="294"/>
      <c r="S275" s="294"/>
      <c r="T275" s="295"/>
      <c r="AT275" s="260" t="s">
        <v>214</v>
      </c>
      <c r="AU275" s="260" t="s">
        <v>92</v>
      </c>
      <c r="AV275" s="249" t="s">
        <v>92</v>
      </c>
      <c r="AW275" s="249" t="s">
        <v>39</v>
      </c>
      <c r="AX275" s="249" t="s">
        <v>82</v>
      </c>
      <c r="AY275" s="260" t="s">
        <v>206</v>
      </c>
    </row>
    <row r="276" spans="2:51" s="249" customFormat="1" ht="22.5">
      <c r="B276" s="250"/>
      <c r="C276" s="254"/>
      <c r="D276" s="251" t="s">
        <v>214</v>
      </c>
      <c r="E276" s="252" t="s">
        <v>1</v>
      </c>
      <c r="F276" s="253" t="s">
        <v>811</v>
      </c>
      <c r="G276" s="254"/>
      <c r="H276" s="312"/>
      <c r="I276" s="255">
        <v>1.987</v>
      </c>
      <c r="J276" s="254"/>
      <c r="K276" s="254"/>
      <c r="L276" s="250"/>
      <c r="M276" s="293"/>
      <c r="N276" s="294"/>
      <c r="O276" s="294"/>
      <c r="P276" s="294"/>
      <c r="Q276" s="294"/>
      <c r="R276" s="294"/>
      <c r="S276" s="294"/>
      <c r="T276" s="295"/>
      <c r="AT276" s="260" t="s">
        <v>214</v>
      </c>
      <c r="AU276" s="260" t="s">
        <v>92</v>
      </c>
      <c r="AV276" s="249" t="s">
        <v>92</v>
      </c>
      <c r="AW276" s="249" t="s">
        <v>39</v>
      </c>
      <c r="AX276" s="249" t="s">
        <v>82</v>
      </c>
      <c r="AY276" s="260" t="s">
        <v>206</v>
      </c>
    </row>
    <row r="277" spans="2:51" s="272" customFormat="1" ht="12">
      <c r="B277" s="273"/>
      <c r="C277" s="276"/>
      <c r="D277" s="251" t="s">
        <v>214</v>
      </c>
      <c r="E277" s="274" t="s">
        <v>1</v>
      </c>
      <c r="F277" s="275" t="s">
        <v>291</v>
      </c>
      <c r="G277" s="276"/>
      <c r="H277" s="314"/>
      <c r="I277" s="277">
        <v>5.837</v>
      </c>
      <c r="J277" s="276"/>
      <c r="K277" s="276"/>
      <c r="L277" s="273"/>
      <c r="M277" s="337"/>
      <c r="N277" s="338"/>
      <c r="O277" s="338"/>
      <c r="P277" s="338"/>
      <c r="Q277" s="338"/>
      <c r="R277" s="338"/>
      <c r="S277" s="338"/>
      <c r="T277" s="339"/>
      <c r="AT277" s="282" t="s">
        <v>214</v>
      </c>
      <c r="AU277" s="282" t="s">
        <v>92</v>
      </c>
      <c r="AV277" s="272" t="s">
        <v>212</v>
      </c>
      <c r="AW277" s="272" t="s">
        <v>39</v>
      </c>
      <c r="AX277" s="272" t="s">
        <v>18</v>
      </c>
      <c r="AY277" s="282" t="s">
        <v>206</v>
      </c>
    </row>
    <row r="278" spans="1:65" s="136" customFormat="1" ht="16.5" customHeight="1">
      <c r="A278" s="131"/>
      <c r="B278" s="132"/>
      <c r="C278" s="236">
        <f>C272+1</f>
        <v>58</v>
      </c>
      <c r="D278" s="236" t="s">
        <v>208</v>
      </c>
      <c r="E278" s="237" t="s">
        <v>531</v>
      </c>
      <c r="F278" s="238" t="s">
        <v>532</v>
      </c>
      <c r="G278" s="239" t="s">
        <v>238</v>
      </c>
      <c r="H278" s="72"/>
      <c r="I278" s="241">
        <v>24.58</v>
      </c>
      <c r="J278" s="240">
        <f>ROUND($H278*I278,2)</f>
        <v>0</v>
      </c>
      <c r="K278" s="242"/>
      <c r="L278" s="132"/>
      <c r="M278" s="296" t="s">
        <v>1</v>
      </c>
      <c r="N278" s="297" t="s">
        <v>47</v>
      </c>
      <c r="O278" s="298">
        <v>0.025</v>
      </c>
      <c r="P278" s="298">
        <f>O278*I278</f>
        <v>0.6145</v>
      </c>
      <c r="Q278" s="298">
        <v>9E-05</v>
      </c>
      <c r="R278" s="298">
        <f>Q278*I278</f>
        <v>0.0022122</v>
      </c>
      <c r="S278" s="298">
        <v>0</v>
      </c>
      <c r="T278" s="299">
        <f>S278*I278</f>
        <v>0</v>
      </c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R278" s="247" t="s">
        <v>212</v>
      </c>
      <c r="AT278" s="247" t="s">
        <v>208</v>
      </c>
      <c r="AU278" s="247" t="s">
        <v>92</v>
      </c>
      <c r="AY278" s="120" t="s">
        <v>206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20" t="s">
        <v>18</v>
      </c>
      <c r="BK278" s="248">
        <f>ROUND(H278*I278,2)</f>
        <v>0</v>
      </c>
      <c r="BL278" s="120" t="s">
        <v>212</v>
      </c>
      <c r="BM278" s="247" t="s">
        <v>812</v>
      </c>
    </row>
    <row r="279" spans="2:51" s="249" customFormat="1" ht="12">
      <c r="B279" s="250"/>
      <c r="C279" s="254"/>
      <c r="D279" s="251" t="s">
        <v>214</v>
      </c>
      <c r="E279" s="252" t="s">
        <v>1</v>
      </c>
      <c r="F279" s="253" t="s">
        <v>813</v>
      </c>
      <c r="G279" s="254"/>
      <c r="H279" s="312"/>
      <c r="I279" s="255">
        <v>24.58</v>
      </c>
      <c r="J279" s="254"/>
      <c r="K279" s="254"/>
      <c r="L279" s="250"/>
      <c r="M279" s="293"/>
      <c r="N279" s="294"/>
      <c r="O279" s="294"/>
      <c r="P279" s="294"/>
      <c r="Q279" s="294"/>
      <c r="R279" s="294"/>
      <c r="S279" s="294"/>
      <c r="T279" s="295"/>
      <c r="AT279" s="260" t="s">
        <v>214</v>
      </c>
      <c r="AU279" s="260" t="s">
        <v>92</v>
      </c>
      <c r="AV279" s="249" t="s">
        <v>92</v>
      </c>
      <c r="AW279" s="249" t="s">
        <v>39</v>
      </c>
      <c r="AX279" s="249" t="s">
        <v>18</v>
      </c>
      <c r="AY279" s="260" t="s">
        <v>206</v>
      </c>
    </row>
    <row r="280" spans="1:65" s="136" customFormat="1" ht="21.75" customHeight="1">
      <c r="A280" s="131"/>
      <c r="B280" s="132"/>
      <c r="C280" s="236">
        <f>C278+1</f>
        <v>59</v>
      </c>
      <c r="D280" s="236" t="s">
        <v>208</v>
      </c>
      <c r="E280" s="237" t="s">
        <v>906</v>
      </c>
      <c r="F280" s="238" t="s">
        <v>909</v>
      </c>
      <c r="G280" s="239" t="s">
        <v>376</v>
      </c>
      <c r="H280" s="72"/>
      <c r="I280" s="241">
        <v>1</v>
      </c>
      <c r="J280" s="240">
        <f>ROUND($H280*I280,2)</f>
        <v>0</v>
      </c>
      <c r="K280" s="242"/>
      <c r="L280" s="344" t="s">
        <v>907</v>
      </c>
      <c r="M280" s="296" t="s">
        <v>1</v>
      </c>
      <c r="N280" s="297" t="s">
        <v>47</v>
      </c>
      <c r="O280" s="298">
        <v>0</v>
      </c>
      <c r="P280" s="298">
        <f>O280*I280</f>
        <v>0</v>
      </c>
      <c r="Q280" s="298">
        <v>0</v>
      </c>
      <c r="R280" s="298">
        <f>Q280*I280</f>
        <v>0</v>
      </c>
      <c r="S280" s="298">
        <v>0</v>
      </c>
      <c r="T280" s="299">
        <f>S280*I280</f>
        <v>0</v>
      </c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R280" s="247" t="s">
        <v>212</v>
      </c>
      <c r="AT280" s="247" t="s">
        <v>208</v>
      </c>
      <c r="AU280" s="247" t="s">
        <v>92</v>
      </c>
      <c r="AY280" s="120" t="s">
        <v>206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20" t="s">
        <v>18</v>
      </c>
      <c r="BK280" s="248">
        <f>ROUND(H280*I280,2)</f>
        <v>0</v>
      </c>
      <c r="BL280" s="120" t="s">
        <v>212</v>
      </c>
      <c r="BM280" s="247" t="s">
        <v>908</v>
      </c>
    </row>
    <row r="281" spans="1:65" s="136" customFormat="1" ht="64.5" customHeight="1">
      <c r="A281" s="131"/>
      <c r="B281" s="132"/>
      <c r="C281" s="343">
        <f>C280+1</f>
        <v>60</v>
      </c>
      <c r="D281" s="236" t="s">
        <v>208</v>
      </c>
      <c r="E281" s="237" t="s">
        <v>814</v>
      </c>
      <c r="F281" s="238" t="s">
        <v>879</v>
      </c>
      <c r="G281" s="239" t="s">
        <v>238</v>
      </c>
      <c r="H281" s="72"/>
      <c r="I281" s="241">
        <v>10</v>
      </c>
      <c r="J281" s="240">
        <f>ROUND($H281*I281,2)</f>
        <v>0</v>
      </c>
      <c r="K281" s="242"/>
      <c r="L281" s="132"/>
      <c r="M281" s="296" t="s">
        <v>1</v>
      </c>
      <c r="N281" s="297" t="s">
        <v>47</v>
      </c>
      <c r="O281" s="298">
        <v>0</v>
      </c>
      <c r="P281" s="298">
        <f>O281*I281</f>
        <v>0</v>
      </c>
      <c r="Q281" s="298">
        <v>0</v>
      </c>
      <c r="R281" s="298">
        <f>Q281*I281</f>
        <v>0</v>
      </c>
      <c r="S281" s="298">
        <v>0</v>
      </c>
      <c r="T281" s="299">
        <f>S281*I281</f>
        <v>0</v>
      </c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R281" s="247" t="s">
        <v>212</v>
      </c>
      <c r="AT281" s="247" t="s">
        <v>208</v>
      </c>
      <c r="AU281" s="247" t="s">
        <v>92</v>
      </c>
      <c r="AY281" s="120" t="s">
        <v>206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120" t="s">
        <v>18</v>
      </c>
      <c r="BK281" s="248">
        <f>ROUND(H281*I281,2)</f>
        <v>0</v>
      </c>
      <c r="BL281" s="120" t="s">
        <v>212</v>
      </c>
      <c r="BM281" s="247" t="s">
        <v>815</v>
      </c>
    </row>
    <row r="282" spans="2:51" s="249" customFormat="1" ht="12">
      <c r="B282" s="250"/>
      <c r="C282" s="254"/>
      <c r="D282" s="251" t="s">
        <v>214</v>
      </c>
      <c r="E282" s="252" t="s">
        <v>1</v>
      </c>
      <c r="F282" s="253" t="s">
        <v>816</v>
      </c>
      <c r="G282" s="254"/>
      <c r="H282" s="312"/>
      <c r="I282" s="255">
        <v>10</v>
      </c>
      <c r="J282" s="254"/>
      <c r="K282" s="254"/>
      <c r="L282" s="250"/>
      <c r="M282" s="293"/>
      <c r="N282" s="294"/>
      <c r="O282" s="294"/>
      <c r="P282" s="294"/>
      <c r="Q282" s="294"/>
      <c r="R282" s="294"/>
      <c r="S282" s="294"/>
      <c r="T282" s="295"/>
      <c r="AT282" s="260" t="s">
        <v>214</v>
      </c>
      <c r="AU282" s="260" t="s">
        <v>92</v>
      </c>
      <c r="AV282" s="249" t="s">
        <v>92</v>
      </c>
      <c r="AW282" s="249" t="s">
        <v>39</v>
      </c>
      <c r="AX282" s="249" t="s">
        <v>18</v>
      </c>
      <c r="AY282" s="260" t="s">
        <v>206</v>
      </c>
    </row>
    <row r="283" spans="1:65" s="136" customFormat="1" ht="51" customHeight="1">
      <c r="A283" s="131"/>
      <c r="B283" s="132"/>
      <c r="C283" s="236">
        <f>C281+1</f>
        <v>61</v>
      </c>
      <c r="D283" s="236" t="s">
        <v>208</v>
      </c>
      <c r="E283" s="237" t="s">
        <v>817</v>
      </c>
      <c r="F283" s="238" t="s">
        <v>871</v>
      </c>
      <c r="G283" s="239" t="s">
        <v>376</v>
      </c>
      <c r="H283" s="72"/>
      <c r="I283" s="241">
        <v>2</v>
      </c>
      <c r="J283" s="240">
        <f>ROUND($H283*I283,2)</f>
        <v>0</v>
      </c>
      <c r="K283" s="242"/>
      <c r="L283" s="132"/>
      <c r="M283" s="296" t="s">
        <v>1</v>
      </c>
      <c r="N283" s="297" t="s">
        <v>47</v>
      </c>
      <c r="O283" s="298">
        <v>0</v>
      </c>
      <c r="P283" s="298">
        <f>O283*I283</f>
        <v>0</v>
      </c>
      <c r="Q283" s="298">
        <v>0</v>
      </c>
      <c r="R283" s="298">
        <f>Q283*I283</f>
        <v>0</v>
      </c>
      <c r="S283" s="298">
        <v>0</v>
      </c>
      <c r="T283" s="299">
        <f>S283*I283</f>
        <v>0</v>
      </c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R283" s="247" t="s">
        <v>212</v>
      </c>
      <c r="AT283" s="247" t="s">
        <v>208</v>
      </c>
      <c r="AU283" s="247" t="s">
        <v>92</v>
      </c>
      <c r="AY283" s="120" t="s">
        <v>206</v>
      </c>
      <c r="BE283" s="248">
        <f aca="true" t="shared" si="16" ref="BE283:BE285">IF(N283="základní",J283,0)</f>
        <v>0</v>
      </c>
      <c r="BF283" s="248">
        <f aca="true" t="shared" si="17" ref="BF283:BF285">IF(N283="snížená",J283,0)</f>
        <v>0</v>
      </c>
      <c r="BG283" s="248">
        <f aca="true" t="shared" si="18" ref="BG283:BG285">IF(N283="zákl. přenesená",J283,0)</f>
        <v>0</v>
      </c>
      <c r="BH283" s="248">
        <f aca="true" t="shared" si="19" ref="BH283:BH285">IF(N283="sníž. přenesená",J283,0)</f>
        <v>0</v>
      </c>
      <c r="BI283" s="248">
        <f aca="true" t="shared" si="20" ref="BI283:BI285">IF(N283="nulová",J283,0)</f>
        <v>0</v>
      </c>
      <c r="BJ283" s="120" t="s">
        <v>18</v>
      </c>
      <c r="BK283" s="248">
        <f>ROUND(H283*I283,2)</f>
        <v>0</v>
      </c>
      <c r="BL283" s="120" t="s">
        <v>212</v>
      </c>
      <c r="BM283" s="247" t="s">
        <v>818</v>
      </c>
    </row>
    <row r="284" spans="1:65" s="136" customFormat="1" ht="56.25" customHeight="1">
      <c r="A284" s="131"/>
      <c r="B284" s="132"/>
      <c r="C284" s="343">
        <f aca="true" t="shared" si="21" ref="C284:C285">C283+1</f>
        <v>62</v>
      </c>
      <c r="D284" s="236" t="s">
        <v>208</v>
      </c>
      <c r="E284" s="237" t="s">
        <v>819</v>
      </c>
      <c r="F284" s="238" t="s">
        <v>872</v>
      </c>
      <c r="G284" s="239" t="s">
        <v>376</v>
      </c>
      <c r="H284" s="72"/>
      <c r="I284" s="241">
        <v>2</v>
      </c>
      <c r="J284" s="240">
        <f>ROUND($H284*I284,2)</f>
        <v>0</v>
      </c>
      <c r="K284" s="242"/>
      <c r="L284" s="132"/>
      <c r="M284" s="296" t="s">
        <v>1</v>
      </c>
      <c r="N284" s="297" t="s">
        <v>47</v>
      </c>
      <c r="O284" s="298">
        <v>0</v>
      </c>
      <c r="P284" s="298">
        <f>O284*I284</f>
        <v>0</v>
      </c>
      <c r="Q284" s="298">
        <v>0</v>
      </c>
      <c r="R284" s="298">
        <f>Q284*I284</f>
        <v>0</v>
      </c>
      <c r="S284" s="298">
        <v>0</v>
      </c>
      <c r="T284" s="299">
        <f>S284*I284</f>
        <v>0</v>
      </c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R284" s="247" t="s">
        <v>212</v>
      </c>
      <c r="AT284" s="247" t="s">
        <v>208</v>
      </c>
      <c r="AU284" s="247" t="s">
        <v>92</v>
      </c>
      <c r="AY284" s="120" t="s">
        <v>206</v>
      </c>
      <c r="BE284" s="248">
        <f t="shared" si="16"/>
        <v>0</v>
      </c>
      <c r="BF284" s="248">
        <f t="shared" si="17"/>
        <v>0</v>
      </c>
      <c r="BG284" s="248">
        <f t="shared" si="18"/>
        <v>0</v>
      </c>
      <c r="BH284" s="248">
        <f t="shared" si="19"/>
        <v>0</v>
      </c>
      <c r="BI284" s="248">
        <f t="shared" si="20"/>
        <v>0</v>
      </c>
      <c r="BJ284" s="120" t="s">
        <v>18</v>
      </c>
      <c r="BK284" s="248">
        <f>ROUND(H284*I284,2)</f>
        <v>0</v>
      </c>
      <c r="BL284" s="120" t="s">
        <v>212</v>
      </c>
      <c r="BM284" s="247" t="s">
        <v>820</v>
      </c>
    </row>
    <row r="285" spans="1:65" s="136" customFormat="1" ht="33" customHeight="1">
      <c r="A285" s="131"/>
      <c r="B285" s="132"/>
      <c r="C285" s="343">
        <f t="shared" si="21"/>
        <v>63</v>
      </c>
      <c r="D285" s="236" t="s">
        <v>208</v>
      </c>
      <c r="E285" s="237" t="s">
        <v>827</v>
      </c>
      <c r="F285" s="238" t="s">
        <v>910</v>
      </c>
      <c r="G285" s="239" t="s">
        <v>376</v>
      </c>
      <c r="H285" s="72"/>
      <c r="I285" s="241">
        <v>2</v>
      </c>
      <c r="J285" s="240">
        <f>ROUND($H285*I285,2)</f>
        <v>0</v>
      </c>
      <c r="K285" s="242"/>
      <c r="L285" s="132"/>
      <c r="M285" s="296" t="s">
        <v>1</v>
      </c>
      <c r="N285" s="297" t="s">
        <v>47</v>
      </c>
      <c r="O285" s="298">
        <v>0</v>
      </c>
      <c r="P285" s="298">
        <f>O285*I285</f>
        <v>0</v>
      </c>
      <c r="Q285" s="298">
        <v>0</v>
      </c>
      <c r="R285" s="298">
        <f>Q285*I285</f>
        <v>0</v>
      </c>
      <c r="S285" s="298">
        <v>0</v>
      </c>
      <c r="T285" s="299">
        <f>S285*I285</f>
        <v>0</v>
      </c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R285" s="247" t="s">
        <v>212</v>
      </c>
      <c r="AT285" s="247" t="s">
        <v>208</v>
      </c>
      <c r="AU285" s="247" t="s">
        <v>92</v>
      </c>
      <c r="AY285" s="120" t="s">
        <v>206</v>
      </c>
      <c r="BE285" s="248">
        <f t="shared" si="16"/>
        <v>0</v>
      </c>
      <c r="BF285" s="248">
        <f t="shared" si="17"/>
        <v>0</v>
      </c>
      <c r="BG285" s="248">
        <f t="shared" si="18"/>
        <v>0</v>
      </c>
      <c r="BH285" s="248">
        <f t="shared" si="19"/>
        <v>0</v>
      </c>
      <c r="BI285" s="248">
        <f t="shared" si="20"/>
        <v>0</v>
      </c>
      <c r="BJ285" s="120" t="s">
        <v>18</v>
      </c>
      <c r="BK285" s="248">
        <f>ROUND(H285*I285,2)</f>
        <v>0</v>
      </c>
      <c r="BL285" s="120" t="s">
        <v>212</v>
      </c>
      <c r="BM285" s="247" t="s">
        <v>828</v>
      </c>
    </row>
    <row r="286" spans="2:63" s="218" customFormat="1" ht="22.9" customHeight="1">
      <c r="B286" s="219"/>
      <c r="C286" s="223"/>
      <c r="D286" s="221" t="s">
        <v>81</v>
      </c>
      <c r="E286" s="233" t="s">
        <v>261</v>
      </c>
      <c r="F286" s="233" t="s">
        <v>548</v>
      </c>
      <c r="G286" s="223"/>
      <c r="H286" s="315"/>
      <c r="I286" s="223"/>
      <c r="J286" s="234">
        <f>SUM(J287:J290)</f>
        <v>0</v>
      </c>
      <c r="K286" s="223"/>
      <c r="L286" s="219"/>
      <c r="M286" s="330"/>
      <c r="N286" s="331"/>
      <c r="O286" s="331"/>
      <c r="P286" s="332">
        <f>P287+SUM(P288:P292)</f>
        <v>22.384</v>
      </c>
      <c r="Q286" s="331"/>
      <c r="R286" s="332">
        <f>R287+SUM(R288:R292)</f>
        <v>1.292832</v>
      </c>
      <c r="S286" s="331"/>
      <c r="T286" s="333">
        <f>T287+SUM(T288:T292)</f>
        <v>0.1272</v>
      </c>
      <c r="AR286" s="230" t="s">
        <v>18</v>
      </c>
      <c r="AT286" s="231" t="s">
        <v>81</v>
      </c>
      <c r="AU286" s="231" t="s">
        <v>18</v>
      </c>
      <c r="AY286" s="230" t="s">
        <v>206</v>
      </c>
      <c r="BK286" s="232">
        <f>BK287+SUM(BK288:BK292)</f>
        <v>0</v>
      </c>
    </row>
    <row r="287" spans="1:65" s="136" customFormat="1" ht="21.75" customHeight="1">
      <c r="A287" s="131"/>
      <c r="B287" s="132"/>
      <c r="C287" s="236">
        <f>C285+1</f>
        <v>64</v>
      </c>
      <c r="D287" s="236" t="s">
        <v>208</v>
      </c>
      <c r="E287" s="237" t="s">
        <v>829</v>
      </c>
      <c r="F287" s="238" t="s">
        <v>830</v>
      </c>
      <c r="G287" s="239" t="s">
        <v>238</v>
      </c>
      <c r="H287" s="72"/>
      <c r="I287" s="241">
        <v>0.8</v>
      </c>
      <c r="J287" s="240">
        <f>ROUND($H287*I287,2)</f>
        <v>0</v>
      </c>
      <c r="K287" s="242"/>
      <c r="L287" s="132"/>
      <c r="M287" s="296" t="s">
        <v>1</v>
      </c>
      <c r="N287" s="297" t="s">
        <v>47</v>
      </c>
      <c r="O287" s="298">
        <v>3.3</v>
      </c>
      <c r="P287" s="298">
        <f>O287*I287</f>
        <v>2.64</v>
      </c>
      <c r="Q287" s="298">
        <v>0.00284</v>
      </c>
      <c r="R287" s="298">
        <f>Q287*I287</f>
        <v>0.002272</v>
      </c>
      <c r="S287" s="298">
        <v>0.159</v>
      </c>
      <c r="T287" s="299">
        <f>S287*I287</f>
        <v>0.1272</v>
      </c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R287" s="247" t="s">
        <v>212</v>
      </c>
      <c r="AT287" s="247" t="s">
        <v>208</v>
      </c>
      <c r="AU287" s="247" t="s">
        <v>92</v>
      </c>
      <c r="AY287" s="120" t="s">
        <v>206</v>
      </c>
      <c r="BE287" s="248">
        <f>IF(N287="základní",J287,0)</f>
        <v>0</v>
      </c>
      <c r="BF287" s="248">
        <f>IF(N287="snížená",J287,0)</f>
        <v>0</v>
      </c>
      <c r="BG287" s="248">
        <f>IF(N287="zákl. přenesená",J287,0)</f>
        <v>0</v>
      </c>
      <c r="BH287" s="248">
        <f>IF(N287="sníž. přenesená",J287,0)</f>
        <v>0</v>
      </c>
      <c r="BI287" s="248">
        <f>IF(N287="nulová",J287,0)</f>
        <v>0</v>
      </c>
      <c r="BJ287" s="120" t="s">
        <v>18</v>
      </c>
      <c r="BK287" s="248">
        <f>ROUND(H287*I287,2)</f>
        <v>0</v>
      </c>
      <c r="BL287" s="120" t="s">
        <v>212</v>
      </c>
      <c r="BM287" s="247" t="s">
        <v>831</v>
      </c>
    </row>
    <row r="288" spans="2:51" s="249" customFormat="1" ht="12">
      <c r="B288" s="250"/>
      <c r="C288" s="254"/>
      <c r="D288" s="251" t="s">
        <v>214</v>
      </c>
      <c r="E288" s="252" t="s">
        <v>1</v>
      </c>
      <c r="F288" s="253" t="s">
        <v>832</v>
      </c>
      <c r="G288" s="254"/>
      <c r="H288" s="312"/>
      <c r="I288" s="255">
        <v>0.8</v>
      </c>
      <c r="J288" s="254"/>
      <c r="K288" s="254"/>
      <c r="L288" s="250"/>
      <c r="M288" s="293"/>
      <c r="N288" s="294"/>
      <c r="O288" s="294"/>
      <c r="P288" s="294"/>
      <c r="Q288" s="294"/>
      <c r="R288" s="294"/>
      <c r="S288" s="294"/>
      <c r="T288" s="295"/>
      <c r="AT288" s="260" t="s">
        <v>214</v>
      </c>
      <c r="AU288" s="260" t="s">
        <v>92</v>
      </c>
      <c r="AV288" s="249" t="s">
        <v>92</v>
      </c>
      <c r="AW288" s="249" t="s">
        <v>39</v>
      </c>
      <c r="AX288" s="249" t="s">
        <v>18</v>
      </c>
      <c r="AY288" s="260" t="s">
        <v>206</v>
      </c>
    </row>
    <row r="289" spans="1:65" s="136" customFormat="1" ht="21.75" customHeight="1">
      <c r="A289" s="131"/>
      <c r="B289" s="132"/>
      <c r="C289" s="236">
        <f>C287+1</f>
        <v>65</v>
      </c>
      <c r="D289" s="284" t="s">
        <v>324</v>
      </c>
      <c r="E289" s="285" t="s">
        <v>833</v>
      </c>
      <c r="F289" s="286" t="s">
        <v>834</v>
      </c>
      <c r="G289" s="287" t="s">
        <v>376</v>
      </c>
      <c r="H289" s="73"/>
      <c r="I289" s="288">
        <v>4</v>
      </c>
      <c r="J289" s="240">
        <f>ROUND($H289*I289,2)</f>
        <v>0</v>
      </c>
      <c r="K289" s="289"/>
      <c r="L289" s="304"/>
      <c r="M289" s="305" t="s">
        <v>1</v>
      </c>
      <c r="N289" s="306" t="s">
        <v>47</v>
      </c>
      <c r="O289" s="298">
        <v>0</v>
      </c>
      <c r="P289" s="298">
        <f>O289*I289</f>
        <v>0</v>
      </c>
      <c r="Q289" s="298">
        <v>0.01</v>
      </c>
      <c r="R289" s="298">
        <f>Q289*I289</f>
        <v>0.04</v>
      </c>
      <c r="S289" s="298">
        <v>0</v>
      </c>
      <c r="T289" s="299">
        <f>S289*I289</f>
        <v>0</v>
      </c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R289" s="247" t="s">
        <v>256</v>
      </c>
      <c r="AT289" s="247" t="s">
        <v>324</v>
      </c>
      <c r="AU289" s="247" t="s">
        <v>92</v>
      </c>
      <c r="AY289" s="120" t="s">
        <v>206</v>
      </c>
      <c r="BE289" s="248">
        <f>IF(N289="základní",J289,0)</f>
        <v>0</v>
      </c>
      <c r="BF289" s="248">
        <f>IF(N289="snížená",J289,0)</f>
        <v>0</v>
      </c>
      <c r="BG289" s="248">
        <f>IF(N289="zákl. přenesená",J289,0)</f>
        <v>0</v>
      </c>
      <c r="BH289" s="248">
        <f>IF(N289="sníž. přenesená",J289,0)</f>
        <v>0</v>
      </c>
      <c r="BI289" s="248">
        <f>IF(N289="nulová",J289,0)</f>
        <v>0</v>
      </c>
      <c r="BJ289" s="120" t="s">
        <v>18</v>
      </c>
      <c r="BK289" s="248">
        <f>ROUND(H289*I289,2)</f>
        <v>0</v>
      </c>
      <c r="BL289" s="120" t="s">
        <v>212</v>
      </c>
      <c r="BM289" s="247" t="s">
        <v>835</v>
      </c>
    </row>
    <row r="290" spans="1:65" s="300" customFormat="1" ht="21.75" customHeight="1">
      <c r="A290" s="134"/>
      <c r="B290" s="132"/>
      <c r="C290" s="343">
        <f>C289+1</f>
        <v>66</v>
      </c>
      <c r="D290" s="236" t="s">
        <v>208</v>
      </c>
      <c r="E290" s="237" t="s">
        <v>836</v>
      </c>
      <c r="F290" s="238" t="s">
        <v>837</v>
      </c>
      <c r="G290" s="239" t="s">
        <v>211</v>
      </c>
      <c r="H290" s="72"/>
      <c r="I290" s="241">
        <f>I291</f>
        <v>16</v>
      </c>
      <c r="J290" s="240">
        <f>ROUND($H290*I290,2)</f>
        <v>0</v>
      </c>
      <c r="K290" s="242"/>
      <c r="L290" s="132"/>
      <c r="M290" s="296" t="s">
        <v>1</v>
      </c>
      <c r="N290" s="297" t="s">
        <v>47</v>
      </c>
      <c r="O290" s="298">
        <v>1.234</v>
      </c>
      <c r="P290" s="298">
        <f>O290*I290</f>
        <v>19.744</v>
      </c>
      <c r="Q290" s="298">
        <v>0.07816</v>
      </c>
      <c r="R290" s="298">
        <f>Q290*I290</f>
        <v>1.25056</v>
      </c>
      <c r="S290" s="298">
        <v>0</v>
      </c>
      <c r="T290" s="299">
        <f>S290*I290</f>
        <v>0</v>
      </c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R290" s="301" t="s">
        <v>212</v>
      </c>
      <c r="AT290" s="301" t="s">
        <v>208</v>
      </c>
      <c r="AU290" s="301" t="s">
        <v>92</v>
      </c>
      <c r="AY290" s="302" t="s">
        <v>206</v>
      </c>
      <c r="BE290" s="303">
        <f>IF(N290="základní",J290,0)</f>
        <v>0</v>
      </c>
      <c r="BF290" s="303">
        <f>IF(N290="snížená",J290,0)</f>
        <v>0</v>
      </c>
      <c r="BG290" s="303">
        <f>IF(N290="zákl. přenesená",J290,0)</f>
        <v>0</v>
      </c>
      <c r="BH290" s="303">
        <f>IF(N290="sníž. přenesená",J290,0)</f>
        <v>0</v>
      </c>
      <c r="BI290" s="303">
        <f>IF(N290="nulová",J290,0)</f>
        <v>0</v>
      </c>
      <c r="BJ290" s="302" t="s">
        <v>18</v>
      </c>
      <c r="BK290" s="303">
        <f>ROUND(H290*I290,2)</f>
        <v>0</v>
      </c>
      <c r="BL290" s="302" t="s">
        <v>212</v>
      </c>
      <c r="BM290" s="301" t="s">
        <v>838</v>
      </c>
    </row>
    <row r="291" spans="2:51" s="254" customFormat="1" ht="12">
      <c r="B291" s="250"/>
      <c r="D291" s="251" t="s">
        <v>214</v>
      </c>
      <c r="E291" s="252" t="s">
        <v>642</v>
      </c>
      <c r="F291" s="253" t="s">
        <v>875</v>
      </c>
      <c r="H291" s="312"/>
      <c r="I291" s="255">
        <f>1.6*10</f>
        <v>16</v>
      </c>
      <c r="L291" s="250"/>
      <c r="M291" s="293"/>
      <c r="N291" s="294"/>
      <c r="O291" s="294"/>
      <c r="P291" s="294"/>
      <c r="Q291" s="294"/>
      <c r="R291" s="294"/>
      <c r="S291" s="294"/>
      <c r="T291" s="295"/>
      <c r="AT291" s="252" t="s">
        <v>214</v>
      </c>
      <c r="AU291" s="252" t="s">
        <v>92</v>
      </c>
      <c r="AV291" s="254" t="s">
        <v>92</v>
      </c>
      <c r="AW291" s="254" t="s">
        <v>39</v>
      </c>
      <c r="AX291" s="254" t="s">
        <v>18</v>
      </c>
      <c r="AY291" s="252" t="s">
        <v>206</v>
      </c>
    </row>
    <row r="292" spans="2:63" s="218" customFormat="1" ht="20.85" customHeight="1">
      <c r="B292" s="219"/>
      <c r="C292" s="223"/>
      <c r="D292" s="221" t="s">
        <v>81</v>
      </c>
      <c r="E292" s="233" t="s">
        <v>558</v>
      </c>
      <c r="F292" s="233" t="s">
        <v>839</v>
      </c>
      <c r="G292" s="223"/>
      <c r="H292" s="315"/>
      <c r="I292" s="223"/>
      <c r="J292" s="234">
        <f>SUM(J293:J303)</f>
        <v>0</v>
      </c>
      <c r="K292" s="223"/>
      <c r="L292" s="219"/>
      <c r="M292" s="330"/>
      <c r="N292" s="331"/>
      <c r="O292" s="331"/>
      <c r="P292" s="332">
        <f>SUM(P293:P302)</f>
        <v>0</v>
      </c>
      <c r="Q292" s="331"/>
      <c r="R292" s="332">
        <f>SUM(R293:R302)</f>
        <v>0</v>
      </c>
      <c r="S292" s="331"/>
      <c r="T292" s="333">
        <f>SUM(T293:T302)</f>
        <v>0</v>
      </c>
      <c r="AR292" s="230" t="s">
        <v>18</v>
      </c>
      <c r="AT292" s="231" t="s">
        <v>81</v>
      </c>
      <c r="AU292" s="231" t="s">
        <v>92</v>
      </c>
      <c r="AY292" s="230" t="s">
        <v>206</v>
      </c>
      <c r="BK292" s="232">
        <f>SUM(BK293:BK302)</f>
        <v>0</v>
      </c>
    </row>
    <row r="293" spans="1:65" s="136" customFormat="1" ht="29.25" customHeight="1">
      <c r="A293" s="131"/>
      <c r="B293" s="132"/>
      <c r="C293" s="236" t="s">
        <v>508</v>
      </c>
      <c r="D293" s="236" t="s">
        <v>208</v>
      </c>
      <c r="E293" s="237"/>
      <c r="F293" s="238" t="s">
        <v>855</v>
      </c>
      <c r="G293" s="239" t="s">
        <v>560</v>
      </c>
      <c r="H293" s="72"/>
      <c r="I293" s="241">
        <v>1</v>
      </c>
      <c r="J293" s="240">
        <f aca="true" t="shared" si="22" ref="J293:J303">ROUND($H293*I293,2)</f>
        <v>0</v>
      </c>
      <c r="K293" s="242"/>
      <c r="L293" s="132"/>
      <c r="M293" s="296" t="s">
        <v>1</v>
      </c>
      <c r="N293" s="297" t="s">
        <v>47</v>
      </c>
      <c r="O293" s="298">
        <v>0</v>
      </c>
      <c r="P293" s="298">
        <f aca="true" t="shared" si="23" ref="P293:P299">O293*I293</f>
        <v>0</v>
      </c>
      <c r="Q293" s="298">
        <v>0</v>
      </c>
      <c r="R293" s="298">
        <f aca="true" t="shared" si="24" ref="R293:R299">Q293*I293</f>
        <v>0</v>
      </c>
      <c r="S293" s="298">
        <v>0</v>
      </c>
      <c r="T293" s="299">
        <f aca="true" t="shared" si="25" ref="T293:T299">S293*I293</f>
        <v>0</v>
      </c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R293" s="247" t="s">
        <v>212</v>
      </c>
      <c r="AT293" s="247" t="s">
        <v>208</v>
      </c>
      <c r="AU293" s="247" t="s">
        <v>219</v>
      </c>
      <c r="AY293" s="120" t="s">
        <v>206</v>
      </c>
      <c r="BE293" s="248">
        <f aca="true" t="shared" si="26" ref="BE293:BE299">IF(N293="základní",J293,0)</f>
        <v>0</v>
      </c>
      <c r="BF293" s="248">
        <f aca="true" t="shared" si="27" ref="BF293:BF299">IF(N293="snížená",J293,0)</f>
        <v>0</v>
      </c>
      <c r="BG293" s="248">
        <f aca="true" t="shared" si="28" ref="BG293:BG299">IF(N293="zákl. přenesená",J293,0)</f>
        <v>0</v>
      </c>
      <c r="BH293" s="248">
        <f aca="true" t="shared" si="29" ref="BH293:BH299">IF(N293="sníž. přenesená",J293,0)</f>
        <v>0</v>
      </c>
      <c r="BI293" s="248">
        <f aca="true" t="shared" si="30" ref="BI293:BI299">IF(N293="nulová",J293,0)</f>
        <v>0</v>
      </c>
      <c r="BJ293" s="120" t="s">
        <v>18</v>
      </c>
      <c r="BK293" s="248">
        <f aca="true" t="shared" si="31" ref="BK293:BK299">ROUND(H293*I293,2)</f>
        <v>0</v>
      </c>
      <c r="BL293" s="120" t="s">
        <v>212</v>
      </c>
      <c r="BM293" s="247" t="s">
        <v>840</v>
      </c>
    </row>
    <row r="294" spans="1:65" s="136" customFormat="1" ht="27.75" customHeight="1">
      <c r="A294" s="131"/>
      <c r="B294" s="132"/>
      <c r="C294" s="343">
        <f aca="true" t="shared" si="32" ref="C294:C299">C293+1</f>
        <v>81</v>
      </c>
      <c r="D294" s="236" t="s">
        <v>208</v>
      </c>
      <c r="E294" s="237"/>
      <c r="F294" s="238" t="s">
        <v>865</v>
      </c>
      <c r="G294" s="239" t="s">
        <v>376</v>
      </c>
      <c r="H294" s="72"/>
      <c r="I294" s="241">
        <v>5</v>
      </c>
      <c r="J294" s="240">
        <f t="shared" si="22"/>
        <v>0</v>
      </c>
      <c r="K294" s="242"/>
      <c r="L294" s="132"/>
      <c r="M294" s="296" t="s">
        <v>1</v>
      </c>
      <c r="N294" s="297" t="s">
        <v>47</v>
      </c>
      <c r="O294" s="298">
        <v>0</v>
      </c>
      <c r="P294" s="298">
        <f t="shared" si="23"/>
        <v>0</v>
      </c>
      <c r="Q294" s="298">
        <v>0</v>
      </c>
      <c r="R294" s="298">
        <f t="shared" si="24"/>
        <v>0</v>
      </c>
      <c r="S294" s="298">
        <v>0</v>
      </c>
      <c r="T294" s="299">
        <f t="shared" si="25"/>
        <v>0</v>
      </c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R294" s="247" t="s">
        <v>212</v>
      </c>
      <c r="AT294" s="247" t="s">
        <v>208</v>
      </c>
      <c r="AU294" s="247" t="s">
        <v>219</v>
      </c>
      <c r="AY294" s="120" t="s">
        <v>206</v>
      </c>
      <c r="BE294" s="248">
        <f t="shared" si="26"/>
        <v>0</v>
      </c>
      <c r="BF294" s="248">
        <f t="shared" si="27"/>
        <v>0</v>
      </c>
      <c r="BG294" s="248">
        <f t="shared" si="28"/>
        <v>0</v>
      </c>
      <c r="BH294" s="248">
        <f t="shared" si="29"/>
        <v>0</v>
      </c>
      <c r="BI294" s="248">
        <f t="shared" si="30"/>
        <v>0</v>
      </c>
      <c r="BJ294" s="120" t="s">
        <v>18</v>
      </c>
      <c r="BK294" s="248">
        <f t="shared" si="31"/>
        <v>0</v>
      </c>
      <c r="BL294" s="120" t="s">
        <v>212</v>
      </c>
      <c r="BM294" s="247" t="s">
        <v>841</v>
      </c>
    </row>
    <row r="295" spans="1:65" s="136" customFormat="1" ht="21.75" customHeight="1">
      <c r="A295" s="131"/>
      <c r="B295" s="132"/>
      <c r="C295" s="343">
        <f t="shared" si="32"/>
        <v>82</v>
      </c>
      <c r="D295" s="236" t="s">
        <v>208</v>
      </c>
      <c r="E295" s="237"/>
      <c r="F295" s="238" t="s">
        <v>867</v>
      </c>
      <c r="G295" s="239" t="s">
        <v>560</v>
      </c>
      <c r="H295" s="72"/>
      <c r="I295" s="241">
        <v>1</v>
      </c>
      <c r="J295" s="240">
        <f t="shared" si="22"/>
        <v>0</v>
      </c>
      <c r="K295" s="242"/>
      <c r="L295" s="132"/>
      <c r="M295" s="296" t="s">
        <v>1</v>
      </c>
      <c r="N295" s="297" t="s">
        <v>47</v>
      </c>
      <c r="O295" s="298">
        <v>0</v>
      </c>
      <c r="P295" s="298">
        <f t="shared" si="23"/>
        <v>0</v>
      </c>
      <c r="Q295" s="298">
        <v>0</v>
      </c>
      <c r="R295" s="298">
        <f t="shared" si="24"/>
        <v>0</v>
      </c>
      <c r="S295" s="298">
        <v>0</v>
      </c>
      <c r="T295" s="299">
        <f t="shared" si="25"/>
        <v>0</v>
      </c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R295" s="247" t="s">
        <v>212</v>
      </c>
      <c r="AT295" s="247" t="s">
        <v>208</v>
      </c>
      <c r="AU295" s="247" t="s">
        <v>219</v>
      </c>
      <c r="AY295" s="120" t="s">
        <v>206</v>
      </c>
      <c r="BE295" s="248">
        <f t="shared" si="26"/>
        <v>0</v>
      </c>
      <c r="BF295" s="248">
        <f t="shared" si="27"/>
        <v>0</v>
      </c>
      <c r="BG295" s="248">
        <f t="shared" si="28"/>
        <v>0</v>
      </c>
      <c r="BH295" s="248">
        <f t="shared" si="29"/>
        <v>0</v>
      </c>
      <c r="BI295" s="248">
        <f t="shared" si="30"/>
        <v>0</v>
      </c>
      <c r="BJ295" s="120" t="s">
        <v>18</v>
      </c>
      <c r="BK295" s="248">
        <f t="shared" si="31"/>
        <v>0</v>
      </c>
      <c r="BL295" s="120" t="s">
        <v>212</v>
      </c>
      <c r="BM295" s="247" t="s">
        <v>842</v>
      </c>
    </row>
    <row r="296" spans="1:65" s="136" customFormat="1" ht="21.75" customHeight="1">
      <c r="A296" s="131"/>
      <c r="B296" s="132"/>
      <c r="C296" s="343">
        <f t="shared" si="32"/>
        <v>83</v>
      </c>
      <c r="D296" s="236" t="s">
        <v>208</v>
      </c>
      <c r="E296" s="237"/>
      <c r="F296" s="238" t="s">
        <v>890</v>
      </c>
      <c r="G296" s="239" t="s">
        <v>560</v>
      </c>
      <c r="H296" s="72"/>
      <c r="I296" s="241">
        <v>1</v>
      </c>
      <c r="J296" s="240">
        <f t="shared" si="22"/>
        <v>0</v>
      </c>
      <c r="K296" s="242"/>
      <c r="L296" s="132"/>
      <c r="M296" s="296" t="s">
        <v>1</v>
      </c>
      <c r="N296" s="297" t="s">
        <v>47</v>
      </c>
      <c r="O296" s="298">
        <v>0</v>
      </c>
      <c r="P296" s="298">
        <f t="shared" si="23"/>
        <v>0</v>
      </c>
      <c r="Q296" s="298">
        <v>0</v>
      </c>
      <c r="R296" s="298">
        <f t="shared" si="24"/>
        <v>0</v>
      </c>
      <c r="S296" s="298">
        <v>0</v>
      </c>
      <c r="T296" s="299">
        <f t="shared" si="25"/>
        <v>0</v>
      </c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R296" s="247" t="s">
        <v>212</v>
      </c>
      <c r="AT296" s="247" t="s">
        <v>208</v>
      </c>
      <c r="AU296" s="247" t="s">
        <v>219</v>
      </c>
      <c r="AY296" s="120" t="s">
        <v>206</v>
      </c>
      <c r="BE296" s="248">
        <f t="shared" si="26"/>
        <v>0</v>
      </c>
      <c r="BF296" s="248">
        <f t="shared" si="27"/>
        <v>0</v>
      </c>
      <c r="BG296" s="248">
        <f t="shared" si="28"/>
        <v>0</v>
      </c>
      <c r="BH296" s="248">
        <f t="shared" si="29"/>
        <v>0</v>
      </c>
      <c r="BI296" s="248">
        <f t="shared" si="30"/>
        <v>0</v>
      </c>
      <c r="BJ296" s="120" t="s">
        <v>18</v>
      </c>
      <c r="BK296" s="248">
        <f t="shared" si="31"/>
        <v>0</v>
      </c>
      <c r="BL296" s="120" t="s">
        <v>212</v>
      </c>
      <c r="BM296" s="247" t="s">
        <v>843</v>
      </c>
    </row>
    <row r="297" spans="1:65" s="136" customFormat="1" ht="29.25" customHeight="1">
      <c r="A297" s="131"/>
      <c r="B297" s="132"/>
      <c r="C297" s="343">
        <f t="shared" si="32"/>
        <v>84</v>
      </c>
      <c r="D297" s="236" t="s">
        <v>208</v>
      </c>
      <c r="E297" s="237"/>
      <c r="F297" s="238" t="s">
        <v>870</v>
      </c>
      <c r="G297" s="239" t="s">
        <v>560</v>
      </c>
      <c r="H297" s="72"/>
      <c r="I297" s="241">
        <v>1</v>
      </c>
      <c r="J297" s="240">
        <f t="shared" si="22"/>
        <v>0</v>
      </c>
      <c r="K297" s="242"/>
      <c r="L297" s="132"/>
      <c r="M297" s="296" t="s">
        <v>1</v>
      </c>
      <c r="N297" s="297" t="s">
        <v>47</v>
      </c>
      <c r="O297" s="298">
        <v>0</v>
      </c>
      <c r="P297" s="298">
        <f t="shared" si="23"/>
        <v>0</v>
      </c>
      <c r="Q297" s="298">
        <v>0</v>
      </c>
      <c r="R297" s="298">
        <f t="shared" si="24"/>
        <v>0</v>
      </c>
      <c r="S297" s="298">
        <v>0</v>
      </c>
      <c r="T297" s="299">
        <f t="shared" si="25"/>
        <v>0</v>
      </c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R297" s="247" t="s">
        <v>212</v>
      </c>
      <c r="AT297" s="247" t="s">
        <v>208</v>
      </c>
      <c r="AU297" s="247" t="s">
        <v>219</v>
      </c>
      <c r="AY297" s="120" t="s">
        <v>206</v>
      </c>
      <c r="BE297" s="248">
        <f t="shared" si="26"/>
        <v>0</v>
      </c>
      <c r="BF297" s="248">
        <f t="shared" si="27"/>
        <v>0</v>
      </c>
      <c r="BG297" s="248">
        <f t="shared" si="28"/>
        <v>0</v>
      </c>
      <c r="BH297" s="248">
        <f t="shared" si="29"/>
        <v>0</v>
      </c>
      <c r="BI297" s="248">
        <f t="shared" si="30"/>
        <v>0</v>
      </c>
      <c r="BJ297" s="120" t="s">
        <v>18</v>
      </c>
      <c r="BK297" s="248">
        <f t="shared" si="31"/>
        <v>0</v>
      </c>
      <c r="BL297" s="120" t="s">
        <v>212</v>
      </c>
      <c r="BM297" s="247" t="s">
        <v>844</v>
      </c>
    </row>
    <row r="298" spans="1:65" s="136" customFormat="1" ht="21.75" customHeight="1">
      <c r="A298" s="131"/>
      <c r="B298" s="132"/>
      <c r="C298" s="343">
        <f t="shared" si="32"/>
        <v>85</v>
      </c>
      <c r="D298" s="236" t="s">
        <v>208</v>
      </c>
      <c r="E298" s="237"/>
      <c r="F298" s="238" t="s">
        <v>891</v>
      </c>
      <c r="G298" s="239" t="s">
        <v>560</v>
      </c>
      <c r="H298" s="72"/>
      <c r="I298" s="241">
        <v>1</v>
      </c>
      <c r="J298" s="240">
        <f t="shared" si="22"/>
        <v>0</v>
      </c>
      <c r="K298" s="242"/>
      <c r="L298" s="132"/>
      <c r="M298" s="296" t="s">
        <v>1</v>
      </c>
      <c r="N298" s="297" t="s">
        <v>47</v>
      </c>
      <c r="O298" s="298">
        <v>0</v>
      </c>
      <c r="P298" s="298">
        <f t="shared" si="23"/>
        <v>0</v>
      </c>
      <c r="Q298" s="298">
        <v>0</v>
      </c>
      <c r="R298" s="298">
        <f t="shared" si="24"/>
        <v>0</v>
      </c>
      <c r="S298" s="298">
        <v>0</v>
      </c>
      <c r="T298" s="299">
        <f t="shared" si="25"/>
        <v>0</v>
      </c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R298" s="247" t="s">
        <v>212</v>
      </c>
      <c r="AT298" s="247" t="s">
        <v>208</v>
      </c>
      <c r="AU298" s="247" t="s">
        <v>219</v>
      </c>
      <c r="AY298" s="120" t="s">
        <v>206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120" t="s">
        <v>18</v>
      </c>
      <c r="BK298" s="248">
        <f t="shared" si="31"/>
        <v>0</v>
      </c>
      <c r="BL298" s="120" t="s">
        <v>212</v>
      </c>
      <c r="BM298" s="247" t="s">
        <v>563</v>
      </c>
    </row>
    <row r="299" spans="1:65" s="136" customFormat="1" ht="21.75" customHeight="1">
      <c r="A299" s="131"/>
      <c r="B299" s="132"/>
      <c r="C299" s="343">
        <f t="shared" si="32"/>
        <v>86</v>
      </c>
      <c r="D299" s="236" t="s">
        <v>208</v>
      </c>
      <c r="E299" s="237"/>
      <c r="F299" s="238" t="s">
        <v>892</v>
      </c>
      <c r="G299" s="239" t="s">
        <v>560</v>
      </c>
      <c r="H299" s="72"/>
      <c r="I299" s="241">
        <v>1</v>
      </c>
      <c r="J299" s="240">
        <f t="shared" si="22"/>
        <v>0</v>
      </c>
      <c r="K299" s="242"/>
      <c r="L299" s="132"/>
      <c r="M299" s="296" t="s">
        <v>1</v>
      </c>
      <c r="N299" s="297" t="s">
        <v>47</v>
      </c>
      <c r="O299" s="298">
        <v>0</v>
      </c>
      <c r="P299" s="298">
        <f t="shared" si="23"/>
        <v>0</v>
      </c>
      <c r="Q299" s="298">
        <v>0</v>
      </c>
      <c r="R299" s="298">
        <f t="shared" si="24"/>
        <v>0</v>
      </c>
      <c r="S299" s="298">
        <v>0</v>
      </c>
      <c r="T299" s="299">
        <f t="shared" si="25"/>
        <v>0</v>
      </c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R299" s="247" t="s">
        <v>212</v>
      </c>
      <c r="AT299" s="247" t="s">
        <v>208</v>
      </c>
      <c r="AU299" s="247" t="s">
        <v>219</v>
      </c>
      <c r="AY299" s="120" t="s">
        <v>206</v>
      </c>
      <c r="BE299" s="248">
        <f t="shared" si="26"/>
        <v>0</v>
      </c>
      <c r="BF299" s="248">
        <f t="shared" si="27"/>
        <v>0</v>
      </c>
      <c r="BG299" s="248">
        <f t="shared" si="28"/>
        <v>0</v>
      </c>
      <c r="BH299" s="248">
        <f t="shared" si="29"/>
        <v>0</v>
      </c>
      <c r="BI299" s="248">
        <f t="shared" si="30"/>
        <v>0</v>
      </c>
      <c r="BJ299" s="120" t="s">
        <v>18</v>
      </c>
      <c r="BK299" s="248">
        <f t="shared" si="31"/>
        <v>0</v>
      </c>
      <c r="BL299" s="120" t="s">
        <v>212</v>
      </c>
      <c r="BM299" s="247" t="s">
        <v>845</v>
      </c>
    </row>
    <row r="300" spans="2:51" s="249" customFormat="1" ht="12">
      <c r="B300" s="250"/>
      <c r="C300" s="254"/>
      <c r="D300" s="251" t="s">
        <v>214</v>
      </c>
      <c r="E300" s="252"/>
      <c r="F300" s="253" t="s">
        <v>846</v>
      </c>
      <c r="G300" s="254"/>
      <c r="H300" s="312"/>
      <c r="I300" s="255">
        <v>0.492</v>
      </c>
      <c r="J300" s="240">
        <f t="shared" si="22"/>
        <v>0</v>
      </c>
      <c r="K300" s="254"/>
      <c r="L300" s="250"/>
      <c r="M300" s="293"/>
      <c r="N300" s="294"/>
      <c r="O300" s="294"/>
      <c r="P300" s="294"/>
      <c r="Q300" s="294"/>
      <c r="R300" s="294"/>
      <c r="S300" s="294"/>
      <c r="T300" s="295"/>
      <c r="AT300" s="260" t="s">
        <v>214</v>
      </c>
      <c r="AU300" s="260" t="s">
        <v>219</v>
      </c>
      <c r="AV300" s="249" t="s">
        <v>92</v>
      </c>
      <c r="AW300" s="249" t="s">
        <v>39</v>
      </c>
      <c r="AX300" s="249" t="s">
        <v>18</v>
      </c>
      <c r="AY300" s="260" t="s">
        <v>206</v>
      </c>
    </row>
    <row r="301" spans="1:65" s="300" customFormat="1" ht="21.75" customHeight="1">
      <c r="A301" s="134"/>
      <c r="B301" s="132"/>
      <c r="C301" s="236">
        <f>C299+1</f>
        <v>87</v>
      </c>
      <c r="D301" s="236" t="s">
        <v>208</v>
      </c>
      <c r="E301" s="237"/>
      <c r="F301" s="238" t="s">
        <v>911</v>
      </c>
      <c r="G301" s="239" t="s">
        <v>376</v>
      </c>
      <c r="H301" s="72"/>
      <c r="I301" s="241">
        <v>10</v>
      </c>
      <c r="J301" s="240">
        <f t="shared" si="22"/>
        <v>0</v>
      </c>
      <c r="K301" s="242"/>
      <c r="L301" s="132"/>
      <c r="M301" s="296" t="s">
        <v>1</v>
      </c>
      <c r="N301" s="297" t="s">
        <v>47</v>
      </c>
      <c r="O301" s="298">
        <v>0</v>
      </c>
      <c r="P301" s="298">
        <f>O301*I301</f>
        <v>0</v>
      </c>
      <c r="Q301" s="298">
        <v>0</v>
      </c>
      <c r="R301" s="298">
        <f>Q301*I301</f>
        <v>0</v>
      </c>
      <c r="S301" s="298">
        <v>0</v>
      </c>
      <c r="T301" s="299">
        <f>S301*I301</f>
        <v>0</v>
      </c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R301" s="301" t="s">
        <v>212</v>
      </c>
      <c r="AT301" s="301" t="s">
        <v>208</v>
      </c>
      <c r="AU301" s="301" t="s">
        <v>219</v>
      </c>
      <c r="AY301" s="302" t="s">
        <v>206</v>
      </c>
      <c r="BE301" s="303">
        <f aca="true" t="shared" si="33" ref="BE301">IF(N301="základní",J301,0)</f>
        <v>0</v>
      </c>
      <c r="BF301" s="303">
        <f aca="true" t="shared" si="34" ref="BF301">IF(N301="snížená",J301,0)</f>
        <v>0</v>
      </c>
      <c r="BG301" s="303">
        <f aca="true" t="shared" si="35" ref="BG301">IF(N301="zákl. přenesená",J301,0)</f>
        <v>0</v>
      </c>
      <c r="BH301" s="303">
        <f aca="true" t="shared" si="36" ref="BH301">IF(N301="sníž. přenesená",J301,0)</f>
        <v>0</v>
      </c>
      <c r="BI301" s="303">
        <f aca="true" t="shared" si="37" ref="BI301">IF(N301="nulová",J301,0)</f>
        <v>0</v>
      </c>
      <c r="BJ301" s="302" t="s">
        <v>18</v>
      </c>
      <c r="BK301" s="303">
        <f>ROUND(H301*I301,2)</f>
        <v>0</v>
      </c>
      <c r="BL301" s="302" t="s">
        <v>212</v>
      </c>
      <c r="BM301" s="301" t="s">
        <v>842</v>
      </c>
    </row>
    <row r="302" spans="1:65" s="136" customFormat="1" ht="21.75" customHeight="1">
      <c r="A302" s="131"/>
      <c r="B302" s="132"/>
      <c r="C302" s="343">
        <f aca="true" t="shared" si="38" ref="C302:C303">C301+1</f>
        <v>88</v>
      </c>
      <c r="D302" s="236" t="s">
        <v>208</v>
      </c>
      <c r="E302" s="237"/>
      <c r="F302" s="238" t="s">
        <v>893</v>
      </c>
      <c r="G302" s="239" t="s">
        <v>560</v>
      </c>
      <c r="H302" s="72"/>
      <c r="I302" s="241">
        <v>1</v>
      </c>
      <c r="J302" s="240">
        <f t="shared" si="22"/>
        <v>0</v>
      </c>
      <c r="K302" s="242"/>
      <c r="L302" s="132"/>
      <c r="M302" s="296" t="s">
        <v>1</v>
      </c>
      <c r="N302" s="297" t="s">
        <v>47</v>
      </c>
      <c r="O302" s="298">
        <v>0</v>
      </c>
      <c r="P302" s="298">
        <f>O302*I302</f>
        <v>0</v>
      </c>
      <c r="Q302" s="298">
        <v>0</v>
      </c>
      <c r="R302" s="298">
        <f>Q302*I302</f>
        <v>0</v>
      </c>
      <c r="S302" s="298">
        <v>0</v>
      </c>
      <c r="T302" s="299">
        <f>S302*I302</f>
        <v>0</v>
      </c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R302" s="247" t="s">
        <v>212</v>
      </c>
      <c r="AT302" s="247" t="s">
        <v>208</v>
      </c>
      <c r="AU302" s="247" t="s">
        <v>219</v>
      </c>
      <c r="AY302" s="120" t="s">
        <v>206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120" t="s">
        <v>18</v>
      </c>
      <c r="BK302" s="248">
        <f>ROUND(H302*I302,2)</f>
        <v>0</v>
      </c>
      <c r="BL302" s="120" t="s">
        <v>212</v>
      </c>
      <c r="BM302" s="247" t="s">
        <v>574</v>
      </c>
    </row>
    <row r="303" spans="1:65" s="136" customFormat="1" ht="21.75" customHeight="1">
      <c r="A303" s="131"/>
      <c r="B303" s="132"/>
      <c r="C303" s="343">
        <f t="shared" si="38"/>
        <v>89</v>
      </c>
      <c r="D303" s="236" t="s">
        <v>208</v>
      </c>
      <c r="E303" s="237"/>
      <c r="F303" s="238" t="s">
        <v>913</v>
      </c>
      <c r="G303" s="239" t="s">
        <v>560</v>
      </c>
      <c r="H303" s="72"/>
      <c r="I303" s="241">
        <v>1</v>
      </c>
      <c r="J303" s="240">
        <f t="shared" si="22"/>
        <v>0</v>
      </c>
      <c r="K303" s="242"/>
      <c r="L303" s="132"/>
      <c r="M303" s="296" t="s">
        <v>1</v>
      </c>
      <c r="N303" s="297" t="s">
        <v>47</v>
      </c>
      <c r="O303" s="298">
        <v>0</v>
      </c>
      <c r="P303" s="298">
        <f>O303*I303</f>
        <v>0</v>
      </c>
      <c r="Q303" s="298">
        <v>0</v>
      </c>
      <c r="R303" s="298">
        <f>Q303*I303</f>
        <v>0</v>
      </c>
      <c r="S303" s="298">
        <v>0</v>
      </c>
      <c r="T303" s="299">
        <f>S303*I303</f>
        <v>0</v>
      </c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R303" s="247" t="s">
        <v>212</v>
      </c>
      <c r="AT303" s="247" t="s">
        <v>208</v>
      </c>
      <c r="AU303" s="247" t="s">
        <v>219</v>
      </c>
      <c r="AY303" s="120" t="s">
        <v>206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120" t="s">
        <v>18</v>
      </c>
      <c r="BK303" s="248">
        <f>ROUND(H303*I303,2)</f>
        <v>0</v>
      </c>
      <c r="BL303" s="120" t="s">
        <v>212</v>
      </c>
      <c r="BM303" s="247" t="s">
        <v>574</v>
      </c>
    </row>
    <row r="304" spans="2:63" s="218" customFormat="1" ht="22.9" customHeight="1">
      <c r="B304" s="219"/>
      <c r="C304" s="223"/>
      <c r="D304" s="221" t="s">
        <v>81</v>
      </c>
      <c r="E304" s="233" t="s">
        <v>575</v>
      </c>
      <c r="F304" s="233" t="s">
        <v>576</v>
      </c>
      <c r="G304" s="223"/>
      <c r="H304" s="315"/>
      <c r="I304" s="223"/>
      <c r="J304" s="234">
        <f>SUM(J305:J311)</f>
        <v>0</v>
      </c>
      <c r="K304" s="223"/>
      <c r="L304" s="219"/>
      <c r="M304" s="330"/>
      <c r="N304" s="331"/>
      <c r="O304" s="331"/>
      <c r="P304" s="332">
        <f>P307</f>
        <v>2.3209500000000003</v>
      </c>
      <c r="Q304" s="331"/>
      <c r="R304" s="332">
        <f>R307</f>
        <v>0</v>
      </c>
      <c r="S304" s="331"/>
      <c r="T304" s="333">
        <f>T307</f>
        <v>0</v>
      </c>
      <c r="AR304" s="230" t="s">
        <v>18</v>
      </c>
      <c r="AT304" s="231" t="s">
        <v>81</v>
      </c>
      <c r="AU304" s="231" t="s">
        <v>18</v>
      </c>
      <c r="AY304" s="230" t="s">
        <v>206</v>
      </c>
      <c r="BK304" s="232">
        <f>BK307</f>
        <v>0</v>
      </c>
    </row>
    <row r="305" spans="1:65" s="136" customFormat="1" ht="29.25" customHeight="1">
      <c r="A305" s="131"/>
      <c r="B305" s="132"/>
      <c r="C305" s="236">
        <f>C303+1</f>
        <v>90</v>
      </c>
      <c r="D305" s="236" t="s">
        <v>208</v>
      </c>
      <c r="E305" s="237"/>
      <c r="F305" s="238" t="s">
        <v>912</v>
      </c>
      <c r="G305" s="239" t="s">
        <v>325</v>
      </c>
      <c r="H305" s="72"/>
      <c r="I305" s="241">
        <f>I306</f>
        <v>66.35721</v>
      </c>
      <c r="J305" s="240">
        <f>ROUND($H305*I305,2)</f>
        <v>0</v>
      </c>
      <c r="K305" s="242"/>
      <c r="L305" s="132"/>
      <c r="M305" s="296" t="s">
        <v>1</v>
      </c>
      <c r="N305" s="297" t="s">
        <v>47</v>
      </c>
      <c r="O305" s="298">
        <v>0.03</v>
      </c>
      <c r="P305" s="298">
        <f>O305*I305</f>
        <v>1.9907162999999999</v>
      </c>
      <c r="Q305" s="298">
        <v>0</v>
      </c>
      <c r="R305" s="298">
        <f>Q305*I305</f>
        <v>0</v>
      </c>
      <c r="S305" s="298">
        <v>0</v>
      </c>
      <c r="T305" s="299">
        <f>S305*I305</f>
        <v>0</v>
      </c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R305" s="247" t="s">
        <v>212</v>
      </c>
      <c r="AT305" s="247" t="s">
        <v>208</v>
      </c>
      <c r="AU305" s="247" t="s">
        <v>92</v>
      </c>
      <c r="AY305" s="120" t="s">
        <v>206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120" t="s">
        <v>18</v>
      </c>
      <c r="BK305" s="248">
        <f>ROUND(H305*I305,2)</f>
        <v>0</v>
      </c>
      <c r="BL305" s="120" t="s">
        <v>212</v>
      </c>
      <c r="BM305" s="247" t="s">
        <v>577</v>
      </c>
    </row>
    <row r="306" spans="2:51" s="249" customFormat="1" ht="12">
      <c r="B306" s="250"/>
      <c r="C306" s="254"/>
      <c r="D306" s="251" t="s">
        <v>214</v>
      </c>
      <c r="E306" s="252" t="s">
        <v>1</v>
      </c>
      <c r="F306" s="253" t="s">
        <v>883</v>
      </c>
      <c r="G306" s="254"/>
      <c r="H306" s="312"/>
      <c r="I306" s="255">
        <f>159.13*0.417</f>
        <v>66.35721</v>
      </c>
      <c r="J306" s="254"/>
      <c r="K306" s="254"/>
      <c r="L306" s="250"/>
      <c r="M306" s="293"/>
      <c r="N306" s="294"/>
      <c r="O306" s="294"/>
      <c r="P306" s="294"/>
      <c r="Q306" s="294"/>
      <c r="R306" s="294"/>
      <c r="S306" s="294"/>
      <c r="T306" s="295"/>
      <c r="AT306" s="260" t="s">
        <v>214</v>
      </c>
      <c r="AU306" s="260" t="s">
        <v>219</v>
      </c>
      <c r="AV306" s="249" t="s">
        <v>92</v>
      </c>
      <c r="AW306" s="249" t="s">
        <v>39</v>
      </c>
      <c r="AX306" s="249" t="s">
        <v>18</v>
      </c>
      <c r="AY306" s="260" t="s">
        <v>206</v>
      </c>
    </row>
    <row r="307" spans="1:65" s="136" customFormat="1" ht="39.75" customHeight="1">
      <c r="A307" s="131"/>
      <c r="B307" s="132"/>
      <c r="C307" s="236">
        <f>C305+1</f>
        <v>91</v>
      </c>
      <c r="D307" s="236" t="s">
        <v>208</v>
      </c>
      <c r="E307" s="237"/>
      <c r="F307" s="238" t="s">
        <v>881</v>
      </c>
      <c r="G307" s="239" t="s">
        <v>325</v>
      </c>
      <c r="H307" s="72"/>
      <c r="I307" s="241">
        <f>I308</f>
        <v>77.36500000000001</v>
      </c>
      <c r="J307" s="240">
        <f>ROUND($H307*I307,2)</f>
        <v>0</v>
      </c>
      <c r="K307" s="242"/>
      <c r="L307" s="132"/>
      <c r="M307" s="296" t="s">
        <v>1</v>
      </c>
      <c r="N307" s="297" t="s">
        <v>47</v>
      </c>
      <c r="O307" s="298">
        <v>0.03</v>
      </c>
      <c r="P307" s="298">
        <f>O307*I307</f>
        <v>2.3209500000000003</v>
      </c>
      <c r="Q307" s="298">
        <v>0</v>
      </c>
      <c r="R307" s="298">
        <f>Q307*I307</f>
        <v>0</v>
      </c>
      <c r="S307" s="298">
        <v>0</v>
      </c>
      <c r="T307" s="299">
        <f>S307*I307</f>
        <v>0</v>
      </c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R307" s="247" t="s">
        <v>212</v>
      </c>
      <c r="AT307" s="247" t="s">
        <v>208</v>
      </c>
      <c r="AU307" s="247" t="s">
        <v>92</v>
      </c>
      <c r="AY307" s="120" t="s">
        <v>206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20" t="s">
        <v>18</v>
      </c>
      <c r="BK307" s="248">
        <f>ROUND(H307*I307,2)</f>
        <v>0</v>
      </c>
      <c r="BL307" s="120" t="s">
        <v>212</v>
      </c>
      <c r="BM307" s="247" t="s">
        <v>577</v>
      </c>
    </row>
    <row r="308" spans="2:51" s="249" customFormat="1" ht="12">
      <c r="B308" s="250"/>
      <c r="C308" s="254"/>
      <c r="D308" s="251" t="s">
        <v>214</v>
      </c>
      <c r="E308" s="252"/>
      <c r="F308" s="253" t="s">
        <v>880</v>
      </c>
      <c r="G308" s="254"/>
      <c r="H308" s="312"/>
      <c r="I308" s="345">
        <f>SUM(T155,T209,T214,T287)</f>
        <v>77.36500000000001</v>
      </c>
      <c r="J308" s="254"/>
      <c r="K308" s="254"/>
      <c r="L308" s="250"/>
      <c r="M308" s="293"/>
      <c r="N308" s="294"/>
      <c r="O308" s="294"/>
      <c r="P308" s="294"/>
      <c r="Q308" s="294"/>
      <c r="R308" s="294"/>
      <c r="S308" s="294"/>
      <c r="T308" s="295"/>
      <c r="AT308" s="260" t="s">
        <v>214</v>
      </c>
      <c r="AU308" s="260" t="s">
        <v>219</v>
      </c>
      <c r="AV308" s="249" t="s">
        <v>92</v>
      </c>
      <c r="AW308" s="249" t="s">
        <v>39</v>
      </c>
      <c r="AX308" s="249" t="s">
        <v>18</v>
      </c>
      <c r="AY308" s="260" t="s">
        <v>206</v>
      </c>
    </row>
    <row r="309" spans="1:65" s="136" customFormat="1" ht="21.75" customHeight="1">
      <c r="A309" s="131"/>
      <c r="B309" s="132"/>
      <c r="C309" s="236">
        <f>C307+1</f>
        <v>92</v>
      </c>
      <c r="D309" s="236" t="s">
        <v>208</v>
      </c>
      <c r="E309" s="237"/>
      <c r="F309" s="238" t="s">
        <v>881</v>
      </c>
      <c r="G309" s="239" t="s">
        <v>325</v>
      </c>
      <c r="H309" s="72"/>
      <c r="I309" s="241">
        <f>I310</f>
        <v>20.368896</v>
      </c>
      <c r="J309" s="240">
        <f>ROUND($H309*I309,2)</f>
        <v>0</v>
      </c>
      <c r="K309" s="242"/>
      <c r="L309" s="132"/>
      <c r="M309" s="296" t="s">
        <v>1</v>
      </c>
      <c r="N309" s="297" t="s">
        <v>47</v>
      </c>
      <c r="O309" s="298">
        <v>0.03</v>
      </c>
      <c r="P309" s="298">
        <f>O309*I309</f>
        <v>0.61106688</v>
      </c>
      <c r="Q309" s="298">
        <v>0</v>
      </c>
      <c r="R309" s="298">
        <f>Q309*I309</f>
        <v>0</v>
      </c>
      <c r="S309" s="298">
        <v>0</v>
      </c>
      <c r="T309" s="299">
        <f>S309*I309</f>
        <v>0</v>
      </c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R309" s="247" t="s">
        <v>212</v>
      </c>
      <c r="AT309" s="247" t="s">
        <v>208</v>
      </c>
      <c r="AU309" s="247" t="s">
        <v>92</v>
      </c>
      <c r="AY309" s="120" t="s">
        <v>206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120" t="s">
        <v>18</v>
      </c>
      <c r="BK309" s="248">
        <f>ROUND(H309*I309,2)</f>
        <v>0</v>
      </c>
      <c r="BL309" s="120" t="s">
        <v>212</v>
      </c>
      <c r="BM309" s="247" t="s">
        <v>577</v>
      </c>
    </row>
    <row r="310" spans="2:51" s="249" customFormat="1" ht="12">
      <c r="B310" s="250"/>
      <c r="C310" s="254"/>
      <c r="D310" s="251" t="s">
        <v>214</v>
      </c>
      <c r="E310" s="252" t="s">
        <v>1</v>
      </c>
      <c r="F310" s="253" t="s">
        <v>882</v>
      </c>
      <c r="G310" s="254"/>
      <c r="H310" s="312"/>
      <c r="I310" s="255">
        <f>T153</f>
        <v>20.368896</v>
      </c>
      <c r="J310" s="254"/>
      <c r="K310" s="254"/>
      <c r="L310" s="250"/>
      <c r="M310" s="293"/>
      <c r="N310" s="294"/>
      <c r="O310" s="294"/>
      <c r="P310" s="294"/>
      <c r="Q310" s="294"/>
      <c r="R310" s="294"/>
      <c r="S310" s="294"/>
      <c r="T310" s="295"/>
      <c r="AT310" s="260" t="s">
        <v>214</v>
      </c>
      <c r="AU310" s="260" t="s">
        <v>219</v>
      </c>
      <c r="AV310" s="249" t="s">
        <v>92</v>
      </c>
      <c r="AW310" s="249" t="s">
        <v>39</v>
      </c>
      <c r="AX310" s="249" t="s">
        <v>18</v>
      </c>
      <c r="AY310" s="260" t="s">
        <v>206</v>
      </c>
    </row>
    <row r="311" spans="1:65" s="136" customFormat="1" ht="39.75" customHeight="1">
      <c r="A311" s="131"/>
      <c r="B311" s="132"/>
      <c r="C311" s="236">
        <f>C309+1</f>
        <v>93</v>
      </c>
      <c r="D311" s="236" t="s">
        <v>208</v>
      </c>
      <c r="E311" s="237"/>
      <c r="F311" s="238" t="s">
        <v>888</v>
      </c>
      <c r="G311" s="239" t="s">
        <v>325</v>
      </c>
      <c r="H311" s="72"/>
      <c r="I311" s="241">
        <f>I312</f>
        <v>27.052440000000004</v>
      </c>
      <c r="J311" s="240">
        <f>ROUND($H311*I311,2)</f>
        <v>0</v>
      </c>
      <c r="K311" s="242"/>
      <c r="L311" s="132"/>
      <c r="M311" s="296" t="s">
        <v>1</v>
      </c>
      <c r="N311" s="297" t="s">
        <v>47</v>
      </c>
      <c r="O311" s="298">
        <v>0.03</v>
      </c>
      <c r="P311" s="298">
        <f>O311*I311</f>
        <v>0.8115732000000001</v>
      </c>
      <c r="Q311" s="298">
        <v>0</v>
      </c>
      <c r="R311" s="298">
        <f>Q311*I311</f>
        <v>0</v>
      </c>
      <c r="S311" s="298">
        <v>0</v>
      </c>
      <c r="T311" s="299">
        <f>S311*I311</f>
        <v>0</v>
      </c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R311" s="247" t="s">
        <v>212</v>
      </c>
      <c r="AT311" s="247" t="s">
        <v>208</v>
      </c>
      <c r="AU311" s="247" t="s">
        <v>92</v>
      </c>
      <c r="AY311" s="120" t="s">
        <v>206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120" t="s">
        <v>18</v>
      </c>
      <c r="BK311" s="248">
        <f>ROUND(H311*I311,2)</f>
        <v>0</v>
      </c>
      <c r="BL311" s="120" t="s">
        <v>212</v>
      </c>
      <c r="BM311" s="247" t="s">
        <v>577</v>
      </c>
    </row>
    <row r="312" spans="2:51" s="249" customFormat="1" ht="12">
      <c r="B312" s="250"/>
      <c r="C312" s="254"/>
      <c r="D312" s="251" t="s">
        <v>214</v>
      </c>
      <c r="E312" s="252"/>
      <c r="F312" s="253" t="s">
        <v>889</v>
      </c>
      <c r="G312" s="254"/>
      <c r="H312" s="312"/>
      <c r="I312" s="255">
        <f>T151</f>
        <v>27.052440000000004</v>
      </c>
      <c r="J312" s="254"/>
      <c r="K312" s="254"/>
      <c r="L312" s="250"/>
      <c r="M312" s="293"/>
      <c r="N312" s="294"/>
      <c r="O312" s="294"/>
      <c r="P312" s="294"/>
      <c r="Q312" s="294"/>
      <c r="R312" s="294"/>
      <c r="S312" s="294"/>
      <c r="T312" s="295"/>
      <c r="AT312" s="260" t="s">
        <v>214</v>
      </c>
      <c r="AU312" s="260" t="s">
        <v>219</v>
      </c>
      <c r="AV312" s="249" t="s">
        <v>92</v>
      </c>
      <c r="AW312" s="249" t="s">
        <v>39</v>
      </c>
      <c r="AX312" s="249" t="s">
        <v>18</v>
      </c>
      <c r="AY312" s="260" t="s">
        <v>206</v>
      </c>
    </row>
    <row r="313" spans="2:63" s="218" customFormat="1" ht="22.9" customHeight="1">
      <c r="B313" s="219"/>
      <c r="C313" s="223"/>
      <c r="D313" s="221" t="s">
        <v>81</v>
      </c>
      <c r="E313" s="233" t="s">
        <v>578</v>
      </c>
      <c r="F313" s="233" t="s">
        <v>579</v>
      </c>
      <c r="G313" s="223"/>
      <c r="H313" s="315"/>
      <c r="I313" s="223"/>
      <c r="J313" s="234">
        <f>J314</f>
        <v>0</v>
      </c>
      <c r="K313" s="223"/>
      <c r="L313" s="219"/>
      <c r="M313" s="330"/>
      <c r="N313" s="331"/>
      <c r="O313" s="331"/>
      <c r="P313" s="332">
        <f>SUM(P314:P315)</f>
        <v>15.289251</v>
      </c>
      <c r="Q313" s="331"/>
      <c r="R313" s="332">
        <f>SUM(R314:R315)</f>
        <v>0</v>
      </c>
      <c r="S313" s="331"/>
      <c r="T313" s="333">
        <f>SUM(T314:T315)</f>
        <v>0</v>
      </c>
      <c r="AR313" s="230" t="s">
        <v>18</v>
      </c>
      <c r="AT313" s="231" t="s">
        <v>81</v>
      </c>
      <c r="AU313" s="231" t="s">
        <v>18</v>
      </c>
      <c r="AY313" s="230" t="s">
        <v>206</v>
      </c>
      <c r="BK313" s="232">
        <f>SUM(BK314:BK315)</f>
        <v>0</v>
      </c>
    </row>
    <row r="314" spans="1:65" s="136" customFormat="1" ht="21.75" customHeight="1">
      <c r="A314" s="131"/>
      <c r="B314" s="132"/>
      <c r="C314" s="236">
        <f>C311+1</f>
        <v>94</v>
      </c>
      <c r="D314" s="236" t="s">
        <v>208</v>
      </c>
      <c r="E314" s="237" t="s">
        <v>847</v>
      </c>
      <c r="F314" s="238" t="s">
        <v>848</v>
      </c>
      <c r="G314" s="239" t="s">
        <v>325</v>
      </c>
      <c r="H314" s="72"/>
      <c r="I314" s="241">
        <v>20.091</v>
      </c>
      <c r="J314" s="240">
        <f>ROUND($H314*I314,2)</f>
        <v>0</v>
      </c>
      <c r="K314" s="242"/>
      <c r="L314" s="132"/>
      <c r="M314" s="296" t="s">
        <v>1</v>
      </c>
      <c r="N314" s="297" t="s">
        <v>47</v>
      </c>
      <c r="O314" s="298">
        <v>0.761</v>
      </c>
      <c r="P314" s="298">
        <f>O314*I314</f>
        <v>15.289251</v>
      </c>
      <c r="Q314" s="298">
        <v>0</v>
      </c>
      <c r="R314" s="298">
        <f>Q314*I314</f>
        <v>0</v>
      </c>
      <c r="S314" s="298">
        <v>0</v>
      </c>
      <c r="T314" s="299">
        <f>S314*I314</f>
        <v>0</v>
      </c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R314" s="247" t="s">
        <v>212</v>
      </c>
      <c r="AT314" s="247" t="s">
        <v>208</v>
      </c>
      <c r="AU314" s="247" t="s">
        <v>92</v>
      </c>
      <c r="AY314" s="120" t="s">
        <v>206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120" t="s">
        <v>18</v>
      </c>
      <c r="BK314" s="248">
        <f>ROUND(H314*I314,2)</f>
        <v>0</v>
      </c>
      <c r="BL314" s="120" t="s">
        <v>212</v>
      </c>
      <c r="BM314" s="247" t="s">
        <v>849</v>
      </c>
    </row>
    <row r="315" spans="2:51" s="249" customFormat="1" ht="12">
      <c r="B315" s="250"/>
      <c r="C315" s="254"/>
      <c r="D315" s="251" t="s">
        <v>214</v>
      </c>
      <c r="E315" s="252" t="s">
        <v>145</v>
      </c>
      <c r="F315" s="253" t="s">
        <v>850</v>
      </c>
      <c r="G315" s="254"/>
      <c r="H315" s="312"/>
      <c r="I315" s="255">
        <v>20.091</v>
      </c>
      <c r="J315" s="254"/>
      <c r="K315" s="254"/>
      <c r="L315" s="250"/>
      <c r="M315" s="293"/>
      <c r="N315" s="294"/>
      <c r="O315" s="294"/>
      <c r="P315" s="294"/>
      <c r="Q315" s="294"/>
      <c r="R315" s="294"/>
      <c r="S315" s="294"/>
      <c r="T315" s="295"/>
      <c r="AT315" s="260" t="s">
        <v>214</v>
      </c>
      <c r="AU315" s="260" t="s">
        <v>92</v>
      </c>
      <c r="AV315" s="249" t="s">
        <v>92</v>
      </c>
      <c r="AW315" s="249" t="s">
        <v>39</v>
      </c>
      <c r="AX315" s="249" t="s">
        <v>18</v>
      </c>
      <c r="AY315" s="260" t="s">
        <v>206</v>
      </c>
    </row>
    <row r="316" spans="2:63" s="218" customFormat="1" ht="25.9" customHeight="1">
      <c r="B316" s="219"/>
      <c r="C316" s="223"/>
      <c r="D316" s="221" t="s">
        <v>81</v>
      </c>
      <c r="E316" s="222" t="s">
        <v>606</v>
      </c>
      <c r="F316" s="222" t="s">
        <v>607</v>
      </c>
      <c r="G316" s="223"/>
      <c r="H316" s="315"/>
      <c r="I316" s="223"/>
      <c r="J316" s="224">
        <f>J317</f>
        <v>0</v>
      </c>
      <c r="K316" s="223"/>
      <c r="L316" s="219"/>
      <c r="M316" s="330"/>
      <c r="N316" s="331"/>
      <c r="O316" s="331"/>
      <c r="P316" s="332" t="e">
        <f>P317+#REF!+#REF!</f>
        <v>#REF!</v>
      </c>
      <c r="Q316" s="331"/>
      <c r="R316" s="332" t="e">
        <f>R317+#REF!+#REF!</f>
        <v>#REF!</v>
      </c>
      <c r="S316" s="331"/>
      <c r="T316" s="333"/>
      <c r="AR316" s="230" t="s">
        <v>241</v>
      </c>
      <c r="AT316" s="231" t="s">
        <v>81</v>
      </c>
      <c r="AU316" s="231" t="s">
        <v>82</v>
      </c>
      <c r="AY316" s="230" t="s">
        <v>206</v>
      </c>
      <c r="BK316" s="232" t="e">
        <f>BK317+#REF!+#REF!</f>
        <v>#REF!</v>
      </c>
    </row>
    <row r="317" spans="2:63" s="218" customFormat="1" ht="22.9" customHeight="1">
      <c r="B317" s="219"/>
      <c r="C317" s="223"/>
      <c r="D317" s="221" t="s">
        <v>81</v>
      </c>
      <c r="E317" s="233" t="s">
        <v>608</v>
      </c>
      <c r="F317" s="233" t="s">
        <v>606</v>
      </c>
      <c r="G317" s="223"/>
      <c r="H317" s="315"/>
      <c r="I317" s="223"/>
      <c r="J317" s="234">
        <f>SUM(J318:J318)</f>
        <v>0</v>
      </c>
      <c r="K317" s="223"/>
      <c r="L317" s="219"/>
      <c r="M317" s="330"/>
      <c r="N317" s="331"/>
      <c r="O317" s="331"/>
      <c r="P317" s="332" t="e">
        <f>SUM(#REF!)</f>
        <v>#REF!</v>
      </c>
      <c r="Q317" s="331"/>
      <c r="R317" s="332" t="e">
        <f>SUM(#REF!)</f>
        <v>#REF!</v>
      </c>
      <c r="S317" s="331"/>
      <c r="T317" s="333"/>
      <c r="AR317" s="230" t="s">
        <v>241</v>
      </c>
      <c r="AT317" s="231" t="s">
        <v>81</v>
      </c>
      <c r="AU317" s="231" t="s">
        <v>18</v>
      </c>
      <c r="AY317" s="230" t="s">
        <v>206</v>
      </c>
      <c r="BK317" s="232" t="e">
        <f>SUM(#REF!)</f>
        <v>#REF!</v>
      </c>
    </row>
    <row r="318" spans="1:65" s="136" customFormat="1" ht="16.5" customHeight="1">
      <c r="A318" s="131"/>
      <c r="B318" s="132"/>
      <c r="C318" s="236">
        <f>C314+1</f>
        <v>95</v>
      </c>
      <c r="D318" s="236" t="s">
        <v>208</v>
      </c>
      <c r="E318" s="237"/>
      <c r="F318" s="238" t="s">
        <v>609</v>
      </c>
      <c r="G318" s="239" t="s">
        <v>560</v>
      </c>
      <c r="H318" s="72"/>
      <c r="I318" s="241">
        <v>1</v>
      </c>
      <c r="J318" s="240">
        <f aca="true" t="shared" si="39" ref="J318">ROUND($H318*I318,2)</f>
        <v>0</v>
      </c>
      <c r="K318" s="242"/>
      <c r="L318" s="132"/>
      <c r="M318" s="296" t="s">
        <v>1</v>
      </c>
      <c r="N318" s="297" t="s">
        <v>47</v>
      </c>
      <c r="O318" s="298">
        <v>0</v>
      </c>
      <c r="P318" s="298">
        <f>O318*I318</f>
        <v>0</v>
      </c>
      <c r="Q318" s="298">
        <v>0</v>
      </c>
      <c r="R318" s="298">
        <f>Q318*I318</f>
        <v>0</v>
      </c>
      <c r="S318" s="298"/>
      <c r="T318" s="299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R318" s="247" t="s">
        <v>610</v>
      </c>
      <c r="AT318" s="247" t="s">
        <v>208</v>
      </c>
      <c r="AU318" s="247" t="s">
        <v>92</v>
      </c>
      <c r="AY318" s="120" t="s">
        <v>206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120" t="s">
        <v>18</v>
      </c>
      <c r="BK318" s="248">
        <f>ROUND(H318*I318,2)</f>
        <v>0</v>
      </c>
      <c r="BL318" s="120" t="s">
        <v>610</v>
      </c>
      <c r="BM318" s="247" t="s">
        <v>611</v>
      </c>
    </row>
    <row r="319" spans="1:31" s="136" customFormat="1" ht="6.95" customHeight="1">
      <c r="A319" s="131"/>
      <c r="B319" s="171"/>
      <c r="C319" s="173"/>
      <c r="D319" s="173"/>
      <c r="E319" s="173"/>
      <c r="F319" s="173"/>
      <c r="G319" s="173"/>
      <c r="H319" s="173"/>
      <c r="I319" s="173"/>
      <c r="J319" s="173"/>
      <c r="K319" s="173"/>
      <c r="L319" s="132"/>
      <c r="M319" s="134"/>
      <c r="N319" s="300"/>
      <c r="O319" s="134"/>
      <c r="P319" s="134"/>
      <c r="Q319" s="134"/>
      <c r="R319" s="134"/>
      <c r="S319" s="134"/>
      <c r="T319" s="134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</row>
  </sheetData>
  <sheetProtection password="CC96" sheet="1" objects="1" scenarios="1"/>
  <autoFilter ref="C125:K318"/>
  <mergeCells count="7">
    <mergeCell ref="L2:V2"/>
    <mergeCell ref="E116:F116"/>
    <mergeCell ref="E118:F118"/>
    <mergeCell ref="E86:F86"/>
    <mergeCell ref="E84:F84"/>
    <mergeCell ref="E9:F9"/>
    <mergeCell ref="E7:F7"/>
  </mergeCells>
  <printOptions/>
  <pageMargins left="0.7874015748031497" right="0.3937007874015748" top="0.7874015748031497" bottom="0.7874015748031497" header="0" footer="0"/>
  <pageSetup blackAndWhite="1" fitToHeight="100" fitToWidth="1" horizontalDpi="600" verticalDpi="600" orientation="portrait" paperSize="9" scale="83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HP450G4\Petr</dc:creator>
  <cp:keywords/>
  <dc:description/>
  <cp:lastModifiedBy>Miroslav Havlas</cp:lastModifiedBy>
  <cp:lastPrinted>2020-11-12T08:39:26Z</cp:lastPrinted>
  <dcterms:created xsi:type="dcterms:W3CDTF">2020-03-01T15:49:07Z</dcterms:created>
  <dcterms:modified xsi:type="dcterms:W3CDTF">2020-11-12T08:39:43Z</dcterms:modified>
  <cp:category/>
  <cp:version/>
  <cp:contentType/>
  <cp:contentStatus/>
</cp:coreProperties>
</file>