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685" activeTab="0"/>
  </bookViews>
  <sheets>
    <sheet name="Rekapitulace" sheetId="14" r:id="rId1"/>
    <sheet name="Mukařov" sheetId="8" r:id="rId2"/>
    <sheet name="Němčice" sheetId="10" r:id="rId3"/>
    <sheet name="Sýčina" sheetId="11" r:id="rId4"/>
    <sheet name="Kovánec" sheetId="12" r:id="rId5"/>
    <sheet name="Vedlejší náklady" sheetId="13" r:id="rId6"/>
  </sheets>
  <definedNames>
    <definedName name="_xlnm.Print_Area" localSheetId="4">'Kovánec'!$B$75:$R$180</definedName>
    <definedName name="_xlnm.Print_Area" localSheetId="1">'Mukařov'!$B$75:$R$205</definedName>
    <definedName name="_xlnm.Print_Area" localSheetId="2">'Němčice'!$B$75:$R$197</definedName>
    <definedName name="_xlnm.Print_Area" localSheetId="0">'Rekapitulace'!$B$75:$AQ$96</definedName>
    <definedName name="_xlnm.Print_Area" localSheetId="3">'Sýčina'!$B$75:$R$202</definedName>
    <definedName name="_xlnm.Print_Area" localSheetId="5">'Vedlejší náklady'!$B$75:$R$127</definedName>
    <definedName name="_xlnm.Print_Titles" localSheetId="1">'Mukařov'!$123:$123</definedName>
    <definedName name="_xlnm.Print_Titles" localSheetId="2">'Němčice'!$118:$118</definedName>
    <definedName name="_xlnm.Print_Titles" localSheetId="3">'Sýčina'!$118:$118</definedName>
    <definedName name="_xlnm.Print_Titles" localSheetId="4">'Kovánec'!$113:$113</definedName>
    <definedName name="_xlnm.Print_Titles" localSheetId="5">'Vedlejší náklady'!$110:$110</definedName>
  </definedNames>
  <calcPr calcId="152511"/>
</workbook>
</file>

<file path=xl/sharedStrings.xml><?xml version="1.0" encoding="utf-8"?>
<sst xmlns="http://schemas.openxmlformats.org/spreadsheetml/2006/main" count="3768" uniqueCount="557">
  <si>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</si>
  <si>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</si>
  <si>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</si>
  <si>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</si>
  <si>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</si>
  <si>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</si>
  <si>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</si>
  <si>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</si>
  <si>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</si>
  <si>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</si>
  <si>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</si>
  <si>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</si>
  <si>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</si>
  <si>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</si>
  <si>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</si>
  <si>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</si>
  <si>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2017082</t>
  </si>
  <si>
    <t>Stavba:</t>
  </si>
  <si>
    <t>JKSO:</t>
  </si>
  <si>
    <t/>
  </si>
  <si>
    <t>CC-CZ:</t>
  </si>
  <si>
    <t>Místo:</t>
  </si>
  <si>
    <t xml:space="preserve"> </t>
  </si>
  <si>
    <t>Datum:</t>
  </si>
  <si>
    <t>11. 8. 2017</t>
  </si>
  <si>
    <t>Objednatel:</t>
  </si>
  <si>
    <t>IČ:</t>
  </si>
  <si>
    <t>VODOVODY A KANALIZACE MLADÁ BOLESLAV A.S.</t>
  </si>
  <si>
    <t>DIČ:</t>
  </si>
  <si>
    <t>Zhotovitel:</t>
  </si>
  <si>
    <t>DLE VÝBĚROVÉHO ŘÍZENÍ</t>
  </si>
  <si>
    <t>Projektant:</t>
  </si>
  <si>
    <t>ING.EVŽEN KOZÁK S.R.O.</t>
  </si>
  <si>
    <t>True</t>
  </si>
  <si>
    <t>Zpracovatel:</t>
  </si>
  <si>
    <t>ING.EVŽEN KOZÁK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</si>
  <si>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</si>
  <si>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</si>
  <si>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</si>
  <si>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</si>
  <si>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</si>
  <si>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</si>
  <si>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</si>
  <si>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</si>
  <si>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</si>
  <si>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</si>
  <si>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</si>
  <si>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</si>
  <si>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</si>
  <si>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</si>
  <si>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</si>
  <si>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</si>
  <si>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</si>
  <si>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</si>
  <si>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</si>
  <si>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</si>
  <si>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</si>
  <si>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</si>
  <si>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</si>
  <si>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</si>
  <si>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</si>
  <si>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</si>
  <si>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</si>
  <si>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</si>
  <si>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</si>
  <si>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</si>
  <si>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</si>
  <si>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</si>
  <si>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</si>
  <si>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</si>
  <si>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</si>
  <si>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</si>
  <si>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</si>
  <si>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</si>
  <si>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</si>
  <si>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</si>
  <si>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{47bb691b-c696-436c-b89f-c17ce6189364}</t>
  </si>
  <si>
    <t>{00000000-0000-0000-0000-000000000000}</t>
  </si>
  <si>
    <t>/</t>
  </si>
  <si>
    <t>MUKAŘOV-LIKVIDACE ZDROJE A ČS</t>
  </si>
  <si>
    <t>1</t>
  </si>
  <si>
    <t>{d0749d1d-a294-4917-8508-c7c1af5653ba}</t>
  </si>
  <si>
    <t>NĚMČICE-LIKVIDACE ZDROJE A ČS</t>
  </si>
  <si>
    <t>{b227aabc-fdf6-47d8-8886-60a419dde9d7}</t>
  </si>
  <si>
    <t>SÝČINA-LIKVIDACE VODOJEMU</t>
  </si>
  <si>
    <t>{4ba01b87-234c-4400-8b00-815438de9f18}</t>
  </si>
  <si>
    <t>KOVÁNEC-LIKVIDACE VODNÍHO ZDROJE</t>
  </si>
  <si>
    <t>{b7f3a75f-0e5b-4cd1-af29-d6dce7b1576a}</t>
  </si>
  <si>
    <t>VEDLEJŠÍ A OSTATNÍ NÁKLADY</t>
  </si>
  <si>
    <t>{9d5548dc-02b0-4293-b443-962ac5ac34fc}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</si>
  <si>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</si>
  <si>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</si>
  <si>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</si>
  <si>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</si>
  <si>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</si>
  <si>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</si>
  <si>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</si>
  <si>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</si>
  <si>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</si>
  <si>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2017082-MUKAROV - MUKAŘOV-LIKVIDACE ZDROJE A ČS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</si>
  <si>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</si>
  <si>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</si>
  <si>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</si>
  <si>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</si>
  <si>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</si>
  <si>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</si>
  <si>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</si>
  <si>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</si>
  <si>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</si>
  <si>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</si>
  <si>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</si>
  <si>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</si>
  <si>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</si>
  <si>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</si>
  <si>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</si>
  <si>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</si>
  <si>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724 - Zdravotechnika - strojní vybavení</t>
  </si>
  <si>
    <t xml:space="preserve">    725 - Zdravotechnika - zařizovací předměty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</si>
  <si>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</si>
  <si>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</si>
  <si>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</si>
  <si>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</si>
  <si>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</si>
  <si>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</si>
  <si>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</si>
  <si>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</si>
  <si>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</si>
  <si>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</si>
  <si>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</si>
  <si>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</si>
  <si>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</si>
  <si>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</si>
  <si>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</si>
  <si>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</si>
  <si>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</si>
  <si>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</si>
  <si>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</si>
  <si>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</si>
  <si>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</si>
  <si>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174101101</t>
  </si>
  <si>
    <t>Zásyp jam, šachet rýh nebo kolem objektů sypaninou se zhutněním</t>
  </si>
  <si>
    <t>m3</t>
  </si>
  <si>
    <t>4</t>
  </si>
  <si>
    <t>-39926740</t>
  </si>
  <si>
    <t>3,14*0,75*0,75*2,9 "výplň jímacího objektu štěrkem"</t>
  </si>
  <si>
    <t>VV</t>
  </si>
  <si>
    <t>3,14*0,75*0,75*0,2 "výplň jímacího objektu zeminou"</t>
  </si>
  <si>
    <t>3,14*0,75*0,75*0,2 "výplň jímacího objektu štěrkopískem"</t>
  </si>
  <si>
    <t>Součet</t>
  </si>
  <si>
    <t>M</t>
  </si>
  <si>
    <t>583312020</t>
  </si>
  <si>
    <t>štěrkodrť netříděná do 100 mm amfibolit</t>
  </si>
  <si>
    <t>t</t>
  </si>
  <si>
    <t>8</t>
  </si>
  <si>
    <t>-127409746</t>
  </si>
  <si>
    <t>5,122*2,4 "přepočet na tuny"</t>
  </si>
  <si>
    <t>583312000</t>
  </si>
  <si>
    <t>štěrkopísek netříděný zásypový materiál</t>
  </si>
  <si>
    <t>-3337619</t>
  </si>
  <si>
    <t>0,353*2,2 "přepočet na tuny"</t>
  </si>
  <si>
    <t>181301101</t>
  </si>
  <si>
    <t>Rozprostření ornice tl vrstvy do 100 mm pl do 500 m2 v rovině nebo ve svahu do 1:5</t>
  </si>
  <si>
    <t>m2</t>
  </si>
  <si>
    <t>-151647855</t>
  </si>
  <si>
    <t>5,0*5,0 "okolí ČS"</t>
  </si>
  <si>
    <t>4,0*4,0 "okolí jímacího objektu"</t>
  </si>
  <si>
    <t>181411121</t>
  </si>
  <si>
    <t>Založení lučního trávníku výsevem plochy do 1000 m2 v rovině a ve svahu do 1:5</t>
  </si>
  <si>
    <t>1767270114</t>
  </si>
  <si>
    <t>16</t>
  </si>
  <si>
    <t>005724800</t>
  </si>
  <si>
    <t>osivo směs jetelotravní</t>
  </si>
  <si>
    <t>kg</t>
  </si>
  <si>
    <t>-1200579054</t>
  </si>
  <si>
    <t>273313611</t>
  </si>
  <si>
    <t>Základové desky z betonu tř. C 16/20</t>
  </si>
  <si>
    <t>248095945</t>
  </si>
  <si>
    <t>3,14*0,75*0,75*0,2 "výplň jímacího objektu-bet.deska"</t>
  </si>
  <si>
    <t>440351256</t>
  </si>
  <si>
    <t>Odstranění podpěrné konstrukce střech v do 4 m pro tloušťku střešní konstrukce přes 100 cm</t>
  </si>
  <si>
    <t>334014527</t>
  </si>
  <si>
    <t>3,5*1,8*0,5*4</t>
  </si>
  <si>
    <t>899311112</t>
  </si>
  <si>
    <t>Osazení poklopů s rámem hmotnosti nad 50 do 100 kg</t>
  </si>
  <si>
    <t>kus</t>
  </si>
  <si>
    <t>1853758722</t>
  </si>
  <si>
    <t>562306251</t>
  </si>
  <si>
    <t xml:space="preserve">kompozitový poklop ECO DECK obj.č.42108081, 882*882 mm </t>
  </si>
  <si>
    <t>923725787</t>
  </si>
  <si>
    <t>953961113</t>
  </si>
  <si>
    <t>Kotvy chemickým tmelem M 12 hl 110 mm do betonu, ŽB nebo kamene s vyvrtáním otvoru</t>
  </si>
  <si>
    <t>-372789485</t>
  </si>
  <si>
    <t>962023391</t>
  </si>
  <si>
    <t>Bourání zdiva nadzákladového smíšeného na MV nebo MVC přes 1 m3</t>
  </si>
  <si>
    <t>1900274400</t>
  </si>
  <si>
    <t>2,66*4*0,35*2,05</t>
  </si>
  <si>
    <t>963015151</t>
  </si>
  <si>
    <t>Demontáž prefabrikovaných součástí kanálů, šachet nebo žump do hmotnosti 1 t-skruž jím.objektu</t>
  </si>
  <si>
    <t>-1899856998</t>
  </si>
  <si>
    <t>32</t>
  </si>
  <si>
    <t>628521230</t>
  </si>
  <si>
    <t>pás asfaltovaný modifikovaný směsnými polymery BITUMELIT 4 mm</t>
  </si>
  <si>
    <t>694841406</t>
  </si>
  <si>
    <t>2,66*2,66*1,1 "rezerva 10% na překrytí"</t>
  </si>
  <si>
    <t>693110240</t>
  </si>
  <si>
    <t>geoNetex A PP  šíře 650 cm, 300 g/m2</t>
  </si>
  <si>
    <t>-534565988</t>
  </si>
  <si>
    <t>283763700</t>
  </si>
  <si>
    <t>deska z extrudovaného polystyrénu URSA XPS III - (S,G,NF,) - 1250 x 600 x 60 mm</t>
  </si>
  <si>
    <t>524371530</t>
  </si>
  <si>
    <t>2,66*2,66</t>
  </si>
  <si>
    <t>283231000</t>
  </si>
  <si>
    <t>fólie PE hydroizolační PENEFOL 750, š. 1,4 m, tl. 0,8 mm</t>
  </si>
  <si>
    <t>2019313752</t>
  </si>
  <si>
    <t>966073121</t>
  </si>
  <si>
    <t>Demontáž krytiny ocelových střech z tvarovaných ocelových plechů šroubovaných budov v do 6 m</t>
  </si>
  <si>
    <t>-373555299</t>
  </si>
  <si>
    <t>997013501</t>
  </si>
  <si>
    <t>Odvoz suti a vybouraných hmot na skládku se složením</t>
  </si>
  <si>
    <t>-1492294850</t>
  </si>
  <si>
    <t>997013803</t>
  </si>
  <si>
    <t>-747254450</t>
  </si>
  <si>
    <t>1412744612</t>
  </si>
  <si>
    <t>997241621</t>
  </si>
  <si>
    <t>Naložení a složení vybouraných hmot nebo konstrukcí</t>
  </si>
  <si>
    <t>-789569128</t>
  </si>
  <si>
    <t>711111001</t>
  </si>
  <si>
    <t>Provedení izolace proti zemní vlhkosti vodorovné za studena nátěrem penetračním</t>
  </si>
  <si>
    <t>512258012</t>
  </si>
  <si>
    <t>111631500</t>
  </si>
  <si>
    <t>lak asfaltový ALP/9 (MJ t) bal 9 kg</t>
  </si>
  <si>
    <t>1815666986</t>
  </si>
  <si>
    <t>711141559</t>
  </si>
  <si>
    <t>Provedení izolace proti zemní vlhkosti pásy přitavením vodorovné</t>
  </si>
  <si>
    <t>-2044206337</t>
  </si>
  <si>
    <t>2,66*2,66*1,1</t>
  </si>
  <si>
    <t>711161331</t>
  </si>
  <si>
    <t>Izolace proti zemní vlhkosti foliemi nopovými s odvodňovací funkcí s textilií tl. 0,6 mm šířky 2,0 m</t>
  </si>
  <si>
    <t>-1917988544</t>
  </si>
  <si>
    <t>724125810</t>
  </si>
  <si>
    <t>Demontáž čerpadel ponorných vodovodních</t>
  </si>
  <si>
    <t>soubor</t>
  </si>
  <si>
    <t>853879847</t>
  </si>
  <si>
    <t>725210821</t>
  </si>
  <si>
    <t>Demontáž umyvadel bez výtokových armatur</t>
  </si>
  <si>
    <t>544384544</t>
  </si>
  <si>
    <t>725810811</t>
  </si>
  <si>
    <t>Demontáž ventilů výtokových nástěnných</t>
  </si>
  <si>
    <t>1170919435</t>
  </si>
  <si>
    <t>5</t>
  </si>
  <si>
    <t>762420817</t>
  </si>
  <si>
    <t>Demontáž obložení stropů z desek cementotřískových tl přes 24 mm na sraz šroubovaných</t>
  </si>
  <si>
    <t>620718877</t>
  </si>
  <si>
    <t>2,0*2,0</t>
  </si>
  <si>
    <t>764004801</t>
  </si>
  <si>
    <t>Demontáž podokapního žlabu do suti</t>
  </si>
  <si>
    <t>m</t>
  </si>
  <si>
    <t>734219881</t>
  </si>
  <si>
    <t>4*3,5</t>
  </si>
  <si>
    <t>764004861</t>
  </si>
  <si>
    <t>Demontáž svodu do suti</t>
  </si>
  <si>
    <t>-1005128063</t>
  </si>
  <si>
    <t>2*2,4</t>
  </si>
  <si>
    <t>766661811</t>
  </si>
  <si>
    <t>Demontáž dveřních křídel</t>
  </si>
  <si>
    <t>1880656372</t>
  </si>
  <si>
    <t>767641800</t>
  </si>
  <si>
    <t>Demontáž zárubní dveří odřezáním plochy do 2,5 m2</t>
  </si>
  <si>
    <t>-1241266150</t>
  </si>
  <si>
    <t xml:space="preserve">    741 - Elektroinstalace - silnoproud</t>
  </si>
  <si>
    <t>132202411</t>
  </si>
  <si>
    <t>1,5*1,5*1,65 "odkopání stáv.vodovodu"</t>
  </si>
  <si>
    <t>162701105</t>
  </si>
  <si>
    <t>Vodorovné přemístění do 10000 m výkopku/sypaniny z horniny tř. 1 až 4-zásyp z Rečkova</t>
  </si>
  <si>
    <t>162701109</t>
  </si>
  <si>
    <t>Příplatek k vodorovnému přemístění výkopku/sypaniny z horniny tř. 1 až 4 ZKD 1000 m přes 10000 m-zásyp z Rečkova</t>
  </si>
  <si>
    <t>174102101</t>
  </si>
  <si>
    <t>Zásyp jam, šachet a rýh do 30 m3 sypaninou se zhutněním při překopech inženýrských sítí</t>
  </si>
  <si>
    <t>1,5*1,5*1,65 "zásyp jámy po přepojení vodovodu"</t>
  </si>
  <si>
    <t>451572111</t>
  </si>
  <si>
    <t>963051113</t>
  </si>
  <si>
    <t>Bourání ŽB stropů deskových tl přes 80 mm</t>
  </si>
  <si>
    <t>kpl</t>
  </si>
  <si>
    <t xml:space="preserve">Demontáž dveřních křídel </t>
  </si>
  <si>
    <t>2017082-NĚMČICE - NĚMČICE-LIKVIDACE ZDROJE A ČS</t>
  </si>
  <si>
    <t xml:space="preserve">    771 - Podlahy z dlaždic</t>
  </si>
  <si>
    <t>Hloubení rýh š do 600 mm kolejí ručně do 2 m3 v hornině tř. 3</t>
  </si>
  <si>
    <t>1696345495</t>
  </si>
  <si>
    <t>-121508445</t>
  </si>
  <si>
    <t>(2,35*1,9+1,25*1,6)*2,5 "vyplnění arm.komory zeminou"</t>
  </si>
  <si>
    <t>-1380558068</t>
  </si>
  <si>
    <t>-2010603251</t>
  </si>
  <si>
    <t>3,14*0,1335*0,1335*58,4 "výplň vrtu DN267 štěrkopískem"</t>
  </si>
  <si>
    <t>3,268*2,2 "přepočet na tuny"</t>
  </si>
  <si>
    <t>978532874</t>
  </si>
  <si>
    <t>-282525197</t>
  </si>
  <si>
    <t>-216558038</t>
  </si>
  <si>
    <t>10,0*8,0 "okolí ČS"</t>
  </si>
  <si>
    <t>-970401704</t>
  </si>
  <si>
    <t>-37956163</t>
  </si>
  <si>
    <t>-805273172</t>
  </si>
  <si>
    <t>3,14*0,1335*0,1335*1,0 "výplň vrtu DN267 beton.zátka"</t>
  </si>
  <si>
    <t>0,95*0,95*0,2 "úprava prostoru nad vrtem"</t>
  </si>
  <si>
    <t>-372485200</t>
  </si>
  <si>
    <t>4,5*4,5</t>
  </si>
  <si>
    <t>Lože a obsyp potrubí otevřený výkop z kameniva drobného těženého</t>
  </si>
  <si>
    <t>-632005996</t>
  </si>
  <si>
    <t>1,5*1,5*0,3 "přepojení vodovodu"</t>
  </si>
  <si>
    <t>2140385836</t>
  </si>
  <si>
    <t>3,9*4*0,45*3,2</t>
  </si>
  <si>
    <t>-1918503448</t>
  </si>
  <si>
    <t>3,9*3,9*0,2 "strop ČS"</t>
  </si>
  <si>
    <t>2,35*1,9+1,25*1,6 "strop arm.komory"</t>
  </si>
  <si>
    <t>Demontáž krytiny střech z ocel.plechů budov v do 6 m</t>
  </si>
  <si>
    <t>611256728</t>
  </si>
  <si>
    <t>978059541</t>
  </si>
  <si>
    <t>Odsekání a odebrání obkladů stěn z vnitřních obkládaček plochy přes 1 m2</t>
  </si>
  <si>
    <t>-479966554</t>
  </si>
  <si>
    <t>2,75*1,9</t>
  </si>
  <si>
    <t>-576786972</t>
  </si>
  <si>
    <t>294324278</t>
  </si>
  <si>
    <t>-1993956773</t>
  </si>
  <si>
    <t>741132301</t>
  </si>
  <si>
    <t>Ukončení kabelů nebo vodičů do 1 kV koncovkou ucpávkovou do 4 žil průměru 12 mm jednoduchý nástavec</t>
  </si>
  <si>
    <t>1941554470</t>
  </si>
  <si>
    <t>-1080144106</t>
  </si>
  <si>
    <t>4*4,5</t>
  </si>
  <si>
    <t>1441058303</t>
  </si>
  <si>
    <t>2*3,2</t>
  </si>
  <si>
    <t>2131107440</t>
  </si>
  <si>
    <t>-2007815755</t>
  </si>
  <si>
    <t>771543810</t>
  </si>
  <si>
    <t>Demontáž podlah z obkladaček hutných lepených</t>
  </si>
  <si>
    <t>-1007568153</t>
  </si>
  <si>
    <t>0,8*1,8</t>
  </si>
  <si>
    <t>2017082-SÝČINA - SÝČINA-LIKVIDACE VODOJEMU</t>
  </si>
  <si>
    <t xml:space="preserve">    3 - Svislé a kompletní konstrukce</t>
  </si>
  <si>
    <t>-1113737247</t>
  </si>
  <si>
    <t>190025676</t>
  </si>
  <si>
    <t>-1136105172</t>
  </si>
  <si>
    <t>-1445987725</t>
  </si>
  <si>
    <t>-1186643996</t>
  </si>
  <si>
    <t>420372137</t>
  </si>
  <si>
    <t>320101112</t>
  </si>
  <si>
    <t>Osazení betonových a železobetonových prefabrikátů hmotnosti nad 1000 do 5000 kg</t>
  </si>
  <si>
    <t>1298410582</t>
  </si>
  <si>
    <t>593468520</t>
  </si>
  <si>
    <t>panel stropní 2800*2600 mm tl.150 mm prefa</t>
  </si>
  <si>
    <t>-569363732</t>
  </si>
  <si>
    <t>-678306924</t>
  </si>
  <si>
    <t>2,8*3,0</t>
  </si>
  <si>
    <t>1034545018</t>
  </si>
  <si>
    <t>552410200</t>
  </si>
  <si>
    <t>poklop šachtový třída D 400, čtvercový rám 850, vstup 600 mm, REXESS bez ventilace</t>
  </si>
  <si>
    <t>1344521484</t>
  </si>
  <si>
    <t>-471777970</t>
  </si>
  <si>
    <t>2,6*2,8*1,1 "rezerva 10% na překrytí"</t>
  </si>
  <si>
    <t>64259628</t>
  </si>
  <si>
    <t>-557722939</t>
  </si>
  <si>
    <t>2,6*2,8</t>
  </si>
  <si>
    <t>1748015075</t>
  </si>
  <si>
    <t>552762129</t>
  </si>
  <si>
    <t>(2,6*2+2,8*2)*0,3*2,7</t>
  </si>
  <si>
    <t>-1279554648</t>
  </si>
  <si>
    <t>2,6*2,8*0,15 "strop provoz.místnosti"</t>
  </si>
  <si>
    <t>2,6*2,1*0,17 "strop arm.komory"</t>
  </si>
  <si>
    <t>270076164</t>
  </si>
  <si>
    <t>3,0*3,2</t>
  </si>
  <si>
    <t>359794544</t>
  </si>
  <si>
    <t>424115218</t>
  </si>
  <si>
    <t>217216948</t>
  </si>
  <si>
    <t>1383288552</t>
  </si>
  <si>
    <t>-1391044676</t>
  </si>
  <si>
    <t>-473947716</t>
  </si>
  <si>
    <t>2,6*2,8*1,1</t>
  </si>
  <si>
    <t>155887441</t>
  </si>
  <si>
    <t>1797985861</t>
  </si>
  <si>
    <t>-445524927</t>
  </si>
  <si>
    <t>2017082-KOVÁNEC - KOVÁNEC-LIKVIDACE VODNÍHO ZDROJE</t>
  </si>
  <si>
    <t>-1807905352</t>
  </si>
  <si>
    <t>1331482885</t>
  </si>
  <si>
    <t>2,0*2,4*1,4 "vyplnění šachty zeminou"</t>
  </si>
  <si>
    <t>867083119</t>
  </si>
  <si>
    <t>-1882949349</t>
  </si>
  <si>
    <t>-1420084196</t>
  </si>
  <si>
    <t>3,14*0,215*0,215*61,0 "výplň vrtu DN430 štěrkopískem"</t>
  </si>
  <si>
    <t>3,14*0,285*0,285*6,0 "výplň vrtu DN570 štěrkopískem"</t>
  </si>
  <si>
    <t>3,14*0,325*0,325*2,0 "výplň vrtu DN650 štěrkopískem"</t>
  </si>
  <si>
    <t>3,14*0,36*0,36*12,0 "výplň vrtu DN720 štěrkopískem"</t>
  </si>
  <si>
    <t>-1049547319</t>
  </si>
  <si>
    <t>1,5*1,5*1,65 "zásyp jámy po montáži kalníku"</t>
  </si>
  <si>
    <t>-945834640</t>
  </si>
  <si>
    <t>6,0*6,0 "okolí ČS"</t>
  </si>
  <si>
    <t>426898104</t>
  </si>
  <si>
    <t>-1744654223</t>
  </si>
  <si>
    <t>975893754</t>
  </si>
  <si>
    <t>3,14*0,36*0,36*4,0 "výplň vrtu DN720 beton.zátka"</t>
  </si>
  <si>
    <t>1,4*1,8*0,2 "úprava prostoru nad vrtem"</t>
  </si>
  <si>
    <t>275322511</t>
  </si>
  <si>
    <t>Základové patky ze ŽB se zvýšenými nároky na prostředí tř. C 25/30</t>
  </si>
  <si>
    <t>1354252524</t>
  </si>
  <si>
    <t>-1962820831</t>
  </si>
  <si>
    <t>1,5*1,5*0,3 "montáž kalníku"</t>
  </si>
  <si>
    <t>319428030</t>
  </si>
  <si>
    <t>spojka potrubí mosaz 63x2"</t>
  </si>
  <si>
    <t>1741009689</t>
  </si>
  <si>
    <t>IVAR, ceníkový kód: 07712200</t>
  </si>
  <si>
    <t>P</t>
  </si>
  <si>
    <t>552536890</t>
  </si>
  <si>
    <t>příruba zaslepovací z tvárné litiny,práškový epoxid, tl.250µm XG DN 80 mm závit 2"</t>
  </si>
  <si>
    <t>706087422</t>
  </si>
  <si>
    <t>850245121</t>
  </si>
  <si>
    <t>Výřez nebo výsek na potrubí z trub litinových tlakových DN 80</t>
  </si>
  <si>
    <t>1216146499</t>
  </si>
  <si>
    <t>422735890</t>
  </si>
  <si>
    <t>hydrant podzemní DN80 PN16 jednoduchý uzávěr, krycí hloubka 1000 mm</t>
  </si>
  <si>
    <t>-1788822281</t>
  </si>
  <si>
    <t>422910730</t>
  </si>
  <si>
    <t>souprava zemní teleskop. pro šoupátka DN  65-80 mm</t>
  </si>
  <si>
    <t>1316760927</t>
  </si>
  <si>
    <t>552540470</t>
  </si>
  <si>
    <t>koleno přírubové prodloužené PPL z tvárné litiny,práškový epoxid, tl.250µm s patkou N-kus DN 80 mm</t>
  </si>
  <si>
    <t>-1034020755</t>
  </si>
  <si>
    <t>422212120</t>
  </si>
  <si>
    <t>šoupě přírubové vodovodní  DN 80  PN10-16</t>
  </si>
  <si>
    <t>2062354140</t>
  </si>
  <si>
    <t>891241111</t>
  </si>
  <si>
    <t>Montáž vodovodních šoupátek otevřený výkop DN 80</t>
  </si>
  <si>
    <t>217033333</t>
  </si>
  <si>
    <t>891247111</t>
  </si>
  <si>
    <t>Montáž hydrantů podzemních DN 80</t>
  </si>
  <si>
    <t>2039980576</t>
  </si>
  <si>
    <t>894411311</t>
  </si>
  <si>
    <t>Osazení železobetonových dílců pro šachty skruží rovných</t>
  </si>
  <si>
    <t>2124362470</t>
  </si>
  <si>
    <t>592243060</t>
  </si>
  <si>
    <t>skruž betonová šachetní TBS-Q.1 100/50 D100x50x12 cm</t>
  </si>
  <si>
    <t>-1401173822</t>
  </si>
  <si>
    <t>592310430</t>
  </si>
  <si>
    <t>sloupek betonový plotový průběžný 150 x 150 x 2800</t>
  </si>
  <si>
    <t>-360387358</t>
  </si>
  <si>
    <t>899401112</t>
  </si>
  <si>
    <t>Osazení poklopů litinových šoupátkových</t>
  </si>
  <si>
    <t>933801168</t>
  </si>
  <si>
    <t>422913520</t>
  </si>
  <si>
    <t>poklop litinový-šoupátkový s logem VaK</t>
  </si>
  <si>
    <t>1267318491</t>
  </si>
  <si>
    <t>899401113</t>
  </si>
  <si>
    <t>Osazení poklopů litinových hydrantových</t>
  </si>
  <si>
    <t>-101871573</t>
  </si>
  <si>
    <t>422914520</t>
  </si>
  <si>
    <t>poklop litinový-hydrantový   DN 80</t>
  </si>
  <si>
    <t>-66854141</t>
  </si>
  <si>
    <t>961044111</t>
  </si>
  <si>
    <t>Bourání základů z betonu prostého</t>
  </si>
  <si>
    <t>943413598</t>
  </si>
  <si>
    <t>(1,7*2+2,1*2)*0,3*1,7</t>
  </si>
  <si>
    <t>-1341825618</t>
  </si>
  <si>
    <t>2,0*2,4*0,15</t>
  </si>
  <si>
    <t>966052121</t>
  </si>
  <si>
    <t>Bourání sloupků a vzpěr ŽB plotových s betonovou patkou</t>
  </si>
  <si>
    <t>501913610</t>
  </si>
  <si>
    <t>997013502</t>
  </si>
  <si>
    <t>318046957</t>
  </si>
  <si>
    <t>830076919</t>
  </si>
  <si>
    <t>95085189</t>
  </si>
  <si>
    <t>2017082-VON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</si>
  <si>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</si>
  <si>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</si>
  <si>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</si>
  <si>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013264000</t>
  </si>
  <si>
    <t>1024</t>
  </si>
  <si>
    <t>-2116226024</t>
  </si>
  <si>
    <t>031002000</t>
  </si>
  <si>
    <t>-1250812385</t>
  </si>
  <si>
    <t>032503000</t>
  </si>
  <si>
    <t>1555552574</t>
  </si>
  <si>
    <t>034002000</t>
  </si>
  <si>
    <t>-912464047</t>
  </si>
  <si>
    <t>034103000</t>
  </si>
  <si>
    <t>-418897755</t>
  </si>
  <si>
    <t>034203000</t>
  </si>
  <si>
    <t>-1128884716</t>
  </si>
  <si>
    <t>034303000</t>
  </si>
  <si>
    <t>1923549632</t>
  </si>
  <si>
    <t>034403000</t>
  </si>
  <si>
    <t>383356137</t>
  </si>
  <si>
    <t xml:space="preserve">    713 - Izolace tepelné</t>
  </si>
  <si>
    <t>Provedení izolace tepelné položením</t>
  </si>
  <si>
    <t>857242121</t>
  </si>
  <si>
    <t>Montáž litinových tvarovek jednoosých přírubových otevřený výkop DN 80</t>
  </si>
  <si>
    <t>Montáž trubní díly závitové DN 2"</t>
  </si>
  <si>
    <t>Fotodokumentace bouracích prací</t>
  </si>
  <si>
    <t>Zřízení a odstranění zařízení staveniště</t>
  </si>
  <si>
    <t>Náklady na zajištění DIO (dopravně-inženýrské opatření) vč. projednání s dotčenými orgány</t>
  </si>
  <si>
    <t>Havarijní plán - na vyžádání objednatele.</t>
  </si>
  <si>
    <t>Vytyčení podzemních zařízení, rizika a zvláštní opatření</t>
  </si>
  <si>
    <t>Doklady k předání a převzetí díla v potřebném počtu</t>
  </si>
  <si>
    <t>Osazení informační tabule na staveništi, tabuli dodá objednatel</t>
  </si>
  <si>
    <t>Dozor hydrogeologa při asanaci jímacího vrtu, včetně vypracování závěrečné zprávy o asanaci.</t>
  </si>
  <si>
    <t>Naložení  vybouraných hmot nebo konstrukcí</t>
  </si>
  <si>
    <t>Poplatek za uložení ostatního stavebního odpadu na skládce (skládkovné)</t>
  </si>
  <si>
    <t>Poplatek za uložení stavebního odpadu z cihel a betonu na skládce (skládkovné)</t>
  </si>
  <si>
    <t>Železobetonový komínek na stávající stropní desce. Rozměr 1x1 m, výška 250 mm, tl. 150 mm.</t>
  </si>
  <si>
    <t>ks</t>
  </si>
  <si>
    <t>Prefa žb sloupek pro oplocení profil 150x120 mm, délka 2500 mm. Dodavatel např. Kamena Brno.</t>
  </si>
  <si>
    <t>Osazení  železobetonových sloupků včetně betonové patky rozměru 400x400x900 mm a výkopu pro patku.</t>
  </si>
  <si>
    <t xml:space="preserve">Nakládání výkopku nebo sypaniny </t>
  </si>
  <si>
    <t>6,72*10 "vzdálenost Rečkov-Kovánec přes 10 km"</t>
  </si>
  <si>
    <t xml:space="preserve">Geodetické zaměření přeložky vodovodního potrubí v délce cca 10 m u ČS Němčice. Dle směrnice oddělení GIS objednatele. </t>
  </si>
  <si>
    <t xml:space="preserve">Geodetické zaměření přeložky vodovodního potrubí v délce cca 10 m u vodního zdroje Kovánec. Dle směrnice oddělení GIS objednatele. </t>
  </si>
  <si>
    <t>Vypracování geometrického plánu pro oddělení pozemku nově vzniklé budovy či výmazu objektu z katastru nemovitostí,  potřebný počet vyhotovení - 5 ks na objekt</t>
  </si>
  <si>
    <t>Demontáž potrubí odpadu z vodojemu do DN 200 mm</t>
  </si>
  <si>
    <t>Zapravení otvoru v žb stěně velikosti do 0,09 m2, tl. do 0,3 m vodonepropustně.</t>
  </si>
  <si>
    <t>Sejmutí ornice s vodorovným přemístěním na vzdálenost do 50 m</t>
  </si>
  <si>
    <t>Odkopávka a prokopávky nezapažené v horninách tř.1 a 2 do 100 m3</t>
  </si>
  <si>
    <t>Vodorovné přemístění výkopku z horniny  tř.1-4 do 50 m</t>
  </si>
  <si>
    <t>5,0*5,0*1,52+1,5*0,85*0,25 "vyplnění akum.komory zeminou"</t>
  </si>
  <si>
    <t>Hloubení nezapažených rýh šířky do 600 mmv horninách tř. 1 a 2 do 100 m3</t>
  </si>
  <si>
    <t>Bourání zdiva nadzákladového z železobetonu přes 1 m3</t>
  </si>
  <si>
    <t>(5+5,3*2+1,5*2)*0,3*2,4+2,6*0,6*0,3</t>
  </si>
  <si>
    <t>5,6*5,6*0,7+(2,0+1,8)/2*(5,6+7,0*2)</t>
  </si>
  <si>
    <t>(5,6*3+1,5*2)*0,6*1,8</t>
  </si>
  <si>
    <t>(10,0*10,0-2,6*1,8)*0,3</t>
  </si>
  <si>
    <t>(5,6*5,6-0,9*0,8)*0,3 "strop akum.komory"</t>
  </si>
  <si>
    <t>(5+5,3*2+1,5*2)*0,3*1,5 "zásyp prostoru po vybouraných stěnách"</t>
  </si>
  <si>
    <t>(5,6*3+1,5*2)*0,6*1,5 "zásyp rýhy okolo bouraných stěn"</t>
  </si>
  <si>
    <t>80,6-64,509</t>
  </si>
  <si>
    <t>množství zásypů</t>
  </si>
  <si>
    <t>59,2+21,4 "množství  výkopů"</t>
  </si>
  <si>
    <t>Nakládání výkopku nebo sypaniny do 100 m3 z horniny tř.1-4</t>
  </si>
  <si>
    <t>172201201</t>
  </si>
  <si>
    <t>Uložení sypaniny na skládku</t>
  </si>
  <si>
    <t xml:space="preserve">přebytek zeminy, uložení u ČS Němčice </t>
  </si>
  <si>
    <t>181301125</t>
  </si>
  <si>
    <t>Rozprostření ornice tl vrstvy do 300 mm pl do 500 m2 v rovině nebo ve svahu do 1:5</t>
  </si>
  <si>
    <t>(10,0*10,0-2,6*1,8)</t>
  </si>
  <si>
    <t>(1,9*2+1,75*2+1,25*2+0,95)*0,3*2,4</t>
  </si>
  <si>
    <t>Bourání podlahy z betonu</t>
  </si>
  <si>
    <t>Bourání základů z betonu</t>
  </si>
  <si>
    <t>(3*3)*0,2</t>
  </si>
  <si>
    <t>(3,9*2+3*2)*0,6*0,85</t>
  </si>
  <si>
    <t>(3,6*2+3,1*2)*0,6*2,4</t>
  </si>
  <si>
    <t>15,93*2,0 t/m3</t>
  </si>
  <si>
    <t>Součet 8,854+1,53+0,663+4,883=15,93</t>
  </si>
  <si>
    <t>3,268 m3 * 2,0 t/m3 "výplň vrtu DN267 štěrkopískem"</t>
  </si>
  <si>
    <t>962052211</t>
  </si>
  <si>
    <t>965042241</t>
  </si>
  <si>
    <t>19,296 "zásyp rýhy okolo bouraných stěn"</t>
  </si>
  <si>
    <t>7,038 "vyplnění prostoru po vybouraných základech"</t>
  </si>
  <si>
    <t>Vodorovné přemístění do 10000 m výkopku/sypaniny z horniny tř. 1 až 4</t>
  </si>
  <si>
    <t xml:space="preserve">80,6-64,509  přebytek zeminy, uložení u ČS Němčice </t>
  </si>
  <si>
    <t>45,765-19,296-16,091 chybějící zemina pro zásyp</t>
  </si>
  <si>
    <t>10,378*15 "vzdálenost Rečkov-Němčice přes 10 km"</t>
  </si>
  <si>
    <t>LIKVIDACE NEVYUŽÍVANÝCH VODOHOSPODÁŘSKÝCH OBJEKTŮ</t>
  </si>
  <si>
    <t xml:space="preserve">  713 - Izolace tepelné</t>
  </si>
  <si>
    <t xml:space="preserve">Celkové náklady za stavbu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</si>
</sst>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0" fillId="0" borderId="13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15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5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vertical="center"/>
      <protection/>
    </xf>
    <xf numFmtId="166" fontId="2" fillId="0" borderId="17" xfId="0" applyNumberFormat="1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8" fontId="0" fillId="0" borderId="2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0" borderId="0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/>
      <protection/>
    </xf>
    <xf numFmtId="167" fontId="7" fillId="0" borderId="0" xfId="0" applyNumberFormat="1" applyFont="1" applyBorder="1" applyAlignment="1" applyProtection="1">
      <alignment horizontal="right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/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35" fillId="0" borderId="24" xfId="0" applyNumberFormat="1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26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26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horizontal="right" vertical="center"/>
      <protection/>
    </xf>
    <xf numFmtId="4" fontId="25" fillId="4" borderId="0" xfId="0" applyNumberFormat="1" applyFont="1" applyFill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6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4" fontId="25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0" borderId="24" xfId="0" applyNumberFormat="1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35" fillId="0" borderId="21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4" fontId="35" fillId="0" borderId="21" xfId="0" applyNumberFormat="1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4" fontId="35" fillId="0" borderId="23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wrapText="1"/>
      <protection/>
    </xf>
    <xf numFmtId="0" fontId="35" fillId="6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35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36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3" fontId="0" fillId="0" borderId="24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7" fillId="0" borderId="16" xfId="0" applyNumberFormat="1" applyFont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 vertical="center"/>
      <protection locked="0"/>
    </xf>
    <xf numFmtId="3" fontId="7" fillId="0" borderId="16" xfId="0" applyNumberFormat="1" applyFont="1" applyBorder="1" applyAlignment="1" applyProtection="1">
      <alignment vertical="center"/>
      <protection/>
    </xf>
    <xf numFmtId="3" fontId="0" fillId="0" borderId="21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3" fontId="0" fillId="0" borderId="16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6"/>
  <sheetViews>
    <sheetView tabSelected="1" workbookViewId="0" topLeftCell="A65">
      <selection activeCell="AQ96" sqref="B75:AQ9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239" t="s">
        <v>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R2" s="241" t="s">
        <v>8</v>
      </c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43" t="s">
        <v>12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5"/>
      <c r="AS4" s="19" t="s">
        <v>13</v>
      </c>
      <c r="BS4" s="20" t="s">
        <v>14</v>
      </c>
    </row>
    <row r="5" spans="2:71" ht="14.45" customHeight="1">
      <c r="B5" s="24"/>
      <c r="C5" s="26"/>
      <c r="D5" s="27" t="s">
        <v>15</v>
      </c>
      <c r="E5" s="26"/>
      <c r="F5" s="26"/>
      <c r="G5" s="26"/>
      <c r="H5" s="26"/>
      <c r="I5" s="26"/>
      <c r="J5" s="26"/>
      <c r="K5" s="245" t="s">
        <v>16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6"/>
      <c r="AQ5" s="25"/>
      <c r="BS5" s="20" t="s">
        <v>9</v>
      </c>
    </row>
    <row r="6" spans="2:71" ht="36.95" customHeight="1">
      <c r="B6" s="24"/>
      <c r="C6" s="26"/>
      <c r="D6" s="29" t="s">
        <v>17</v>
      </c>
      <c r="E6" s="26"/>
      <c r="F6" s="26"/>
      <c r="G6" s="26"/>
      <c r="H6" s="26"/>
      <c r="I6" s="26"/>
      <c r="J6" s="26"/>
      <c r="K6" s="247" t="s">
        <v>554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6"/>
      <c r="AQ6" s="25"/>
      <c r="BS6" s="20" t="s">
        <v>9</v>
      </c>
    </row>
    <row r="7" spans="2:71" ht="14.45" customHeight="1">
      <c r="B7" s="24"/>
      <c r="C7" s="26"/>
      <c r="D7" s="30" t="s">
        <v>18</v>
      </c>
      <c r="E7" s="26"/>
      <c r="F7" s="26"/>
      <c r="G7" s="26"/>
      <c r="H7" s="26"/>
      <c r="I7" s="26"/>
      <c r="J7" s="26"/>
      <c r="K7" s="28" t="s">
        <v>19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20</v>
      </c>
      <c r="AL7" s="26"/>
      <c r="AM7" s="26"/>
      <c r="AN7" s="28" t="s">
        <v>19</v>
      </c>
      <c r="AO7" s="26"/>
      <c r="AP7" s="26"/>
      <c r="AQ7" s="25"/>
      <c r="BS7" s="20" t="s">
        <v>9</v>
      </c>
    </row>
    <row r="8" spans="2:71" ht="14.45" customHeight="1">
      <c r="B8" s="24"/>
      <c r="C8" s="26"/>
      <c r="D8" s="30" t="s">
        <v>21</v>
      </c>
      <c r="E8" s="26"/>
      <c r="F8" s="26"/>
      <c r="G8" s="26"/>
      <c r="H8" s="26"/>
      <c r="I8" s="26"/>
      <c r="J8" s="26"/>
      <c r="K8" s="28" t="s">
        <v>22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23</v>
      </c>
      <c r="AL8" s="26"/>
      <c r="AM8" s="26"/>
      <c r="AN8" s="28" t="s">
        <v>24</v>
      </c>
      <c r="AO8" s="26"/>
      <c r="AP8" s="26"/>
      <c r="AQ8" s="25"/>
      <c r="BS8" s="20" t="s">
        <v>9</v>
      </c>
    </row>
    <row r="9" spans="2:71" ht="14.45" customHeight="1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BS9" s="20" t="s">
        <v>9</v>
      </c>
    </row>
    <row r="10" spans="2:71" ht="14.45" customHeight="1">
      <c r="B10" s="24"/>
      <c r="C10" s="26"/>
      <c r="D10" s="30" t="s">
        <v>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26</v>
      </c>
      <c r="AL10" s="26"/>
      <c r="AM10" s="26"/>
      <c r="AN10" s="28" t="s">
        <v>19</v>
      </c>
      <c r="AO10" s="26"/>
      <c r="AP10" s="26"/>
      <c r="AQ10" s="25"/>
      <c r="BS10" s="20" t="s">
        <v>9</v>
      </c>
    </row>
    <row r="11" spans="2:71" ht="18.4" customHeight="1">
      <c r="B11" s="24"/>
      <c r="C11" s="26"/>
      <c r="D11" s="26"/>
      <c r="E11" s="28" t="s">
        <v>27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28</v>
      </c>
      <c r="AL11" s="26"/>
      <c r="AM11" s="26"/>
      <c r="AN11" s="28" t="s">
        <v>19</v>
      </c>
      <c r="AO11" s="26"/>
      <c r="AP11" s="26"/>
      <c r="AQ11" s="25"/>
      <c r="BS11" s="20" t="s">
        <v>9</v>
      </c>
    </row>
    <row r="12" spans="2:71" ht="6.95" customHeight="1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5"/>
      <c r="BS12" s="20" t="s">
        <v>9</v>
      </c>
    </row>
    <row r="13" spans="2:71" ht="14.45" customHeight="1">
      <c r="B13" s="24"/>
      <c r="C13" s="26"/>
      <c r="D13" s="30" t="s">
        <v>29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26</v>
      </c>
      <c r="AL13" s="26"/>
      <c r="AM13" s="26"/>
      <c r="AN13" s="28" t="s">
        <v>19</v>
      </c>
      <c r="AO13" s="26"/>
      <c r="AP13" s="26"/>
      <c r="AQ13" s="25"/>
      <c r="BS13" s="20" t="s">
        <v>9</v>
      </c>
    </row>
    <row r="14" spans="2:71" ht="15">
      <c r="B14" s="24"/>
      <c r="C14" s="26"/>
      <c r="D14" s="26"/>
      <c r="E14" s="28" t="s">
        <v>30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28</v>
      </c>
      <c r="AL14" s="26"/>
      <c r="AM14" s="26"/>
      <c r="AN14" s="28" t="s">
        <v>19</v>
      </c>
      <c r="AO14" s="26"/>
      <c r="AP14" s="26"/>
      <c r="AQ14" s="25"/>
      <c r="BS14" s="20" t="s">
        <v>9</v>
      </c>
    </row>
    <row r="15" spans="2:71" ht="6.95" customHeight="1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BS15" s="20" t="s">
        <v>6</v>
      </c>
    </row>
    <row r="16" spans="2:71" ht="14.45" customHeight="1">
      <c r="B16" s="24"/>
      <c r="C16" s="26"/>
      <c r="D16" s="30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26</v>
      </c>
      <c r="AL16" s="26"/>
      <c r="AM16" s="26"/>
      <c r="AN16" s="28" t="s">
        <v>19</v>
      </c>
      <c r="AO16" s="26"/>
      <c r="AP16" s="26"/>
      <c r="AQ16" s="25"/>
      <c r="BS16" s="20" t="s">
        <v>6</v>
      </c>
    </row>
    <row r="17" spans="2:71" ht="18.4" customHeight="1">
      <c r="B17" s="24"/>
      <c r="C17" s="26"/>
      <c r="D17" s="26"/>
      <c r="E17" s="28" t="s">
        <v>32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28</v>
      </c>
      <c r="AL17" s="26"/>
      <c r="AM17" s="26"/>
      <c r="AN17" s="28" t="s">
        <v>19</v>
      </c>
      <c r="AO17" s="26"/>
      <c r="AP17" s="26"/>
      <c r="AQ17" s="25"/>
      <c r="BS17" s="20" t="s">
        <v>33</v>
      </c>
    </row>
    <row r="18" spans="2:71" ht="6.9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5"/>
      <c r="BS18" s="20" t="s">
        <v>9</v>
      </c>
    </row>
    <row r="19" spans="2:71" ht="14.45" customHeight="1">
      <c r="B19" s="24"/>
      <c r="C19" s="26"/>
      <c r="D19" s="30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26</v>
      </c>
      <c r="AL19" s="26"/>
      <c r="AM19" s="26"/>
      <c r="AN19" s="28" t="s">
        <v>19</v>
      </c>
      <c r="AO19" s="26"/>
      <c r="AP19" s="26"/>
      <c r="AQ19" s="25"/>
      <c r="BS19" s="20" t="s">
        <v>9</v>
      </c>
    </row>
    <row r="20" spans="2:43" ht="18.4" customHeight="1">
      <c r="B20" s="24"/>
      <c r="C20" s="26"/>
      <c r="D20" s="26"/>
      <c r="E20" s="28" t="s">
        <v>35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28</v>
      </c>
      <c r="AL20" s="26"/>
      <c r="AM20" s="26"/>
      <c r="AN20" s="28" t="s">
        <v>19</v>
      </c>
      <c r="AO20" s="26"/>
      <c r="AP20" s="26"/>
      <c r="AQ20" s="25"/>
    </row>
    <row r="21" spans="2:43" ht="6.95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5"/>
    </row>
    <row r="22" spans="2:43" ht="15">
      <c r="B22" s="24"/>
      <c r="C22" s="26"/>
      <c r="D22" s="30" t="s">
        <v>36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5"/>
    </row>
    <row r="23" spans="2:43" ht="16.5" customHeight="1">
      <c r="B23" s="24"/>
      <c r="C23" s="26"/>
      <c r="D23" s="26"/>
      <c r="E23" s="238" t="s">
        <v>19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6"/>
      <c r="AP23" s="26"/>
      <c r="AQ23" s="25"/>
    </row>
    <row r="24" spans="2:43" ht="6.95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</row>
    <row r="25" spans="2:43" ht="6.95" customHeight="1">
      <c r="B25" s="24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5"/>
    </row>
    <row r="26" spans="2:43" ht="14.45" customHeight="1">
      <c r="B26" s="24"/>
      <c r="C26" s="26"/>
      <c r="D26" s="3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48"/>
      <c r="AL26" s="246"/>
      <c r="AM26" s="246"/>
      <c r="AN26" s="246"/>
      <c r="AO26" s="246"/>
      <c r="AP26" s="26"/>
      <c r="AQ26" s="25"/>
    </row>
    <row r="27" spans="2:43" ht="14.45" customHeight="1">
      <c r="B27" s="24"/>
      <c r="C27" s="26"/>
      <c r="D27" s="3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48"/>
      <c r="AL27" s="248"/>
      <c r="AM27" s="248"/>
      <c r="AN27" s="248"/>
      <c r="AO27" s="248"/>
      <c r="AP27" s="26"/>
      <c r="AQ27" s="25"/>
    </row>
    <row r="28" spans="2:43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43" s="1" customFormat="1" ht="25.9" customHeight="1">
      <c r="B29" s="33"/>
      <c r="C29" s="34"/>
      <c r="D29" s="36" t="s">
        <v>37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49">
        <f>AG95</f>
        <v>0</v>
      </c>
      <c r="AL29" s="250"/>
      <c r="AM29" s="250"/>
      <c r="AN29" s="250"/>
      <c r="AO29" s="250"/>
      <c r="AP29" s="34"/>
      <c r="AQ29" s="35"/>
    </row>
    <row r="30" spans="2:43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43" s="2" customFormat="1" ht="14.45" customHeight="1">
      <c r="B31" s="38"/>
      <c r="C31" s="39"/>
      <c r="D31" s="40" t="s">
        <v>38</v>
      </c>
      <c r="E31" s="39"/>
      <c r="F31" s="40" t="s">
        <v>39</v>
      </c>
      <c r="G31" s="39"/>
      <c r="H31" s="39"/>
      <c r="I31" s="39"/>
      <c r="J31" s="39"/>
      <c r="K31" s="39"/>
      <c r="L31" s="251">
        <v>0.21</v>
      </c>
      <c r="M31" s="252"/>
      <c r="N31" s="252"/>
      <c r="O31" s="252"/>
      <c r="P31" s="39"/>
      <c r="Q31" s="39"/>
      <c r="R31" s="39"/>
      <c r="S31" s="39"/>
      <c r="T31" s="42" t="s">
        <v>40</v>
      </c>
      <c r="U31" s="39"/>
      <c r="V31" s="39"/>
      <c r="W31" s="253">
        <f>AK29</f>
        <v>0</v>
      </c>
      <c r="X31" s="252"/>
      <c r="Y31" s="252"/>
      <c r="Z31" s="252"/>
      <c r="AA31" s="252"/>
      <c r="AB31" s="252"/>
      <c r="AC31" s="252"/>
      <c r="AD31" s="252"/>
      <c r="AE31" s="252"/>
      <c r="AF31" s="39"/>
      <c r="AG31" s="39"/>
      <c r="AH31" s="39"/>
      <c r="AI31" s="39"/>
      <c r="AJ31" s="39"/>
      <c r="AK31" s="253">
        <f>AK29*0.21</f>
        <v>0</v>
      </c>
      <c r="AL31" s="252"/>
      <c r="AM31" s="252"/>
      <c r="AN31" s="252"/>
      <c r="AO31" s="252"/>
      <c r="AP31" s="39"/>
      <c r="AQ31" s="43"/>
    </row>
    <row r="32" spans="2:43" s="2" customFormat="1" ht="14.45" customHeight="1">
      <c r="B32" s="38"/>
      <c r="C32" s="39"/>
      <c r="D32" s="39"/>
      <c r="E32" s="39"/>
      <c r="F32" s="40"/>
      <c r="G32" s="39"/>
      <c r="H32" s="39"/>
      <c r="I32" s="39"/>
      <c r="J32" s="39"/>
      <c r="K32" s="39"/>
      <c r="L32" s="251"/>
      <c r="M32" s="252"/>
      <c r="N32" s="252"/>
      <c r="O32" s="252"/>
      <c r="P32" s="39"/>
      <c r="Q32" s="39"/>
      <c r="R32" s="39"/>
      <c r="S32" s="39"/>
      <c r="T32" s="42"/>
      <c r="U32" s="39"/>
      <c r="V32" s="39"/>
      <c r="W32" s="253"/>
      <c r="X32" s="252"/>
      <c r="Y32" s="252"/>
      <c r="Z32" s="252"/>
      <c r="AA32" s="252"/>
      <c r="AB32" s="252"/>
      <c r="AC32" s="252"/>
      <c r="AD32" s="252"/>
      <c r="AE32" s="252"/>
      <c r="AF32" s="39"/>
      <c r="AG32" s="39"/>
      <c r="AH32" s="39"/>
      <c r="AI32" s="39"/>
      <c r="AJ32" s="39"/>
      <c r="AK32" s="253"/>
      <c r="AL32" s="252"/>
      <c r="AM32" s="252"/>
      <c r="AN32" s="252"/>
      <c r="AO32" s="252"/>
      <c r="AP32" s="39"/>
      <c r="AQ32" s="43"/>
    </row>
    <row r="33" spans="2:43" s="2" customFormat="1" ht="14.45" customHeight="1" hidden="1">
      <c r="B33" s="38"/>
      <c r="C33" s="39"/>
      <c r="D33" s="39"/>
      <c r="E33" s="39"/>
      <c r="F33" s="40" t="s">
        <v>42</v>
      </c>
      <c r="G33" s="39"/>
      <c r="H33" s="39"/>
      <c r="I33" s="39"/>
      <c r="J33" s="39"/>
      <c r="K33" s="39"/>
      <c r="L33" s="251">
        <v>0.21</v>
      </c>
      <c r="M33" s="252"/>
      <c r="N33" s="252"/>
      <c r="O33" s="252"/>
      <c r="P33" s="39"/>
      <c r="Q33" s="39"/>
      <c r="R33" s="39"/>
      <c r="S33" s="39"/>
      <c r="T33" s="42" t="s">
        <v>40</v>
      </c>
      <c r="U33" s="39"/>
      <c r="V33" s="39"/>
      <c r="W33" s="253" t="e">
        <f>ROUND(BB87+SUM(CF94),2)</f>
        <v>#REF!</v>
      </c>
      <c r="X33" s="252"/>
      <c r="Y33" s="252"/>
      <c r="Z33" s="252"/>
      <c r="AA33" s="252"/>
      <c r="AB33" s="252"/>
      <c r="AC33" s="252"/>
      <c r="AD33" s="252"/>
      <c r="AE33" s="252"/>
      <c r="AF33" s="39"/>
      <c r="AG33" s="39"/>
      <c r="AH33" s="39"/>
      <c r="AI33" s="39"/>
      <c r="AJ33" s="39"/>
      <c r="AK33" s="253">
        <v>0</v>
      </c>
      <c r="AL33" s="252"/>
      <c r="AM33" s="252"/>
      <c r="AN33" s="252"/>
      <c r="AO33" s="252"/>
      <c r="AP33" s="39"/>
      <c r="AQ33" s="43"/>
    </row>
    <row r="34" spans="2:43" s="2" customFormat="1" ht="14.45" customHeight="1" hidden="1">
      <c r="B34" s="38"/>
      <c r="C34" s="39"/>
      <c r="D34" s="39"/>
      <c r="E34" s="39"/>
      <c r="F34" s="40" t="s">
        <v>43</v>
      </c>
      <c r="G34" s="39"/>
      <c r="H34" s="39"/>
      <c r="I34" s="39"/>
      <c r="J34" s="39"/>
      <c r="K34" s="39"/>
      <c r="L34" s="251">
        <v>0.15</v>
      </c>
      <c r="M34" s="252"/>
      <c r="N34" s="252"/>
      <c r="O34" s="252"/>
      <c r="P34" s="39"/>
      <c r="Q34" s="39"/>
      <c r="R34" s="39"/>
      <c r="S34" s="39"/>
      <c r="T34" s="42" t="s">
        <v>40</v>
      </c>
      <c r="U34" s="39"/>
      <c r="V34" s="39"/>
      <c r="W34" s="253" t="e">
        <f>ROUND(BC87+SUM(CG94),2)</f>
        <v>#REF!</v>
      </c>
      <c r="X34" s="252"/>
      <c r="Y34" s="252"/>
      <c r="Z34" s="252"/>
      <c r="AA34" s="252"/>
      <c r="AB34" s="252"/>
      <c r="AC34" s="252"/>
      <c r="AD34" s="252"/>
      <c r="AE34" s="252"/>
      <c r="AF34" s="39"/>
      <c r="AG34" s="39"/>
      <c r="AH34" s="39"/>
      <c r="AI34" s="39"/>
      <c r="AJ34" s="39"/>
      <c r="AK34" s="253">
        <v>0</v>
      </c>
      <c r="AL34" s="252"/>
      <c r="AM34" s="252"/>
      <c r="AN34" s="252"/>
      <c r="AO34" s="252"/>
      <c r="AP34" s="39"/>
      <c r="AQ34" s="43"/>
    </row>
    <row r="35" spans="2:43" s="2" customFormat="1" ht="14.45" customHeight="1" hidden="1">
      <c r="B35" s="38"/>
      <c r="C35" s="39"/>
      <c r="D35" s="39"/>
      <c r="E35" s="39"/>
      <c r="F35" s="40" t="s">
        <v>44</v>
      </c>
      <c r="G35" s="39"/>
      <c r="H35" s="39"/>
      <c r="I35" s="39"/>
      <c r="J35" s="39"/>
      <c r="K35" s="39"/>
      <c r="L35" s="251">
        <v>0</v>
      </c>
      <c r="M35" s="252"/>
      <c r="N35" s="252"/>
      <c r="O35" s="252"/>
      <c r="P35" s="39"/>
      <c r="Q35" s="39"/>
      <c r="R35" s="39"/>
      <c r="S35" s="39"/>
      <c r="T35" s="42" t="s">
        <v>40</v>
      </c>
      <c r="U35" s="39"/>
      <c r="V35" s="39"/>
      <c r="W35" s="253" t="e">
        <f>ROUND(BD87+SUM(CH94),2)</f>
        <v>#REF!</v>
      </c>
      <c r="X35" s="252"/>
      <c r="Y35" s="252"/>
      <c r="Z35" s="252"/>
      <c r="AA35" s="252"/>
      <c r="AB35" s="252"/>
      <c r="AC35" s="252"/>
      <c r="AD35" s="252"/>
      <c r="AE35" s="252"/>
      <c r="AF35" s="39"/>
      <c r="AG35" s="39"/>
      <c r="AH35" s="39"/>
      <c r="AI35" s="39"/>
      <c r="AJ35" s="39"/>
      <c r="AK35" s="253">
        <v>0</v>
      </c>
      <c r="AL35" s="252"/>
      <c r="AM35" s="252"/>
      <c r="AN35" s="252"/>
      <c r="AO35" s="252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46</v>
      </c>
      <c r="U37" s="46"/>
      <c r="V37" s="46"/>
      <c r="W37" s="46"/>
      <c r="X37" s="261" t="s">
        <v>47</v>
      </c>
      <c r="Y37" s="262"/>
      <c r="Z37" s="262"/>
      <c r="AA37" s="262"/>
      <c r="AB37" s="262"/>
      <c r="AC37" s="46"/>
      <c r="AD37" s="46"/>
      <c r="AE37" s="46"/>
      <c r="AF37" s="46"/>
      <c r="AG37" s="46"/>
      <c r="AH37" s="46"/>
      <c r="AI37" s="46"/>
      <c r="AJ37" s="46"/>
      <c r="AK37" s="263">
        <f>AK29+AK31</f>
        <v>0</v>
      </c>
      <c r="AL37" s="262"/>
      <c r="AM37" s="262"/>
      <c r="AN37" s="262"/>
      <c r="AO37" s="264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5"/>
    </row>
    <row r="40" spans="2:43" ht="13.5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</row>
    <row r="41" spans="2:43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</row>
    <row r="42" spans="2:43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2:43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5"/>
    </row>
    <row r="44" spans="2:43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</row>
    <row r="45" spans="2:43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5"/>
    </row>
    <row r="46" spans="2:43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2:43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5"/>
    </row>
    <row r="48" spans="2:43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5"/>
    </row>
    <row r="49" spans="2:43" s="1" customFormat="1" ht="15">
      <c r="B49" s="33"/>
      <c r="C49" s="34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49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4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5"/>
    </row>
    <row r="51" spans="2:43" ht="13.5">
      <c r="B51" s="24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5"/>
    </row>
    <row r="52" spans="2:43" ht="13.5">
      <c r="B52" s="24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5"/>
    </row>
    <row r="53" spans="2:43" ht="13.5">
      <c r="B53" s="24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5"/>
    </row>
    <row r="54" spans="2:43" ht="13.5">
      <c r="B54" s="24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5"/>
    </row>
    <row r="55" spans="2:43" ht="13.5">
      <c r="B55" s="24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5"/>
    </row>
    <row r="56" spans="2:43" ht="13.5">
      <c r="B56" s="24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5"/>
    </row>
    <row r="57" spans="2:43" ht="13.5">
      <c r="B57" s="24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5"/>
    </row>
    <row r="58" spans="2:43" s="1" customFormat="1" ht="15">
      <c r="B58" s="33"/>
      <c r="C58" s="34"/>
      <c r="D58" s="53" t="s">
        <v>50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51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50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51</v>
      </c>
      <c r="AN58" s="54"/>
      <c r="AO58" s="56"/>
      <c r="AP58" s="34"/>
      <c r="AQ58" s="35"/>
    </row>
    <row r="59" spans="2:43" ht="13.5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</row>
    <row r="60" spans="2:43" s="1" customFormat="1" ht="15">
      <c r="B60" s="33"/>
      <c r="C60" s="34"/>
      <c r="D60" s="48" t="s">
        <v>52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53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4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5"/>
    </row>
    <row r="62" spans="2:43" ht="13.5">
      <c r="B62" s="24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5"/>
    </row>
    <row r="63" spans="2:43" ht="13.5">
      <c r="B63" s="24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5"/>
    </row>
    <row r="64" spans="2:43" ht="13.5">
      <c r="B64" s="24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5"/>
    </row>
    <row r="65" spans="2:43" ht="13.5">
      <c r="B65" s="24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5"/>
    </row>
    <row r="66" spans="2:43" ht="13.5">
      <c r="B66" s="24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5"/>
    </row>
    <row r="67" spans="2:43" ht="13.5">
      <c r="B67" s="24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5"/>
    </row>
    <row r="68" spans="2:43" ht="13.5">
      <c r="B68" s="24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5"/>
    </row>
    <row r="69" spans="2:43" s="1" customFormat="1" ht="15">
      <c r="B69" s="33"/>
      <c r="C69" s="34"/>
      <c r="D69" s="53" t="s">
        <v>50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51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50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51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3" ht="36" customHeight="1"/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" customHeight="1">
      <c r="B76" s="33"/>
      <c r="C76" s="243" t="s">
        <v>54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35"/>
    </row>
    <row r="77" spans="2:43" s="3" customFormat="1" ht="14.45" customHeight="1">
      <c r="B77" s="63"/>
      <c r="C77" s="30" t="s">
        <v>15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2017082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65" t="str">
        <f>K6</f>
        <v>LIKVIDACE NEVYUŽÍVANÝCH VODOHOSPODÁŘSKÝCH OBJEKTŮ</v>
      </c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21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23</v>
      </c>
      <c r="AJ80" s="34"/>
      <c r="AK80" s="34"/>
      <c r="AL80" s="34"/>
      <c r="AM80" s="71" t="str">
        <f>IF(AN8="","",AN8)</f>
        <v>11. 8. 2017</v>
      </c>
      <c r="AN80" s="34"/>
      <c r="AO80" s="34"/>
      <c r="AP80" s="34"/>
      <c r="AQ80" s="35"/>
    </row>
    <row r="81" spans="2:43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30" t="s">
        <v>25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VODOVODY A KANALIZACE MLADÁ BOLESLAV A.S.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31</v>
      </c>
      <c r="AJ82" s="34"/>
      <c r="AK82" s="34"/>
      <c r="AL82" s="34"/>
      <c r="AM82" s="260" t="str">
        <f>IF(E17="","",E17)</f>
        <v>ING.EVŽEN KOZÁK S.R.O.</v>
      </c>
      <c r="AN82" s="260"/>
      <c r="AO82" s="260"/>
      <c r="AP82" s="260"/>
      <c r="AQ82" s="35"/>
      <c r="AS82" s="254" t="s">
        <v>55</v>
      </c>
      <c r="AT82" s="255"/>
      <c r="AU82" s="72"/>
      <c r="AV82" s="72"/>
      <c r="AW82" s="72"/>
      <c r="AX82" s="72"/>
      <c r="AY82" s="72"/>
      <c r="AZ82" s="72"/>
      <c r="BA82" s="72"/>
      <c r="BB82" s="72"/>
      <c r="BC82" s="72"/>
      <c r="BD82" s="73"/>
    </row>
    <row r="83" spans="2:56" s="1" customFormat="1" ht="15">
      <c r="B83" s="33"/>
      <c r="C83" s="30" t="s">
        <v>29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>DLE VÝBĚROVÉHO ŘÍZENÍ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34</v>
      </c>
      <c r="AJ83" s="34"/>
      <c r="AK83" s="34"/>
      <c r="AL83" s="34"/>
      <c r="AM83" s="260" t="str">
        <f>IF(E20="","",E20)</f>
        <v>ING.EVŽEN KOZÁK</v>
      </c>
      <c r="AN83" s="260"/>
      <c r="AO83" s="260"/>
      <c r="AP83" s="260"/>
      <c r="AQ83" s="35"/>
      <c r="AS83" s="256"/>
      <c r="AT83" s="257"/>
      <c r="AU83" s="74"/>
      <c r="AV83" s="74"/>
      <c r="AW83" s="74"/>
      <c r="AX83" s="74"/>
      <c r="AY83" s="74"/>
      <c r="AZ83" s="74"/>
      <c r="BA83" s="74"/>
      <c r="BB83" s="74"/>
      <c r="BC83" s="74"/>
      <c r="BD83" s="75"/>
    </row>
    <row r="84" spans="2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58"/>
      <c r="AT84" s="259"/>
      <c r="AU84" s="34"/>
      <c r="AV84" s="34"/>
      <c r="AW84" s="34"/>
      <c r="AX84" s="34"/>
      <c r="AY84" s="34"/>
      <c r="AZ84" s="34"/>
      <c r="BA84" s="34"/>
      <c r="BB84" s="34"/>
      <c r="BC84" s="34"/>
      <c r="BD84" s="76"/>
    </row>
    <row r="85" spans="2:56" s="1" customFormat="1" ht="29.25" customHeight="1">
      <c r="B85" s="33"/>
      <c r="C85" s="271" t="s">
        <v>56</v>
      </c>
      <c r="D85" s="272"/>
      <c r="E85" s="272"/>
      <c r="F85" s="272"/>
      <c r="G85" s="272"/>
      <c r="H85" s="77"/>
      <c r="I85" s="273" t="s">
        <v>57</v>
      </c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3" t="s">
        <v>58</v>
      </c>
      <c r="AH85" s="272"/>
      <c r="AI85" s="272"/>
      <c r="AJ85" s="272"/>
      <c r="AK85" s="272"/>
      <c r="AL85" s="272"/>
      <c r="AM85" s="272"/>
      <c r="AN85" s="273" t="s">
        <v>59</v>
      </c>
      <c r="AO85" s="272"/>
      <c r="AP85" s="274"/>
      <c r="AQ85" s="35"/>
      <c r="AS85" s="78" t="s">
        <v>60</v>
      </c>
      <c r="AT85" s="79" t="s">
        <v>61</v>
      </c>
      <c r="AU85" s="79" t="s">
        <v>62</v>
      </c>
      <c r="AV85" s="79" t="s">
        <v>63</v>
      </c>
      <c r="AW85" s="79" t="s">
        <v>64</v>
      </c>
      <c r="AX85" s="79" t="s">
        <v>65</v>
      </c>
      <c r="AY85" s="79" t="s">
        <v>66</v>
      </c>
      <c r="AZ85" s="79" t="s">
        <v>67</v>
      </c>
      <c r="BA85" s="79" t="s">
        <v>68</v>
      </c>
      <c r="BB85" s="79" t="s">
        <v>69</v>
      </c>
      <c r="BC85" s="79" t="s">
        <v>70</v>
      </c>
      <c r="BD85" s="80" t="s">
        <v>71</v>
      </c>
    </row>
    <row r="86" spans="2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81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5" customHeight="1">
      <c r="B87" s="66"/>
      <c r="C87" s="82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75"/>
      <c r="AH87" s="275"/>
      <c r="AI87" s="275"/>
      <c r="AJ87" s="275"/>
      <c r="AK87" s="275"/>
      <c r="AL87" s="275"/>
      <c r="AM87" s="275"/>
      <c r="AN87" s="270"/>
      <c r="AO87" s="270"/>
      <c r="AP87" s="270"/>
      <c r="AQ87" s="69"/>
      <c r="AS87" s="84" t="e">
        <f>ROUND(SUM(AS88:AS92),2)</f>
        <v>#REF!</v>
      </c>
      <c r="AT87" s="85" t="e">
        <f aca="true" t="shared" si="0" ref="AT87:AT92">ROUND(SUM(AV87:AW87),2)</f>
        <v>#REF!</v>
      </c>
      <c r="AU87" s="86" t="e">
        <f>ROUND(SUM(AU88:AU92),5)</f>
        <v>#REF!</v>
      </c>
      <c r="AV87" s="85" t="e">
        <f>ROUND(AZ87*L31,2)</f>
        <v>#REF!</v>
      </c>
      <c r="AW87" s="85" t="e">
        <f>ROUND(BA87*L32,2)</f>
        <v>#REF!</v>
      </c>
      <c r="AX87" s="85" t="e">
        <f>ROUND(BB87*L31,2)</f>
        <v>#REF!</v>
      </c>
      <c r="AY87" s="85" t="e">
        <f>ROUND(BC87*L32,2)</f>
        <v>#REF!</v>
      </c>
      <c r="AZ87" s="85" t="e">
        <f>ROUND(SUM(AZ88:AZ92),2)</f>
        <v>#REF!</v>
      </c>
      <c r="BA87" s="85" t="e">
        <f>ROUND(SUM(BA88:BA92),2)</f>
        <v>#REF!</v>
      </c>
      <c r="BB87" s="85" t="e">
        <f>ROUND(SUM(BB88:BB92),2)</f>
        <v>#REF!</v>
      </c>
      <c r="BC87" s="85" t="e">
        <f>ROUND(SUM(BC88:BC92),2)</f>
        <v>#REF!</v>
      </c>
      <c r="BD87" s="87" t="e">
        <f>ROUND(SUM(BD88:BD92),2)</f>
        <v>#REF!</v>
      </c>
      <c r="BS87" s="88" t="s">
        <v>72</v>
      </c>
      <c r="BT87" s="88" t="s">
        <v>73</v>
      </c>
      <c r="BU87" s="89" t="s">
        <v>74</v>
      </c>
      <c r="BV87" s="88" t="s">
        <v>75</v>
      </c>
      <c r="BW87" s="88" t="s">
        <v>76</v>
      </c>
      <c r="BX87" s="88" t="s">
        <v>77</v>
      </c>
    </row>
    <row r="88" spans="1:76" s="5" customFormat="1" ht="63" customHeight="1">
      <c r="A88" s="90" t="s">
        <v>78</v>
      </c>
      <c r="B88" s="91"/>
      <c r="C88" s="92"/>
      <c r="D88" s="267"/>
      <c r="E88" s="267"/>
      <c r="F88" s="267"/>
      <c r="G88" s="267"/>
      <c r="H88" s="267"/>
      <c r="I88" s="93"/>
      <c r="J88" s="267" t="s">
        <v>79</v>
      </c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8">
        <f>Mukařov!L108</f>
        <v>0</v>
      </c>
      <c r="AH88" s="269"/>
      <c r="AI88" s="269"/>
      <c r="AJ88" s="269"/>
      <c r="AK88" s="269"/>
      <c r="AL88" s="269"/>
      <c r="AM88" s="269"/>
      <c r="AN88" s="270">
        <f>AG88*1.21</f>
        <v>0</v>
      </c>
      <c r="AO88" s="270"/>
      <c r="AP88" s="270"/>
      <c r="AQ88" s="94"/>
      <c r="AS88" s="95" t="e">
        <f>#REF!</f>
        <v>#REF!</v>
      </c>
      <c r="AT88" s="96" t="e">
        <f t="shared" si="0"/>
        <v>#REF!</v>
      </c>
      <c r="AU88" s="97" t="e">
        <f>#REF!</f>
        <v>#REF!</v>
      </c>
      <c r="AV88" s="96" t="e">
        <f>#REF!</f>
        <v>#REF!</v>
      </c>
      <c r="AW88" s="96" t="e">
        <f>#REF!</f>
        <v>#REF!</v>
      </c>
      <c r="AX88" s="96" t="e">
        <f>#REF!</f>
        <v>#REF!</v>
      </c>
      <c r="AY88" s="96" t="e">
        <f>#REF!</f>
        <v>#REF!</v>
      </c>
      <c r="AZ88" s="96" t="e">
        <f>#REF!</f>
        <v>#REF!</v>
      </c>
      <c r="BA88" s="96" t="e">
        <f>#REF!</f>
        <v>#REF!</v>
      </c>
      <c r="BB88" s="96" t="e">
        <f>#REF!</f>
        <v>#REF!</v>
      </c>
      <c r="BC88" s="96" t="e">
        <f>#REF!</f>
        <v>#REF!</v>
      </c>
      <c r="BD88" s="98" t="e">
        <f>#REF!</f>
        <v>#REF!</v>
      </c>
      <c r="BT88" s="99" t="s">
        <v>80</v>
      </c>
      <c r="BV88" s="99" t="s">
        <v>75</v>
      </c>
      <c r="BW88" s="99" t="s">
        <v>81</v>
      </c>
      <c r="BX88" s="99" t="s">
        <v>76</v>
      </c>
    </row>
    <row r="89" spans="1:76" s="5" customFormat="1" ht="63" customHeight="1">
      <c r="A89" s="90" t="s">
        <v>78</v>
      </c>
      <c r="B89" s="91"/>
      <c r="C89" s="92"/>
      <c r="D89" s="267"/>
      <c r="E89" s="267"/>
      <c r="F89" s="267"/>
      <c r="G89" s="267"/>
      <c r="H89" s="267"/>
      <c r="I89" s="93"/>
      <c r="J89" s="267" t="s">
        <v>82</v>
      </c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8">
        <f>Němčice!L104</f>
        <v>0</v>
      </c>
      <c r="AH89" s="269"/>
      <c r="AI89" s="269"/>
      <c r="AJ89" s="269"/>
      <c r="AK89" s="269"/>
      <c r="AL89" s="269"/>
      <c r="AM89" s="269"/>
      <c r="AN89" s="270">
        <f>AG89*1.21</f>
        <v>0</v>
      </c>
      <c r="AO89" s="270"/>
      <c r="AP89" s="270"/>
      <c r="AQ89" s="94"/>
      <c r="AS89" s="95" t="e">
        <f>#REF!</f>
        <v>#REF!</v>
      </c>
      <c r="AT89" s="96" t="e">
        <f t="shared" si="0"/>
        <v>#REF!</v>
      </c>
      <c r="AU89" s="97" t="e">
        <f>#REF!</f>
        <v>#REF!</v>
      </c>
      <c r="AV89" s="96" t="e">
        <f>#REF!</f>
        <v>#REF!</v>
      </c>
      <c r="AW89" s="96" t="e">
        <f>#REF!</f>
        <v>#REF!</v>
      </c>
      <c r="AX89" s="96" t="e">
        <f>#REF!</f>
        <v>#REF!</v>
      </c>
      <c r="AY89" s="96" t="e">
        <f>#REF!</f>
        <v>#REF!</v>
      </c>
      <c r="AZ89" s="96" t="e">
        <f>#REF!</f>
        <v>#REF!</v>
      </c>
      <c r="BA89" s="96" t="e">
        <f>#REF!</f>
        <v>#REF!</v>
      </c>
      <c r="BB89" s="96" t="e">
        <f>#REF!</f>
        <v>#REF!</v>
      </c>
      <c r="BC89" s="96" t="e">
        <f>#REF!</f>
        <v>#REF!</v>
      </c>
      <c r="BD89" s="98" t="e">
        <f>#REF!</f>
        <v>#REF!</v>
      </c>
      <c r="BT89" s="99" t="s">
        <v>80</v>
      </c>
      <c r="BV89" s="99" t="s">
        <v>75</v>
      </c>
      <c r="BW89" s="99" t="s">
        <v>83</v>
      </c>
      <c r="BX89" s="99" t="s">
        <v>76</v>
      </c>
    </row>
    <row r="90" spans="1:76" s="5" customFormat="1" ht="47.25" customHeight="1">
      <c r="A90" s="90" t="s">
        <v>78</v>
      </c>
      <c r="B90" s="91"/>
      <c r="C90" s="92"/>
      <c r="D90" s="267"/>
      <c r="E90" s="267"/>
      <c r="F90" s="267"/>
      <c r="G90" s="267"/>
      <c r="H90" s="267"/>
      <c r="I90" s="93"/>
      <c r="J90" s="267" t="s">
        <v>84</v>
      </c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8">
        <f>Sýčina!L104</f>
        <v>0</v>
      </c>
      <c r="AH90" s="269"/>
      <c r="AI90" s="269"/>
      <c r="AJ90" s="269"/>
      <c r="AK90" s="269"/>
      <c r="AL90" s="269"/>
      <c r="AM90" s="269"/>
      <c r="AN90" s="270">
        <f>AG90*1.21</f>
        <v>0</v>
      </c>
      <c r="AO90" s="270"/>
      <c r="AP90" s="270"/>
      <c r="AQ90" s="94"/>
      <c r="AS90" s="95" t="e">
        <f>#REF!</f>
        <v>#REF!</v>
      </c>
      <c r="AT90" s="96" t="e">
        <f t="shared" si="0"/>
        <v>#REF!</v>
      </c>
      <c r="AU90" s="97" t="e">
        <f>#REF!</f>
        <v>#REF!</v>
      </c>
      <c r="AV90" s="96" t="e">
        <f>#REF!</f>
        <v>#REF!</v>
      </c>
      <c r="AW90" s="96" t="e">
        <f>#REF!</f>
        <v>#REF!</v>
      </c>
      <c r="AX90" s="96" t="e">
        <f>#REF!</f>
        <v>#REF!</v>
      </c>
      <c r="AY90" s="96" t="e">
        <f>#REF!</f>
        <v>#REF!</v>
      </c>
      <c r="AZ90" s="96" t="e">
        <f>#REF!</f>
        <v>#REF!</v>
      </c>
      <c r="BA90" s="96" t="e">
        <f>#REF!</f>
        <v>#REF!</v>
      </c>
      <c r="BB90" s="96" t="e">
        <f>#REF!</f>
        <v>#REF!</v>
      </c>
      <c r="BC90" s="96" t="e">
        <f>#REF!</f>
        <v>#REF!</v>
      </c>
      <c r="BD90" s="98" t="e">
        <f>#REF!</f>
        <v>#REF!</v>
      </c>
      <c r="BT90" s="99" t="s">
        <v>80</v>
      </c>
      <c r="BV90" s="99" t="s">
        <v>75</v>
      </c>
      <c r="BW90" s="99" t="s">
        <v>85</v>
      </c>
      <c r="BX90" s="99" t="s">
        <v>76</v>
      </c>
    </row>
    <row r="91" spans="1:76" s="5" customFormat="1" ht="63" customHeight="1">
      <c r="A91" s="90" t="s">
        <v>78</v>
      </c>
      <c r="B91" s="91"/>
      <c r="C91" s="92"/>
      <c r="D91" s="267"/>
      <c r="E91" s="267"/>
      <c r="F91" s="267"/>
      <c r="G91" s="267"/>
      <c r="H91" s="267"/>
      <c r="I91" s="93"/>
      <c r="J91" s="267" t="s">
        <v>86</v>
      </c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8">
        <f>Kovánec!L99</f>
        <v>0</v>
      </c>
      <c r="AH91" s="269"/>
      <c r="AI91" s="269"/>
      <c r="AJ91" s="269"/>
      <c r="AK91" s="269"/>
      <c r="AL91" s="269"/>
      <c r="AM91" s="269"/>
      <c r="AN91" s="270">
        <f>AG91*1.21</f>
        <v>0</v>
      </c>
      <c r="AO91" s="270"/>
      <c r="AP91" s="270"/>
      <c r="AQ91" s="94"/>
      <c r="AS91" s="95" t="e">
        <f>#REF!</f>
        <v>#REF!</v>
      </c>
      <c r="AT91" s="96" t="e">
        <f t="shared" si="0"/>
        <v>#REF!</v>
      </c>
      <c r="AU91" s="97" t="e">
        <f>#REF!</f>
        <v>#REF!</v>
      </c>
      <c r="AV91" s="96" t="e">
        <f>#REF!</f>
        <v>#REF!</v>
      </c>
      <c r="AW91" s="96" t="e">
        <f>#REF!</f>
        <v>#REF!</v>
      </c>
      <c r="AX91" s="96" t="e">
        <f>#REF!</f>
        <v>#REF!</v>
      </c>
      <c r="AY91" s="96" t="e">
        <f>#REF!</f>
        <v>#REF!</v>
      </c>
      <c r="AZ91" s="96" t="e">
        <f>#REF!</f>
        <v>#REF!</v>
      </c>
      <c r="BA91" s="96" t="e">
        <f>#REF!</f>
        <v>#REF!</v>
      </c>
      <c r="BB91" s="96" t="e">
        <f>#REF!</f>
        <v>#REF!</v>
      </c>
      <c r="BC91" s="96" t="e">
        <f>#REF!</f>
        <v>#REF!</v>
      </c>
      <c r="BD91" s="98" t="e">
        <f>#REF!</f>
        <v>#REF!</v>
      </c>
      <c r="BT91" s="99" t="s">
        <v>80</v>
      </c>
      <c r="BV91" s="99" t="s">
        <v>75</v>
      </c>
      <c r="BW91" s="99" t="s">
        <v>87</v>
      </c>
      <c r="BX91" s="99" t="s">
        <v>76</v>
      </c>
    </row>
    <row r="92" spans="1:76" s="5" customFormat="1" ht="31.5" customHeight="1">
      <c r="A92" s="90" t="s">
        <v>78</v>
      </c>
      <c r="B92" s="91"/>
      <c r="C92" s="92"/>
      <c r="D92" s="267"/>
      <c r="E92" s="267"/>
      <c r="F92" s="267"/>
      <c r="G92" s="267"/>
      <c r="H92" s="267"/>
      <c r="I92" s="93"/>
      <c r="J92" s="267" t="s">
        <v>88</v>
      </c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8">
        <f>'Vedlejší náklady'!N88</f>
        <v>0</v>
      </c>
      <c r="AH92" s="269"/>
      <c r="AI92" s="269"/>
      <c r="AJ92" s="269"/>
      <c r="AK92" s="269"/>
      <c r="AL92" s="269"/>
      <c r="AM92" s="269"/>
      <c r="AN92" s="270">
        <f>AG92*1.21</f>
        <v>0</v>
      </c>
      <c r="AO92" s="270"/>
      <c r="AP92" s="270"/>
      <c r="AQ92" s="94"/>
      <c r="AS92" s="100" t="e">
        <f>#REF!</f>
        <v>#REF!</v>
      </c>
      <c r="AT92" s="101" t="e">
        <f t="shared" si="0"/>
        <v>#REF!</v>
      </c>
      <c r="AU92" s="102" t="e">
        <f>#REF!</f>
        <v>#REF!</v>
      </c>
      <c r="AV92" s="101" t="e">
        <f>#REF!</f>
        <v>#REF!</v>
      </c>
      <c r="AW92" s="101" t="e">
        <f>#REF!</f>
        <v>#REF!</v>
      </c>
      <c r="AX92" s="101" t="e">
        <f>#REF!</f>
        <v>#REF!</v>
      </c>
      <c r="AY92" s="101" t="e">
        <f>#REF!</f>
        <v>#REF!</v>
      </c>
      <c r="AZ92" s="101" t="e">
        <f>#REF!</f>
        <v>#REF!</v>
      </c>
      <c r="BA92" s="101" t="e">
        <f>#REF!</f>
        <v>#REF!</v>
      </c>
      <c r="BB92" s="101" t="e">
        <f>#REF!</f>
        <v>#REF!</v>
      </c>
      <c r="BC92" s="101" t="e">
        <f>#REF!</f>
        <v>#REF!</v>
      </c>
      <c r="BD92" s="103" t="e">
        <f>#REF!</f>
        <v>#REF!</v>
      </c>
      <c r="BT92" s="99" t="s">
        <v>80</v>
      </c>
      <c r="BV92" s="99" t="s">
        <v>75</v>
      </c>
      <c r="BW92" s="99" t="s">
        <v>89</v>
      </c>
      <c r="BX92" s="99" t="s">
        <v>76</v>
      </c>
    </row>
    <row r="93" spans="2:43" ht="13.5">
      <c r="B93" s="24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5"/>
    </row>
    <row r="94" spans="2:48" s="1" customFormat="1" ht="10.9" customHeight="1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5"/>
      <c r="AS94" s="104"/>
      <c r="AT94" s="105"/>
      <c r="AU94" s="105"/>
      <c r="AV94" s="106"/>
    </row>
    <row r="95" spans="2:43" s="1" customFormat="1" ht="30" customHeight="1">
      <c r="B95" s="33"/>
      <c r="C95" s="107" t="s">
        <v>556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276">
        <f>SUM(AG88:AM92)</f>
        <v>0</v>
      </c>
      <c r="AH95" s="276"/>
      <c r="AI95" s="276"/>
      <c r="AJ95" s="276"/>
      <c r="AK95" s="276"/>
      <c r="AL95" s="276"/>
      <c r="AM95" s="276"/>
      <c r="AN95" s="276">
        <f>SUM(AN88:AP92)</f>
        <v>0</v>
      </c>
      <c r="AO95" s="276"/>
      <c r="AP95" s="276"/>
      <c r="AQ95" s="35"/>
    </row>
    <row r="96" spans="2:43" s="1" customFormat="1" ht="6.95" customHeight="1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9"/>
    </row>
  </sheetData>
  <sheetProtection algorithmName="SHA-512" hashValue="EVi9W2SLIzexY2V22r/Ha1lbobFj3E2PiPqLiFz1eMy0ZPyK7vB4rOlOokhunA+U1d+9KHYnr4fmEfSoyyzAVg==" saltValue="+rGFZGmGwuh8gzZKHcoSNA==" spinCount="100000" sheet="1" objects="1" scenarios="1"/>
  <mergeCells count="59">
    <mergeCell ref="AG95:AM95"/>
    <mergeCell ref="AN95:AP95"/>
    <mergeCell ref="D91:H91"/>
    <mergeCell ref="J91:AF91"/>
    <mergeCell ref="AG91:AM91"/>
    <mergeCell ref="AN91:AP91"/>
    <mergeCell ref="D92:H92"/>
    <mergeCell ref="J92:AF92"/>
    <mergeCell ref="AG92:AM92"/>
    <mergeCell ref="AN92:AP92"/>
    <mergeCell ref="D89:H89"/>
    <mergeCell ref="J89:AF89"/>
    <mergeCell ref="AG89:AM89"/>
    <mergeCell ref="AN89:AP89"/>
    <mergeCell ref="D90:H90"/>
    <mergeCell ref="J90:AF90"/>
    <mergeCell ref="AG90:AM90"/>
    <mergeCell ref="AN90:AP90"/>
    <mergeCell ref="D88:H88"/>
    <mergeCell ref="J88:AF88"/>
    <mergeCell ref="AG88:AM88"/>
    <mergeCell ref="AN88:AP88"/>
    <mergeCell ref="C85:G85"/>
    <mergeCell ref="I85:AF85"/>
    <mergeCell ref="AG85:AM85"/>
    <mergeCell ref="AN85:AP85"/>
    <mergeCell ref="AG87:AM87"/>
    <mergeCell ref="AN87:AP87"/>
    <mergeCell ref="AS82:AT84"/>
    <mergeCell ref="AM83:AP8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E23:AN23"/>
    <mergeCell ref="C2:AP2"/>
    <mergeCell ref="AR2:BE2"/>
    <mergeCell ref="C4:AP4"/>
    <mergeCell ref="K5:AO5"/>
    <mergeCell ref="K6:AO6"/>
  </mergeCells>
  <hyperlinks>
    <hyperlink ref="K1:S1" location="C2" display="1) Souhrnný list stavby"/>
    <hyperlink ref="W1:AF1" location="C87" display="2) Rekapitulace objektů"/>
    <hyperlink ref="A88" location="'2017082-MUKAROV - MUKAŘOV...'!C2" display="/"/>
    <hyperlink ref="A89" location="'2017082-NĚMČICE - NĚMČICE...'!C2" display="/"/>
    <hyperlink ref="A90" location="'2017082-SÝČINA - SÝČINA-L...'!C2" display="/"/>
    <hyperlink ref="A91" location="'2017082-KOVÁNEC - KOVÁNEC...'!C2" display="/"/>
    <hyperlink ref="A92" location="'2017082-VON - VEDLEJŠÍ A ...'!C2" display="/"/>
  </hyperlink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5"/>
  <sheetViews>
    <sheetView workbookViewId="0" topLeftCell="A93">
      <selection activeCell="M118" sqref="M118:P1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211" customWidth="1"/>
    <col min="13" max="13" width="6" style="211" customWidth="1"/>
    <col min="14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</cols>
  <sheetData>
    <row r="1" spans="1:66" ht="21.75" customHeight="1">
      <c r="A1" s="109"/>
      <c r="B1" s="13"/>
      <c r="C1" s="13"/>
      <c r="D1" s="14" t="s">
        <v>1</v>
      </c>
      <c r="E1" s="13"/>
      <c r="F1" s="15" t="s">
        <v>91</v>
      </c>
      <c r="G1" s="15"/>
      <c r="H1" s="277" t="s">
        <v>92</v>
      </c>
      <c r="I1" s="277"/>
      <c r="J1" s="277"/>
      <c r="K1" s="277"/>
      <c r="L1" s="15" t="s">
        <v>93</v>
      </c>
      <c r="M1" s="13"/>
      <c r="N1" s="13"/>
      <c r="O1" s="14" t="s">
        <v>94</v>
      </c>
      <c r="P1" s="13"/>
      <c r="Q1" s="13"/>
      <c r="R1" s="13"/>
      <c r="S1" s="15" t="s">
        <v>95</v>
      </c>
      <c r="T1" s="15"/>
      <c r="U1" s="109"/>
      <c r="V1" s="10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239" t="s">
        <v>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S2" s="241" t="s">
        <v>8</v>
      </c>
      <c r="T2" s="242"/>
      <c r="U2" s="242"/>
      <c r="V2" s="242"/>
      <c r="W2" s="242"/>
      <c r="X2" s="242"/>
      <c r="Y2" s="242"/>
      <c r="Z2" s="242"/>
      <c r="AA2" s="242"/>
      <c r="AB2" s="242"/>
      <c r="AC2" s="242"/>
      <c r="AT2" s="20" t="s">
        <v>81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96</v>
      </c>
    </row>
    <row r="4" spans="2:46" ht="36.95" customHeight="1">
      <c r="B4" s="24"/>
      <c r="C4" s="243" t="s">
        <v>97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12"/>
      <c r="M5" s="212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78" t="e">
        <f>#REF!</f>
        <v>#REF!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6"/>
      <c r="R6" s="25"/>
    </row>
    <row r="7" spans="2:18" s="1" customFormat="1" ht="32.85" customHeight="1">
      <c r="B7" s="33"/>
      <c r="C7" s="34"/>
      <c r="D7" s="29" t="s">
        <v>98</v>
      </c>
      <c r="E7" s="34"/>
      <c r="F7" s="247" t="s">
        <v>99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19</v>
      </c>
      <c r="G8" s="34"/>
      <c r="H8" s="34"/>
      <c r="I8" s="34"/>
      <c r="J8" s="34"/>
      <c r="K8" s="34"/>
      <c r="L8" s="214"/>
      <c r="M8" s="213" t="s">
        <v>20</v>
      </c>
      <c r="N8" s="34"/>
      <c r="O8" s="28" t="s">
        <v>19</v>
      </c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214"/>
      <c r="M9" s="213" t="s">
        <v>23</v>
      </c>
      <c r="N9" s="34"/>
      <c r="O9" s="281" t="e">
        <f>#REF!</f>
        <v>#REF!</v>
      </c>
      <c r="P9" s="281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214"/>
      <c r="M10" s="21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25</v>
      </c>
      <c r="E11" s="34"/>
      <c r="F11" s="34"/>
      <c r="G11" s="34"/>
      <c r="H11" s="34"/>
      <c r="I11" s="34"/>
      <c r="J11" s="34"/>
      <c r="K11" s="34"/>
      <c r="L11" s="214"/>
      <c r="M11" s="213" t="s">
        <v>26</v>
      </c>
      <c r="N11" s="34"/>
      <c r="O11" s="245" t="s">
        <v>19</v>
      </c>
      <c r="P11" s="245"/>
      <c r="Q11" s="34"/>
      <c r="R11" s="35"/>
    </row>
    <row r="12" spans="2:18" s="1" customFormat="1" ht="18" customHeight="1">
      <c r="B12" s="33"/>
      <c r="C12" s="34"/>
      <c r="D12" s="34"/>
      <c r="E12" s="28" t="s">
        <v>27</v>
      </c>
      <c r="F12" s="34"/>
      <c r="G12" s="34"/>
      <c r="H12" s="34"/>
      <c r="I12" s="34"/>
      <c r="J12" s="34"/>
      <c r="K12" s="34"/>
      <c r="L12" s="214"/>
      <c r="M12" s="213" t="s">
        <v>28</v>
      </c>
      <c r="N12" s="34"/>
      <c r="O12" s="245" t="s">
        <v>19</v>
      </c>
      <c r="P12" s="245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214"/>
      <c r="M13" s="21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29</v>
      </c>
      <c r="E14" s="34"/>
      <c r="F14" s="34"/>
      <c r="G14" s="34"/>
      <c r="H14" s="34"/>
      <c r="I14" s="34"/>
      <c r="J14" s="34"/>
      <c r="K14" s="34"/>
      <c r="L14" s="214"/>
      <c r="M14" s="213" t="s">
        <v>26</v>
      </c>
      <c r="N14" s="34"/>
      <c r="O14" s="245" t="s">
        <v>19</v>
      </c>
      <c r="P14" s="245"/>
      <c r="Q14" s="34"/>
      <c r="R14" s="35"/>
    </row>
    <row r="15" spans="2:18" s="1" customFormat="1" ht="18" customHeight="1">
      <c r="B15" s="33"/>
      <c r="C15" s="34"/>
      <c r="D15" s="34"/>
      <c r="E15" s="28" t="s">
        <v>30</v>
      </c>
      <c r="F15" s="34"/>
      <c r="G15" s="34"/>
      <c r="H15" s="34"/>
      <c r="I15" s="34"/>
      <c r="J15" s="34"/>
      <c r="K15" s="34"/>
      <c r="L15" s="214"/>
      <c r="M15" s="213" t="s">
        <v>28</v>
      </c>
      <c r="N15" s="34"/>
      <c r="O15" s="245" t="s">
        <v>19</v>
      </c>
      <c r="P15" s="245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214"/>
      <c r="M16" s="21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31</v>
      </c>
      <c r="E17" s="34"/>
      <c r="F17" s="34"/>
      <c r="G17" s="34"/>
      <c r="H17" s="34"/>
      <c r="I17" s="34"/>
      <c r="J17" s="34"/>
      <c r="K17" s="34"/>
      <c r="L17" s="214"/>
      <c r="M17" s="213" t="s">
        <v>26</v>
      </c>
      <c r="N17" s="34"/>
      <c r="O17" s="245" t="s">
        <v>19</v>
      </c>
      <c r="P17" s="245"/>
      <c r="Q17" s="34"/>
      <c r="R17" s="35"/>
    </row>
    <row r="18" spans="2:18" s="1" customFormat="1" ht="18" customHeight="1">
      <c r="B18" s="33"/>
      <c r="C18" s="34"/>
      <c r="D18" s="34"/>
      <c r="E18" s="28" t="s">
        <v>32</v>
      </c>
      <c r="F18" s="34"/>
      <c r="G18" s="34"/>
      <c r="H18" s="34"/>
      <c r="I18" s="34"/>
      <c r="J18" s="34"/>
      <c r="K18" s="34"/>
      <c r="L18" s="214"/>
      <c r="M18" s="213" t="s">
        <v>28</v>
      </c>
      <c r="N18" s="34"/>
      <c r="O18" s="245" t="s">
        <v>19</v>
      </c>
      <c r="P18" s="245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214"/>
      <c r="M19" s="21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214"/>
      <c r="M20" s="213" t="s">
        <v>26</v>
      </c>
      <c r="N20" s="34"/>
      <c r="O20" s="245" t="s">
        <v>19</v>
      </c>
      <c r="P20" s="245"/>
      <c r="Q20" s="34"/>
      <c r="R20" s="35"/>
    </row>
    <row r="21" spans="2:18" s="1" customFormat="1" ht="18" customHeight="1">
      <c r="B21" s="33"/>
      <c r="C21" s="34"/>
      <c r="D21" s="34"/>
      <c r="E21" s="28" t="s">
        <v>35</v>
      </c>
      <c r="F21" s="34"/>
      <c r="G21" s="34"/>
      <c r="H21" s="34"/>
      <c r="I21" s="34"/>
      <c r="J21" s="34"/>
      <c r="K21" s="34"/>
      <c r="L21" s="214"/>
      <c r="M21" s="213" t="s">
        <v>28</v>
      </c>
      <c r="N21" s="34"/>
      <c r="O21" s="245" t="s">
        <v>19</v>
      </c>
      <c r="P21" s="245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214"/>
      <c r="M22" s="21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36</v>
      </c>
      <c r="E23" s="34"/>
      <c r="F23" s="34"/>
      <c r="G23" s="34"/>
      <c r="H23" s="34"/>
      <c r="I23" s="34"/>
      <c r="J23" s="34"/>
      <c r="K23" s="34"/>
      <c r="L23" s="214"/>
      <c r="M23" s="21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38" t="s">
        <v>19</v>
      </c>
      <c r="F24" s="238"/>
      <c r="G24" s="238"/>
      <c r="H24" s="238"/>
      <c r="I24" s="238"/>
      <c r="J24" s="238"/>
      <c r="K24" s="238"/>
      <c r="L24" s="238"/>
      <c r="M24" s="21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14"/>
      <c r="M25" s="21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0" t="s">
        <v>100</v>
      </c>
      <c r="E27" s="34"/>
      <c r="F27" s="34"/>
      <c r="G27" s="34"/>
      <c r="H27" s="34"/>
      <c r="I27" s="34"/>
      <c r="J27" s="34"/>
      <c r="K27" s="34"/>
      <c r="L27" s="214"/>
      <c r="M27" s="248">
        <f>N88</f>
        <v>0</v>
      </c>
      <c r="N27" s="248"/>
      <c r="O27" s="248"/>
      <c r="P27" s="248"/>
      <c r="Q27" s="34"/>
      <c r="R27" s="35"/>
    </row>
    <row r="28" spans="2:18" s="1" customFormat="1" ht="14.45" customHeight="1">
      <c r="B28" s="33"/>
      <c r="C28" s="34"/>
      <c r="D28" s="32" t="s">
        <v>101</v>
      </c>
      <c r="E28" s="34"/>
      <c r="F28" s="34"/>
      <c r="G28" s="34"/>
      <c r="H28" s="34"/>
      <c r="I28" s="34"/>
      <c r="J28" s="34"/>
      <c r="K28" s="34"/>
      <c r="L28" s="214"/>
      <c r="M28" s="248">
        <f>N106</f>
        <v>0</v>
      </c>
      <c r="N28" s="248"/>
      <c r="O28" s="248"/>
      <c r="P28" s="248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214"/>
      <c r="M29" s="21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1" t="s">
        <v>37</v>
      </c>
      <c r="E30" s="34"/>
      <c r="F30" s="34"/>
      <c r="G30" s="34"/>
      <c r="H30" s="34"/>
      <c r="I30" s="34"/>
      <c r="J30" s="34"/>
      <c r="K30" s="34"/>
      <c r="L30" s="214"/>
      <c r="M30" s="285">
        <f>ROUND(M27+M28,2)</f>
        <v>0</v>
      </c>
      <c r="N30" s="280"/>
      <c r="O30" s="280"/>
      <c r="P30" s="280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38</v>
      </c>
      <c r="E32" s="40" t="s">
        <v>39</v>
      </c>
      <c r="F32" s="41">
        <v>0.21</v>
      </c>
      <c r="G32" s="112" t="s">
        <v>40</v>
      </c>
      <c r="H32" s="282">
        <f>ROUND((SUM(BE106:BE107)+SUM(BE124:BE204)),2)</f>
        <v>0</v>
      </c>
      <c r="I32" s="280"/>
      <c r="J32" s="280"/>
      <c r="K32" s="34"/>
      <c r="L32" s="214"/>
      <c r="M32" s="282">
        <f>ROUND(ROUND((SUM(BE106:BE107)+SUM(BE124:BE204)),2)*F32,2)</f>
        <v>0</v>
      </c>
      <c r="N32" s="280"/>
      <c r="O32" s="280"/>
      <c r="P32" s="280"/>
      <c r="Q32" s="34"/>
      <c r="R32" s="35"/>
    </row>
    <row r="33" spans="2:18" s="1" customFormat="1" ht="14.45" customHeight="1">
      <c r="B33" s="33"/>
      <c r="C33" s="34"/>
      <c r="D33" s="34"/>
      <c r="E33" s="40" t="s">
        <v>41</v>
      </c>
      <c r="F33" s="41">
        <v>0.15</v>
      </c>
      <c r="G33" s="112" t="s">
        <v>40</v>
      </c>
      <c r="H33" s="282">
        <f>ROUND((SUM(BF106:BF107)+SUM(BF124:BF204)),2)</f>
        <v>0</v>
      </c>
      <c r="I33" s="280"/>
      <c r="J33" s="280"/>
      <c r="K33" s="34"/>
      <c r="L33" s="214"/>
      <c r="M33" s="282">
        <f>ROUND(ROUND((SUM(BF106:BF107)+SUM(BF124:BF204)),2)*F33,2)</f>
        <v>0</v>
      </c>
      <c r="N33" s="280"/>
      <c r="O33" s="280"/>
      <c r="P33" s="280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42</v>
      </c>
      <c r="F34" s="41">
        <v>0.21</v>
      </c>
      <c r="G34" s="112" t="s">
        <v>40</v>
      </c>
      <c r="H34" s="282">
        <f>ROUND((SUM(BG106:BG107)+SUM(BG124:BG204)),2)</f>
        <v>0</v>
      </c>
      <c r="I34" s="280"/>
      <c r="J34" s="280"/>
      <c r="K34" s="34"/>
      <c r="L34" s="214"/>
      <c r="M34" s="282">
        <v>0</v>
      </c>
      <c r="N34" s="280"/>
      <c r="O34" s="280"/>
      <c r="P34" s="280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43</v>
      </c>
      <c r="F35" s="41">
        <v>0.15</v>
      </c>
      <c r="G35" s="112" t="s">
        <v>40</v>
      </c>
      <c r="H35" s="282">
        <f>ROUND((SUM(BH106:BH107)+SUM(BH124:BH204)),2)</f>
        <v>0</v>
      </c>
      <c r="I35" s="280"/>
      <c r="J35" s="280"/>
      <c r="K35" s="34"/>
      <c r="L35" s="214"/>
      <c r="M35" s="282">
        <v>0</v>
      </c>
      <c r="N35" s="280"/>
      <c r="O35" s="280"/>
      <c r="P35" s="280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44</v>
      </c>
      <c r="F36" s="41">
        <v>0</v>
      </c>
      <c r="G36" s="112" t="s">
        <v>40</v>
      </c>
      <c r="H36" s="282">
        <f>ROUND((SUM(BI106:BI107)+SUM(BI124:BI204)),2)</f>
        <v>0</v>
      </c>
      <c r="I36" s="280"/>
      <c r="J36" s="280"/>
      <c r="K36" s="34"/>
      <c r="L36" s="214"/>
      <c r="M36" s="282">
        <v>0</v>
      </c>
      <c r="N36" s="280"/>
      <c r="O36" s="280"/>
      <c r="P36" s="280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214"/>
      <c r="M37" s="21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3" t="s">
        <v>45</v>
      </c>
      <c r="E38" s="77"/>
      <c r="F38" s="77"/>
      <c r="G38" s="114" t="s">
        <v>46</v>
      </c>
      <c r="H38" s="115" t="s">
        <v>47</v>
      </c>
      <c r="I38" s="77"/>
      <c r="J38" s="77"/>
      <c r="K38" s="77"/>
      <c r="L38" s="283">
        <f>SUM(M30:M36)</f>
        <v>0</v>
      </c>
      <c r="M38" s="283"/>
      <c r="N38" s="283"/>
      <c r="O38" s="283"/>
      <c r="P38" s="284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214"/>
      <c r="M39" s="21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214"/>
      <c r="M40" s="21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12"/>
      <c r="M41" s="212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12"/>
      <c r="M42" s="212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12"/>
      <c r="M43" s="212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12"/>
      <c r="M44" s="212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12"/>
      <c r="M45" s="212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12"/>
      <c r="M46" s="212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12"/>
      <c r="M47" s="212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12"/>
      <c r="M48" s="212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12"/>
      <c r="M49" s="212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48</v>
      </c>
      <c r="E50" s="49"/>
      <c r="F50" s="49"/>
      <c r="G50" s="49"/>
      <c r="H50" s="50"/>
      <c r="I50" s="34"/>
      <c r="J50" s="48" t="s">
        <v>49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12"/>
      <c r="M51" s="212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12"/>
      <c r="M52" s="212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12"/>
      <c r="M53" s="212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12"/>
      <c r="M54" s="212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12"/>
      <c r="M55" s="212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12"/>
      <c r="M56" s="212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12"/>
      <c r="M57" s="212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12"/>
      <c r="M58" s="212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50</v>
      </c>
      <c r="E59" s="54"/>
      <c r="F59" s="54"/>
      <c r="G59" s="55" t="s">
        <v>51</v>
      </c>
      <c r="H59" s="56"/>
      <c r="I59" s="34"/>
      <c r="J59" s="53" t="s">
        <v>50</v>
      </c>
      <c r="K59" s="54"/>
      <c r="L59" s="54"/>
      <c r="M59" s="54"/>
      <c r="N59" s="55" t="s">
        <v>51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12"/>
      <c r="M60" s="212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52</v>
      </c>
      <c r="E61" s="49"/>
      <c r="F61" s="49"/>
      <c r="G61" s="49"/>
      <c r="H61" s="50"/>
      <c r="I61" s="34"/>
      <c r="J61" s="48" t="s">
        <v>53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12"/>
      <c r="M62" s="212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12"/>
      <c r="M63" s="212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12"/>
      <c r="M64" s="212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12"/>
      <c r="M65" s="212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12"/>
      <c r="M66" s="212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12"/>
      <c r="M67" s="212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12"/>
      <c r="M68" s="212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12"/>
      <c r="M69" s="212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50</v>
      </c>
      <c r="E70" s="54"/>
      <c r="F70" s="54"/>
      <c r="G70" s="55" t="s">
        <v>51</v>
      </c>
      <c r="H70" s="56"/>
      <c r="I70" s="34"/>
      <c r="J70" s="53" t="s">
        <v>50</v>
      </c>
      <c r="K70" s="54"/>
      <c r="L70" s="54"/>
      <c r="M70" s="54"/>
      <c r="N70" s="55" t="s">
        <v>51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</row>
    <row r="76" spans="2:21" s="1" customFormat="1" ht="36.95" customHeight="1">
      <c r="B76" s="33"/>
      <c r="C76" s="243" t="s">
        <v>102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35"/>
      <c r="T76" s="119"/>
      <c r="U76" s="119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214"/>
      <c r="M77" s="214"/>
      <c r="N77" s="34"/>
      <c r="O77" s="34"/>
      <c r="P77" s="34"/>
      <c r="Q77" s="34"/>
      <c r="R77" s="35"/>
      <c r="T77" s="119"/>
      <c r="U77" s="119"/>
    </row>
    <row r="78" spans="2:21" s="1" customFormat="1" ht="30" customHeight="1">
      <c r="B78" s="33"/>
      <c r="C78" s="234" t="s">
        <v>17</v>
      </c>
      <c r="D78" s="235"/>
      <c r="E78" s="235"/>
      <c r="F78" s="291" t="str">
        <f>Rekapitulace!L78</f>
        <v>LIKVIDACE NEVYUŽÍVANÝCH VODOHOSPODÁŘSKÝCH OBJEKTŮ</v>
      </c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34"/>
      <c r="R78" s="35"/>
      <c r="T78" s="119"/>
      <c r="U78" s="119"/>
    </row>
    <row r="79" spans="2:21" s="1" customFormat="1" ht="36.95" customHeight="1">
      <c r="B79" s="33"/>
      <c r="C79" s="67" t="s">
        <v>98</v>
      </c>
      <c r="D79" s="34"/>
      <c r="E79" s="34"/>
      <c r="F79" s="265" t="str">
        <f>F7</f>
        <v>2017082-MUKAROV - MUKAŘOV-LIKVIDACE ZDROJE A ČS</v>
      </c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34"/>
      <c r="R79" s="35"/>
      <c r="T79" s="119"/>
      <c r="U79" s="119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214"/>
      <c r="M80" s="214"/>
      <c r="N80" s="34"/>
      <c r="O80" s="34"/>
      <c r="P80" s="34"/>
      <c r="Q80" s="34"/>
      <c r="R80" s="35"/>
      <c r="T80" s="119"/>
      <c r="U80" s="119"/>
    </row>
    <row r="81" spans="2:21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214"/>
      <c r="M81" s="281"/>
      <c r="N81" s="281"/>
      <c r="O81" s="281"/>
      <c r="P81" s="281"/>
      <c r="Q81" s="34"/>
      <c r="R81" s="35"/>
      <c r="T81" s="119"/>
      <c r="U81" s="119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214"/>
      <c r="M82" s="214"/>
      <c r="N82" s="34"/>
      <c r="O82" s="34"/>
      <c r="P82" s="34"/>
      <c r="Q82" s="34"/>
      <c r="R82" s="35"/>
      <c r="T82" s="119"/>
      <c r="U82" s="119"/>
    </row>
    <row r="83" spans="2:21" s="1" customFormat="1" ht="15">
      <c r="B83" s="33"/>
      <c r="C83" s="30" t="s">
        <v>25</v>
      </c>
      <c r="D83" s="34"/>
      <c r="E83" s="34"/>
      <c r="F83" s="28" t="str">
        <f>E12</f>
        <v>VODOVODY A KANALIZACE MLADÁ BOLESLAV A.S.</v>
      </c>
      <c r="G83" s="34"/>
      <c r="H83" s="34"/>
      <c r="I83" s="34"/>
      <c r="J83" s="34"/>
      <c r="K83" s="30" t="s">
        <v>31</v>
      </c>
      <c r="L83" s="214"/>
      <c r="M83" s="245" t="str">
        <f>E18</f>
        <v>ING.EVŽEN KOZÁK S.R.O.</v>
      </c>
      <c r="N83" s="245"/>
      <c r="O83" s="245"/>
      <c r="P83" s="245"/>
      <c r="Q83" s="245"/>
      <c r="R83" s="35"/>
      <c r="T83" s="119"/>
      <c r="U83" s="119"/>
    </row>
    <row r="84" spans="2:21" s="1" customFormat="1" ht="14.45" customHeight="1">
      <c r="B84" s="33"/>
      <c r="C84" s="30" t="s">
        <v>29</v>
      </c>
      <c r="D84" s="34"/>
      <c r="E84" s="34"/>
      <c r="F84" s="28" t="str">
        <f>IF(E15="","",E15)</f>
        <v>DLE VÝBĚROVÉHO ŘÍZENÍ</v>
      </c>
      <c r="G84" s="34"/>
      <c r="H84" s="34"/>
      <c r="I84" s="34"/>
      <c r="J84" s="34"/>
      <c r="K84" s="30" t="s">
        <v>34</v>
      </c>
      <c r="L84" s="214"/>
      <c r="M84" s="245" t="str">
        <f>E21</f>
        <v>ING.EVŽEN KOZÁK</v>
      </c>
      <c r="N84" s="245"/>
      <c r="O84" s="245"/>
      <c r="P84" s="245"/>
      <c r="Q84" s="245"/>
      <c r="R84" s="35"/>
      <c r="T84" s="119"/>
      <c r="U84" s="119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214"/>
      <c r="M85" s="214"/>
      <c r="N85" s="34"/>
      <c r="O85" s="34"/>
      <c r="P85" s="34"/>
      <c r="Q85" s="34"/>
      <c r="R85" s="35"/>
      <c r="T85" s="119"/>
      <c r="U85" s="119"/>
    </row>
    <row r="86" spans="2:21" s="1" customFormat="1" ht="29.25" customHeight="1">
      <c r="B86" s="33"/>
      <c r="C86" s="293" t="s">
        <v>103</v>
      </c>
      <c r="D86" s="294"/>
      <c r="E86" s="294"/>
      <c r="F86" s="294"/>
      <c r="G86" s="294"/>
      <c r="H86" s="108"/>
      <c r="I86" s="108"/>
      <c r="J86" s="108"/>
      <c r="K86" s="108"/>
      <c r="L86" s="217"/>
      <c r="M86" s="217"/>
      <c r="N86" s="293" t="s">
        <v>104</v>
      </c>
      <c r="O86" s="294"/>
      <c r="P86" s="294"/>
      <c r="Q86" s="294"/>
      <c r="R86" s="35"/>
      <c r="T86" s="119"/>
      <c r="U86" s="119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214"/>
      <c r="M87" s="214"/>
      <c r="N87" s="34"/>
      <c r="O87" s="34"/>
      <c r="P87" s="34"/>
      <c r="Q87" s="34"/>
      <c r="R87" s="35"/>
      <c r="T87" s="119"/>
      <c r="U87" s="119"/>
    </row>
    <row r="88" spans="2:47" s="1" customFormat="1" ht="29.25" customHeight="1">
      <c r="B88" s="33"/>
      <c r="C88" s="120" t="s">
        <v>105</v>
      </c>
      <c r="D88" s="34"/>
      <c r="E88" s="34"/>
      <c r="F88" s="34"/>
      <c r="G88" s="34"/>
      <c r="H88" s="34"/>
      <c r="I88" s="34"/>
      <c r="J88" s="34"/>
      <c r="K88" s="34"/>
      <c r="L88" s="214"/>
      <c r="M88" s="214"/>
      <c r="N88" s="270">
        <f>N89+N96</f>
        <v>0</v>
      </c>
      <c r="O88" s="286"/>
      <c r="P88" s="286"/>
      <c r="Q88" s="286"/>
      <c r="R88" s="35"/>
      <c r="T88" s="119"/>
      <c r="U88" s="119"/>
      <c r="AU88" s="20" t="s">
        <v>106</v>
      </c>
    </row>
    <row r="89" spans="2:21" s="6" customFormat="1" ht="24.95" customHeight="1">
      <c r="B89" s="121"/>
      <c r="C89" s="122"/>
      <c r="D89" s="123" t="s">
        <v>107</v>
      </c>
      <c r="E89" s="122"/>
      <c r="F89" s="122"/>
      <c r="G89" s="122"/>
      <c r="H89" s="122"/>
      <c r="I89" s="122"/>
      <c r="J89" s="122"/>
      <c r="K89" s="122"/>
      <c r="L89" s="215"/>
      <c r="M89" s="215"/>
      <c r="N89" s="287">
        <f>N125</f>
        <v>0</v>
      </c>
      <c r="O89" s="288"/>
      <c r="P89" s="288"/>
      <c r="Q89" s="288"/>
      <c r="R89" s="124"/>
      <c r="T89" s="125"/>
      <c r="U89" s="125"/>
    </row>
    <row r="90" spans="2:21" s="7" customFormat="1" ht="19.9" customHeight="1">
      <c r="B90" s="126"/>
      <c r="C90" s="127"/>
      <c r="D90" s="128" t="s">
        <v>108</v>
      </c>
      <c r="E90" s="127"/>
      <c r="F90" s="127"/>
      <c r="G90" s="127"/>
      <c r="H90" s="127"/>
      <c r="I90" s="127"/>
      <c r="J90" s="127"/>
      <c r="K90" s="127"/>
      <c r="L90" s="216"/>
      <c r="M90" s="216"/>
      <c r="N90" s="289">
        <f>N126</f>
        <v>0</v>
      </c>
      <c r="O90" s="290"/>
      <c r="P90" s="290"/>
      <c r="Q90" s="290"/>
      <c r="R90" s="129"/>
      <c r="T90" s="130"/>
      <c r="U90" s="130"/>
    </row>
    <row r="91" spans="2:21" s="7" customFormat="1" ht="19.9" customHeight="1">
      <c r="B91" s="126"/>
      <c r="C91" s="127"/>
      <c r="D91" s="128" t="s">
        <v>109</v>
      </c>
      <c r="E91" s="127"/>
      <c r="F91" s="127"/>
      <c r="G91" s="127"/>
      <c r="H91" s="127"/>
      <c r="I91" s="127"/>
      <c r="J91" s="127"/>
      <c r="K91" s="127"/>
      <c r="L91" s="216"/>
      <c r="M91" s="216"/>
      <c r="N91" s="289">
        <f>N147</f>
        <v>0</v>
      </c>
      <c r="O91" s="290"/>
      <c r="P91" s="290"/>
      <c r="Q91" s="290"/>
      <c r="R91" s="129"/>
      <c r="T91" s="130"/>
      <c r="U91" s="130"/>
    </row>
    <row r="92" spans="2:21" s="7" customFormat="1" ht="19.9" customHeight="1">
      <c r="B92" s="126"/>
      <c r="C92" s="127"/>
      <c r="D92" s="128" t="s">
        <v>110</v>
      </c>
      <c r="E92" s="127"/>
      <c r="F92" s="127"/>
      <c r="G92" s="127"/>
      <c r="H92" s="127"/>
      <c r="I92" s="127"/>
      <c r="J92" s="127"/>
      <c r="K92" s="127"/>
      <c r="L92" s="216"/>
      <c r="M92" s="216"/>
      <c r="N92" s="289">
        <f>N150</f>
        <v>0</v>
      </c>
      <c r="O92" s="290"/>
      <c r="P92" s="290"/>
      <c r="Q92" s="290"/>
      <c r="R92" s="129"/>
      <c r="T92" s="130"/>
      <c r="U92" s="130"/>
    </row>
    <row r="93" spans="2:21" s="7" customFormat="1" ht="19.9" customHeight="1">
      <c r="B93" s="126"/>
      <c r="C93" s="127"/>
      <c r="D93" s="128" t="s">
        <v>111</v>
      </c>
      <c r="E93" s="127"/>
      <c r="F93" s="127"/>
      <c r="G93" s="127"/>
      <c r="H93" s="127"/>
      <c r="I93" s="127"/>
      <c r="J93" s="127"/>
      <c r="K93" s="127"/>
      <c r="L93" s="216"/>
      <c r="M93" s="216"/>
      <c r="N93" s="289">
        <f>N154</f>
        <v>0</v>
      </c>
      <c r="O93" s="290"/>
      <c r="P93" s="290"/>
      <c r="Q93" s="290"/>
      <c r="R93" s="129"/>
      <c r="T93" s="130"/>
      <c r="U93" s="130"/>
    </row>
    <row r="94" spans="2:21" s="7" customFormat="1" ht="19.9" customHeight="1">
      <c r="B94" s="126"/>
      <c r="C94" s="127"/>
      <c r="D94" s="128" t="s">
        <v>112</v>
      </c>
      <c r="E94" s="127"/>
      <c r="F94" s="127"/>
      <c r="G94" s="127"/>
      <c r="H94" s="127"/>
      <c r="I94" s="127"/>
      <c r="J94" s="127"/>
      <c r="K94" s="127"/>
      <c r="L94" s="216"/>
      <c r="M94" s="216"/>
      <c r="N94" s="289">
        <f>N157</f>
        <v>0</v>
      </c>
      <c r="O94" s="290"/>
      <c r="P94" s="290"/>
      <c r="Q94" s="290"/>
      <c r="R94" s="129"/>
      <c r="T94" s="130"/>
      <c r="U94" s="130"/>
    </row>
    <row r="95" spans="2:21" s="7" customFormat="1" ht="19.9" customHeight="1">
      <c r="B95" s="126"/>
      <c r="C95" s="127"/>
      <c r="D95" s="128" t="s">
        <v>113</v>
      </c>
      <c r="E95" s="127"/>
      <c r="F95" s="127"/>
      <c r="G95" s="127"/>
      <c r="H95" s="127"/>
      <c r="I95" s="127"/>
      <c r="J95" s="127"/>
      <c r="K95" s="127"/>
      <c r="L95" s="216"/>
      <c r="M95" s="216"/>
      <c r="N95" s="289">
        <f>N164</f>
        <v>0</v>
      </c>
      <c r="O95" s="290"/>
      <c r="P95" s="290"/>
      <c r="Q95" s="290"/>
      <c r="R95" s="129"/>
      <c r="T95" s="130"/>
      <c r="U95" s="130"/>
    </row>
    <row r="96" spans="2:21" s="6" customFormat="1" ht="24.95" customHeight="1">
      <c r="B96" s="121"/>
      <c r="C96" s="122"/>
      <c r="D96" s="123" t="s">
        <v>114</v>
      </c>
      <c r="E96" s="122"/>
      <c r="F96" s="122"/>
      <c r="G96" s="122"/>
      <c r="H96" s="122"/>
      <c r="I96" s="122"/>
      <c r="J96" s="122"/>
      <c r="K96" s="122"/>
      <c r="L96" s="215"/>
      <c r="M96" s="215"/>
      <c r="N96" s="287">
        <f>N169</f>
        <v>0</v>
      </c>
      <c r="O96" s="288"/>
      <c r="P96" s="288"/>
      <c r="Q96" s="288"/>
      <c r="R96" s="124"/>
      <c r="T96" s="125"/>
      <c r="U96" s="125"/>
    </row>
    <row r="97" spans="2:21" s="7" customFormat="1" ht="19.9" customHeight="1">
      <c r="B97" s="126"/>
      <c r="C97" s="127"/>
      <c r="D97" s="128" t="s">
        <v>115</v>
      </c>
      <c r="E97" s="127"/>
      <c r="F97" s="127"/>
      <c r="G97" s="127"/>
      <c r="H97" s="127"/>
      <c r="I97" s="127"/>
      <c r="J97" s="127"/>
      <c r="K97" s="127"/>
      <c r="L97" s="216"/>
      <c r="M97" s="216"/>
      <c r="N97" s="289">
        <f>N170</f>
        <v>0</v>
      </c>
      <c r="O97" s="290"/>
      <c r="P97" s="290"/>
      <c r="Q97" s="290"/>
      <c r="R97" s="129"/>
      <c r="T97" s="130"/>
      <c r="U97" s="130"/>
    </row>
    <row r="98" spans="2:21" s="7" customFormat="1" ht="19.9" customHeight="1">
      <c r="B98" s="126"/>
      <c r="C98" s="222"/>
      <c r="D98" s="128" t="s">
        <v>555</v>
      </c>
      <c r="E98" s="222"/>
      <c r="F98" s="222"/>
      <c r="G98" s="222"/>
      <c r="H98" s="222"/>
      <c r="I98" s="222"/>
      <c r="J98" s="222"/>
      <c r="K98" s="222"/>
      <c r="L98" s="222"/>
      <c r="M98" s="222"/>
      <c r="N98" s="289">
        <f>N184</f>
        <v>0</v>
      </c>
      <c r="O98" s="290"/>
      <c r="P98" s="290"/>
      <c r="Q98" s="290"/>
      <c r="R98" s="129"/>
      <c r="T98" s="130"/>
      <c r="U98" s="130"/>
    </row>
    <row r="99" spans="2:21" s="7" customFormat="1" ht="19.9" customHeight="1">
      <c r="B99" s="126"/>
      <c r="C99" s="127"/>
      <c r="D99" s="128" t="s">
        <v>116</v>
      </c>
      <c r="E99" s="127"/>
      <c r="F99" s="127"/>
      <c r="G99" s="127"/>
      <c r="H99" s="127"/>
      <c r="I99" s="127"/>
      <c r="J99" s="127"/>
      <c r="K99" s="127"/>
      <c r="L99" s="216"/>
      <c r="M99" s="216"/>
      <c r="N99" s="289">
        <f>N188</f>
        <v>0</v>
      </c>
      <c r="O99" s="290"/>
      <c r="P99" s="290"/>
      <c r="Q99" s="290"/>
      <c r="R99" s="129"/>
      <c r="T99" s="130"/>
      <c r="U99" s="130"/>
    </row>
    <row r="100" spans="2:21" s="7" customFormat="1" ht="19.9" customHeight="1">
      <c r="B100" s="126"/>
      <c r="C100" s="127"/>
      <c r="D100" s="128" t="s">
        <v>117</v>
      </c>
      <c r="E100" s="127"/>
      <c r="F100" s="127"/>
      <c r="G100" s="127"/>
      <c r="H100" s="127"/>
      <c r="I100" s="127"/>
      <c r="J100" s="127"/>
      <c r="K100" s="127"/>
      <c r="L100" s="216"/>
      <c r="M100" s="216"/>
      <c r="N100" s="289">
        <f>N190</f>
        <v>0</v>
      </c>
      <c r="O100" s="290"/>
      <c r="P100" s="290"/>
      <c r="Q100" s="290"/>
      <c r="R100" s="129"/>
      <c r="T100" s="130"/>
      <c r="U100" s="130"/>
    </row>
    <row r="101" spans="2:21" s="7" customFormat="1" ht="19.9" customHeight="1">
      <c r="B101" s="126"/>
      <c r="C101" s="127"/>
      <c r="D101" s="128" t="s">
        <v>118</v>
      </c>
      <c r="E101" s="127"/>
      <c r="F101" s="127"/>
      <c r="G101" s="127"/>
      <c r="H101" s="127"/>
      <c r="I101" s="127"/>
      <c r="J101" s="127"/>
      <c r="K101" s="127"/>
      <c r="L101" s="216"/>
      <c r="M101" s="216"/>
      <c r="N101" s="289">
        <f>N193</f>
        <v>0</v>
      </c>
      <c r="O101" s="290"/>
      <c r="P101" s="290"/>
      <c r="Q101" s="290"/>
      <c r="R101" s="129"/>
      <c r="T101" s="130"/>
      <c r="U101" s="130"/>
    </row>
    <row r="102" spans="2:21" s="7" customFormat="1" ht="19.9" customHeight="1">
      <c r="B102" s="126"/>
      <c r="C102" s="127"/>
      <c r="D102" s="128" t="s">
        <v>119</v>
      </c>
      <c r="E102" s="127"/>
      <c r="F102" s="127"/>
      <c r="G102" s="127"/>
      <c r="H102" s="127"/>
      <c r="I102" s="127"/>
      <c r="J102" s="127"/>
      <c r="K102" s="127"/>
      <c r="L102" s="216"/>
      <c r="M102" s="216"/>
      <c r="N102" s="289">
        <f>N196</f>
        <v>0</v>
      </c>
      <c r="O102" s="290"/>
      <c r="P102" s="290"/>
      <c r="Q102" s="290"/>
      <c r="R102" s="129"/>
      <c r="T102" s="130"/>
      <c r="U102" s="130"/>
    </row>
    <row r="103" spans="2:21" s="7" customFormat="1" ht="19.9" customHeight="1">
      <c r="B103" s="126"/>
      <c r="C103" s="127"/>
      <c r="D103" s="128" t="s">
        <v>120</v>
      </c>
      <c r="E103" s="127"/>
      <c r="F103" s="127"/>
      <c r="G103" s="127"/>
      <c r="H103" s="127"/>
      <c r="I103" s="127"/>
      <c r="J103" s="127"/>
      <c r="K103" s="127"/>
      <c r="L103" s="216"/>
      <c r="M103" s="216"/>
      <c r="N103" s="289">
        <f>N201</f>
        <v>0</v>
      </c>
      <c r="O103" s="290"/>
      <c r="P103" s="290"/>
      <c r="Q103" s="290"/>
      <c r="R103" s="129"/>
      <c r="T103" s="130"/>
      <c r="U103" s="130"/>
    </row>
    <row r="104" spans="2:21" s="7" customFormat="1" ht="19.9" customHeight="1">
      <c r="B104" s="126"/>
      <c r="C104" s="127"/>
      <c r="D104" s="128" t="s">
        <v>121</v>
      </c>
      <c r="E104" s="127"/>
      <c r="F104" s="127"/>
      <c r="G104" s="127"/>
      <c r="H104" s="127"/>
      <c r="I104" s="127"/>
      <c r="J104" s="127"/>
      <c r="K104" s="127"/>
      <c r="L104" s="216"/>
      <c r="M104" s="216"/>
      <c r="N104" s="289">
        <f>N203</f>
        <v>0</v>
      </c>
      <c r="O104" s="290"/>
      <c r="P104" s="290"/>
      <c r="Q104" s="290"/>
      <c r="R104" s="129"/>
      <c r="T104" s="130"/>
      <c r="U104" s="130"/>
    </row>
    <row r="105" spans="2:21" s="1" customFormat="1" ht="21.75" customHeight="1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214"/>
      <c r="M105" s="214"/>
      <c r="N105" s="34"/>
      <c r="O105" s="34"/>
      <c r="P105" s="34"/>
      <c r="Q105" s="34"/>
      <c r="R105" s="35"/>
      <c r="T105" s="119"/>
      <c r="U105" s="119"/>
    </row>
    <row r="106" spans="2:21" s="1" customFormat="1" ht="29.25" customHeight="1">
      <c r="B106" s="33"/>
      <c r="C106" s="120" t="s">
        <v>122</v>
      </c>
      <c r="D106" s="34"/>
      <c r="E106" s="34"/>
      <c r="F106" s="34"/>
      <c r="G106" s="34"/>
      <c r="H106" s="34"/>
      <c r="I106" s="34"/>
      <c r="J106" s="34"/>
      <c r="K106" s="34"/>
      <c r="L106" s="214"/>
      <c r="M106" s="214"/>
      <c r="N106" s="286">
        <v>0</v>
      </c>
      <c r="O106" s="295"/>
      <c r="P106" s="295"/>
      <c r="Q106" s="295"/>
      <c r="R106" s="35"/>
      <c r="T106" s="131"/>
      <c r="U106" s="132" t="s">
        <v>38</v>
      </c>
    </row>
    <row r="107" spans="2:21" s="1" customFormat="1" ht="18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214"/>
      <c r="M107" s="214"/>
      <c r="N107" s="34"/>
      <c r="O107" s="34"/>
      <c r="P107" s="34"/>
      <c r="Q107" s="34"/>
      <c r="R107" s="35"/>
      <c r="T107" s="119"/>
      <c r="U107" s="119"/>
    </row>
    <row r="108" spans="2:21" s="1" customFormat="1" ht="29.25" customHeight="1">
      <c r="B108" s="33"/>
      <c r="C108" s="107" t="s">
        <v>90</v>
      </c>
      <c r="D108" s="108"/>
      <c r="E108" s="108"/>
      <c r="F108" s="108"/>
      <c r="G108" s="108"/>
      <c r="H108" s="108"/>
      <c r="I108" s="108"/>
      <c r="J108" s="108"/>
      <c r="K108" s="108"/>
      <c r="L108" s="276">
        <f>ROUND(SUM(N88+N106),2)</f>
        <v>0</v>
      </c>
      <c r="M108" s="276"/>
      <c r="N108" s="276"/>
      <c r="O108" s="276"/>
      <c r="P108" s="276"/>
      <c r="Q108" s="276"/>
      <c r="R108" s="35"/>
      <c r="T108" s="119"/>
      <c r="U108" s="119"/>
    </row>
    <row r="109" spans="2:21" s="1" customFormat="1" ht="6.9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  <c r="T109" s="119"/>
      <c r="U109" s="119"/>
    </row>
    <row r="112" spans="2:18" s="1" customFormat="1" ht="6.95" customHeight="1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spans="2:18" s="1" customFormat="1" ht="36.95" customHeight="1">
      <c r="B113" s="33"/>
      <c r="C113" s="243" t="s">
        <v>123</v>
      </c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35"/>
    </row>
    <row r="114" spans="2:18" s="1" customFormat="1" ht="6.9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214"/>
      <c r="M114" s="214"/>
      <c r="N114" s="34"/>
      <c r="O114" s="34"/>
      <c r="P114" s="34"/>
      <c r="Q114" s="34"/>
      <c r="R114" s="35"/>
    </row>
    <row r="115" spans="2:18" s="1" customFormat="1" ht="30" customHeight="1">
      <c r="B115" s="33"/>
      <c r="C115" s="236" t="s">
        <v>17</v>
      </c>
      <c r="D115" s="235"/>
      <c r="E115" s="235"/>
      <c r="F115" s="291" t="str">
        <f>F78</f>
        <v>LIKVIDACE NEVYUŽÍVANÝCH VODOHOSPODÁŘSKÝCH OBJEKTŮ</v>
      </c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34"/>
      <c r="R115" s="35"/>
    </row>
    <row r="116" spans="2:18" s="1" customFormat="1" ht="36.95" customHeight="1">
      <c r="B116" s="33"/>
      <c r="C116" s="67" t="s">
        <v>98</v>
      </c>
      <c r="D116" s="34"/>
      <c r="E116" s="34"/>
      <c r="F116" s="265" t="str">
        <f>F7</f>
        <v>2017082-MUKAROV - MUKAŘOV-LIKVIDACE ZDROJE A ČS</v>
      </c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34"/>
      <c r="R116" s="35"/>
    </row>
    <row r="117" spans="2:18" s="1" customFormat="1" ht="6.9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214"/>
      <c r="M117" s="214"/>
      <c r="N117" s="34"/>
      <c r="O117" s="34"/>
      <c r="P117" s="34"/>
      <c r="Q117" s="34"/>
      <c r="R117" s="35"/>
    </row>
    <row r="118" spans="2:18" s="1" customFormat="1" ht="18" customHeight="1">
      <c r="B118" s="33"/>
      <c r="C118" s="30" t="s">
        <v>21</v>
      </c>
      <c r="D118" s="34"/>
      <c r="E118" s="34"/>
      <c r="F118" s="28" t="str">
        <f>F9</f>
        <v xml:space="preserve"> </v>
      </c>
      <c r="G118" s="34"/>
      <c r="H118" s="34"/>
      <c r="I118" s="34"/>
      <c r="J118" s="34"/>
      <c r="K118" s="30" t="s">
        <v>23</v>
      </c>
      <c r="L118" s="214"/>
      <c r="M118" s="281"/>
      <c r="N118" s="281"/>
      <c r="O118" s="281"/>
      <c r="P118" s="281"/>
      <c r="Q118" s="34"/>
      <c r="R118" s="35"/>
    </row>
    <row r="119" spans="2:18" s="1" customFormat="1" ht="6.9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214"/>
      <c r="M119" s="214"/>
      <c r="N119" s="34"/>
      <c r="O119" s="34"/>
      <c r="P119" s="34"/>
      <c r="Q119" s="34"/>
      <c r="R119" s="35"/>
    </row>
    <row r="120" spans="2:18" s="1" customFormat="1" ht="15">
      <c r="B120" s="33"/>
      <c r="C120" s="30" t="s">
        <v>25</v>
      </c>
      <c r="D120" s="34"/>
      <c r="E120" s="34"/>
      <c r="F120" s="28" t="str">
        <f>E12</f>
        <v>VODOVODY A KANALIZACE MLADÁ BOLESLAV A.S.</v>
      </c>
      <c r="G120" s="34"/>
      <c r="H120" s="34"/>
      <c r="I120" s="34"/>
      <c r="J120" s="34"/>
      <c r="K120" s="30" t="s">
        <v>31</v>
      </c>
      <c r="L120" s="214"/>
      <c r="M120" s="245" t="str">
        <f>E18</f>
        <v>ING.EVŽEN KOZÁK S.R.O.</v>
      </c>
      <c r="N120" s="245"/>
      <c r="O120" s="245"/>
      <c r="P120" s="245"/>
      <c r="Q120" s="245"/>
      <c r="R120" s="35"/>
    </row>
    <row r="121" spans="2:18" s="1" customFormat="1" ht="14.45" customHeight="1">
      <c r="B121" s="33"/>
      <c r="C121" s="30" t="s">
        <v>29</v>
      </c>
      <c r="D121" s="34"/>
      <c r="E121" s="34"/>
      <c r="F121" s="28" t="str">
        <f>IF(E15="","",E15)</f>
        <v>DLE VÝBĚROVÉHO ŘÍZENÍ</v>
      </c>
      <c r="G121" s="34"/>
      <c r="H121" s="34"/>
      <c r="I121" s="34"/>
      <c r="J121" s="34"/>
      <c r="K121" s="30" t="s">
        <v>34</v>
      </c>
      <c r="L121" s="214"/>
      <c r="M121" s="245" t="str">
        <f>E21</f>
        <v>ING.EVŽEN KOZÁK</v>
      </c>
      <c r="N121" s="245"/>
      <c r="O121" s="245"/>
      <c r="P121" s="245"/>
      <c r="Q121" s="245"/>
      <c r="R121" s="35"/>
    </row>
    <row r="122" spans="2:18" s="1" customFormat="1" ht="10.3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214"/>
      <c r="M122" s="214"/>
      <c r="N122" s="34"/>
      <c r="O122" s="34"/>
      <c r="P122" s="34"/>
      <c r="Q122" s="34"/>
      <c r="R122" s="35"/>
    </row>
    <row r="123" spans="2:27" s="8" customFormat="1" ht="29.25" customHeight="1">
      <c r="B123" s="133"/>
      <c r="C123" s="134" t="s">
        <v>124</v>
      </c>
      <c r="D123" s="135" t="s">
        <v>125</v>
      </c>
      <c r="E123" s="135" t="s">
        <v>56</v>
      </c>
      <c r="F123" s="296" t="s">
        <v>126</v>
      </c>
      <c r="G123" s="296"/>
      <c r="H123" s="296"/>
      <c r="I123" s="296"/>
      <c r="J123" s="135" t="s">
        <v>127</v>
      </c>
      <c r="K123" s="135" t="s">
        <v>128</v>
      </c>
      <c r="L123" s="296" t="s">
        <v>129</v>
      </c>
      <c r="M123" s="296"/>
      <c r="N123" s="296" t="s">
        <v>104</v>
      </c>
      <c r="O123" s="296"/>
      <c r="P123" s="296"/>
      <c r="Q123" s="297"/>
      <c r="R123" s="136"/>
      <c r="T123" s="78" t="s">
        <v>130</v>
      </c>
      <c r="U123" s="79" t="s">
        <v>38</v>
      </c>
      <c r="V123" s="79" t="s">
        <v>131</v>
      </c>
      <c r="W123" s="79" t="s">
        <v>132</v>
      </c>
      <c r="X123" s="79" t="s">
        <v>133</v>
      </c>
      <c r="Y123" s="79" t="s">
        <v>134</v>
      </c>
      <c r="Z123" s="79" t="s">
        <v>135</v>
      </c>
      <c r="AA123" s="80" t="s">
        <v>136</v>
      </c>
    </row>
    <row r="124" spans="2:63" s="1" customFormat="1" ht="29.25" customHeight="1">
      <c r="B124" s="33"/>
      <c r="C124" s="82" t="s">
        <v>100</v>
      </c>
      <c r="D124" s="34"/>
      <c r="E124" s="34"/>
      <c r="F124" s="34"/>
      <c r="G124" s="34"/>
      <c r="H124" s="34"/>
      <c r="I124" s="34"/>
      <c r="J124" s="34"/>
      <c r="K124" s="34"/>
      <c r="L124" s="214"/>
      <c r="M124" s="214"/>
      <c r="N124" s="298">
        <f>N125+N169</f>
        <v>0</v>
      </c>
      <c r="O124" s="299"/>
      <c r="P124" s="299"/>
      <c r="Q124" s="299"/>
      <c r="R124" s="35"/>
      <c r="T124" s="81"/>
      <c r="U124" s="49"/>
      <c r="V124" s="49"/>
      <c r="W124" s="137">
        <f>W125+W169</f>
        <v>78.386103</v>
      </c>
      <c r="X124" s="49"/>
      <c r="Y124" s="137">
        <f>Y125+Y169</f>
        <v>13.93187367</v>
      </c>
      <c r="Z124" s="49"/>
      <c r="AA124" s="138">
        <f>AA125+AA169</f>
        <v>18.457221999999998</v>
      </c>
      <c r="AT124" s="20" t="s">
        <v>72</v>
      </c>
      <c r="AU124" s="20" t="s">
        <v>106</v>
      </c>
      <c r="BK124" s="139">
        <f>BK125+BK169</f>
        <v>0</v>
      </c>
    </row>
    <row r="125" spans="2:63" s="9" customFormat="1" ht="37.35" customHeight="1">
      <c r="B125" s="140"/>
      <c r="C125" s="141"/>
      <c r="D125" s="142" t="s">
        <v>107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300">
        <f>N126+N147+N150+N154+N157+N164</f>
        <v>0</v>
      </c>
      <c r="O125" s="287"/>
      <c r="P125" s="287"/>
      <c r="Q125" s="287"/>
      <c r="R125" s="143"/>
      <c r="T125" s="144"/>
      <c r="U125" s="141"/>
      <c r="V125" s="141"/>
      <c r="W125" s="145">
        <f>W126+W147+W150+W154+W157+W164</f>
        <v>70.002902</v>
      </c>
      <c r="X125" s="141"/>
      <c r="Y125" s="145">
        <f>Y126+Y147+Y150+Y154+Y157+Y164</f>
        <v>13.88667802</v>
      </c>
      <c r="Z125" s="141"/>
      <c r="AA125" s="146">
        <f>AA126+AA147+AA150+AA154+AA157+AA164</f>
        <v>18.12758</v>
      </c>
      <c r="AR125" s="147" t="s">
        <v>80</v>
      </c>
      <c r="AT125" s="148" t="s">
        <v>72</v>
      </c>
      <c r="AU125" s="148" t="s">
        <v>73</v>
      </c>
      <c r="AY125" s="147" t="s">
        <v>137</v>
      </c>
      <c r="BK125" s="149">
        <f>BK126+BK147+BK150+BK154+BK157+BK164</f>
        <v>0</v>
      </c>
    </row>
    <row r="126" spans="2:63" s="9" customFormat="1" ht="19.9" customHeight="1">
      <c r="B126" s="140"/>
      <c r="C126" s="141"/>
      <c r="D126" s="150" t="s">
        <v>108</v>
      </c>
      <c r="E126" s="150"/>
      <c r="F126" s="150"/>
      <c r="G126" s="150"/>
      <c r="H126" s="150"/>
      <c r="I126" s="150"/>
      <c r="J126" s="150"/>
      <c r="K126" s="150"/>
      <c r="L126" s="150"/>
      <c r="M126" s="150"/>
      <c r="N126" s="301">
        <f>SUM(N127:N146)</f>
        <v>0</v>
      </c>
      <c r="O126" s="302"/>
      <c r="P126" s="302"/>
      <c r="Q126" s="302"/>
      <c r="R126" s="143"/>
      <c r="T126" s="144"/>
      <c r="U126" s="141"/>
      <c r="V126" s="141"/>
      <c r="W126" s="145">
        <f>SUM(W127:W146)</f>
        <v>7.359572</v>
      </c>
      <c r="X126" s="141"/>
      <c r="Y126" s="145">
        <f>SUM(Y127:Y146)</f>
        <v>13.072049999999999</v>
      </c>
      <c r="Z126" s="141"/>
      <c r="AA126" s="146">
        <f>SUM(AA127:AA146)</f>
        <v>0</v>
      </c>
      <c r="AR126" s="147" t="s">
        <v>80</v>
      </c>
      <c r="AT126" s="148" t="s">
        <v>72</v>
      </c>
      <c r="AU126" s="148" t="s">
        <v>80</v>
      </c>
      <c r="AY126" s="147" t="s">
        <v>137</v>
      </c>
      <c r="BK126" s="149">
        <f>SUM(BK127:BK146)</f>
        <v>0</v>
      </c>
    </row>
    <row r="127" spans="2:65" s="1" customFormat="1" ht="25.5" customHeight="1">
      <c r="B127" s="33"/>
      <c r="C127" s="151">
        <v>1</v>
      </c>
      <c r="D127" s="151" t="s">
        <v>138</v>
      </c>
      <c r="E127" s="152" t="s">
        <v>139</v>
      </c>
      <c r="F127" s="312" t="s">
        <v>140</v>
      </c>
      <c r="G127" s="312"/>
      <c r="H127" s="312"/>
      <c r="I127" s="312"/>
      <c r="J127" s="153" t="s">
        <v>141</v>
      </c>
      <c r="K127" s="154">
        <v>5.828</v>
      </c>
      <c r="L127" s="233"/>
      <c r="M127" s="223"/>
      <c r="N127" s="307">
        <f>ROUND(L127*K127,2)</f>
        <v>0</v>
      </c>
      <c r="O127" s="307"/>
      <c r="P127" s="307"/>
      <c r="Q127" s="307"/>
      <c r="R127" s="35"/>
      <c r="T127" s="155" t="s">
        <v>19</v>
      </c>
      <c r="U127" s="42" t="s">
        <v>39</v>
      </c>
      <c r="V127" s="156">
        <v>0.299</v>
      </c>
      <c r="W127" s="156">
        <f>V127*K127</f>
        <v>1.742572</v>
      </c>
      <c r="X127" s="156">
        <v>0</v>
      </c>
      <c r="Y127" s="156">
        <f>X127*K127</f>
        <v>0</v>
      </c>
      <c r="Z127" s="156">
        <v>0</v>
      </c>
      <c r="AA127" s="157">
        <f>Z127*K127</f>
        <v>0</v>
      </c>
      <c r="AR127" s="20" t="s">
        <v>142</v>
      </c>
      <c r="AT127" s="20" t="s">
        <v>138</v>
      </c>
      <c r="AU127" s="20" t="s">
        <v>96</v>
      </c>
      <c r="AY127" s="20" t="s">
        <v>137</v>
      </c>
      <c r="BE127" s="158">
        <f>IF(U127="základní",N127,0)</f>
        <v>0</v>
      </c>
      <c r="BF127" s="158">
        <f>IF(U127="snížená",N127,0)</f>
        <v>0</v>
      </c>
      <c r="BG127" s="158">
        <f>IF(U127="zákl. přenesená",N127,0)</f>
        <v>0</v>
      </c>
      <c r="BH127" s="158">
        <f>IF(U127="sníž. přenesená",N127,0)</f>
        <v>0</v>
      </c>
      <c r="BI127" s="158">
        <f>IF(U127="nulová",N127,0)</f>
        <v>0</v>
      </c>
      <c r="BJ127" s="20" t="s">
        <v>80</v>
      </c>
      <c r="BK127" s="158">
        <f>ROUND(L127*K127,2)</f>
        <v>0</v>
      </c>
      <c r="BL127" s="20" t="s">
        <v>142</v>
      </c>
      <c r="BM127" s="20" t="s">
        <v>143</v>
      </c>
    </row>
    <row r="128" spans="2:51" s="10" customFormat="1" ht="25.5" customHeight="1">
      <c r="B128" s="159"/>
      <c r="C128" s="160"/>
      <c r="D128" s="160"/>
      <c r="E128" s="161" t="s">
        <v>19</v>
      </c>
      <c r="F128" s="308" t="s">
        <v>144</v>
      </c>
      <c r="G128" s="309"/>
      <c r="H128" s="309"/>
      <c r="I128" s="309"/>
      <c r="J128" s="160"/>
      <c r="K128" s="162">
        <v>5.122</v>
      </c>
      <c r="L128" s="233"/>
      <c r="M128" s="224"/>
      <c r="N128" s="160"/>
      <c r="O128" s="160"/>
      <c r="P128" s="160"/>
      <c r="Q128" s="160"/>
      <c r="R128" s="163"/>
      <c r="T128" s="164"/>
      <c r="U128" s="160"/>
      <c r="V128" s="160"/>
      <c r="W128" s="160"/>
      <c r="X128" s="160"/>
      <c r="Y128" s="160"/>
      <c r="Z128" s="160"/>
      <c r="AA128" s="165"/>
      <c r="AT128" s="166" t="s">
        <v>145</v>
      </c>
      <c r="AU128" s="166" t="s">
        <v>96</v>
      </c>
      <c r="AV128" s="10" t="s">
        <v>96</v>
      </c>
      <c r="AW128" s="10" t="s">
        <v>33</v>
      </c>
      <c r="AX128" s="10" t="s">
        <v>73</v>
      </c>
      <c r="AY128" s="166" t="s">
        <v>137</v>
      </c>
    </row>
    <row r="129" spans="2:51" s="10" customFormat="1" ht="25.5" customHeight="1">
      <c r="B129" s="159"/>
      <c r="C129" s="160"/>
      <c r="D129" s="160"/>
      <c r="E129" s="161" t="s">
        <v>19</v>
      </c>
      <c r="F129" s="310" t="s">
        <v>146</v>
      </c>
      <c r="G129" s="311"/>
      <c r="H129" s="311"/>
      <c r="I129" s="311"/>
      <c r="J129" s="160"/>
      <c r="K129" s="162">
        <v>0.353</v>
      </c>
      <c r="L129" s="233"/>
      <c r="M129" s="224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145</v>
      </c>
      <c r="AU129" s="166" t="s">
        <v>96</v>
      </c>
      <c r="AV129" s="10" t="s">
        <v>96</v>
      </c>
      <c r="AW129" s="10" t="s">
        <v>33</v>
      </c>
      <c r="AX129" s="10" t="s">
        <v>73</v>
      </c>
      <c r="AY129" s="166" t="s">
        <v>137</v>
      </c>
    </row>
    <row r="130" spans="2:51" s="10" customFormat="1" ht="25.5" customHeight="1">
      <c r="B130" s="159"/>
      <c r="C130" s="160"/>
      <c r="D130" s="160"/>
      <c r="E130" s="161" t="s">
        <v>19</v>
      </c>
      <c r="F130" s="310" t="s">
        <v>147</v>
      </c>
      <c r="G130" s="311"/>
      <c r="H130" s="311"/>
      <c r="I130" s="311"/>
      <c r="J130" s="160"/>
      <c r="K130" s="162">
        <v>0.353</v>
      </c>
      <c r="L130" s="233"/>
      <c r="M130" s="224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145</v>
      </c>
      <c r="AU130" s="166" t="s">
        <v>96</v>
      </c>
      <c r="AV130" s="10" t="s">
        <v>96</v>
      </c>
      <c r="AW130" s="10" t="s">
        <v>33</v>
      </c>
      <c r="AX130" s="10" t="s">
        <v>73</v>
      </c>
      <c r="AY130" s="166" t="s">
        <v>137</v>
      </c>
    </row>
    <row r="131" spans="2:51" s="11" customFormat="1" ht="16.5" customHeight="1">
      <c r="B131" s="167"/>
      <c r="C131" s="168"/>
      <c r="D131" s="168"/>
      <c r="E131" s="169" t="s">
        <v>19</v>
      </c>
      <c r="F131" s="303" t="s">
        <v>148</v>
      </c>
      <c r="G131" s="304"/>
      <c r="H131" s="304"/>
      <c r="I131" s="304"/>
      <c r="J131" s="168"/>
      <c r="K131" s="170">
        <v>5.828</v>
      </c>
      <c r="L131" s="233"/>
      <c r="M131" s="225"/>
      <c r="N131" s="168"/>
      <c r="O131" s="168"/>
      <c r="P131" s="168"/>
      <c r="Q131" s="168"/>
      <c r="R131" s="171"/>
      <c r="T131" s="172"/>
      <c r="U131" s="168"/>
      <c r="V131" s="168"/>
      <c r="W131" s="168"/>
      <c r="X131" s="168"/>
      <c r="Y131" s="168"/>
      <c r="Z131" s="168"/>
      <c r="AA131" s="173"/>
      <c r="AT131" s="174" t="s">
        <v>145</v>
      </c>
      <c r="AU131" s="174" t="s">
        <v>96</v>
      </c>
      <c r="AV131" s="11" t="s">
        <v>142</v>
      </c>
      <c r="AW131" s="11" t="s">
        <v>33</v>
      </c>
      <c r="AX131" s="11" t="s">
        <v>80</v>
      </c>
      <c r="AY131" s="174" t="s">
        <v>137</v>
      </c>
    </row>
    <row r="132" spans="2:65" s="1" customFormat="1" ht="16.5" customHeight="1">
      <c r="B132" s="33"/>
      <c r="C132" s="175">
        <v>2</v>
      </c>
      <c r="D132" s="175" t="s">
        <v>149</v>
      </c>
      <c r="E132" s="176" t="s">
        <v>150</v>
      </c>
      <c r="F132" s="305" t="s">
        <v>151</v>
      </c>
      <c r="G132" s="305"/>
      <c r="H132" s="305"/>
      <c r="I132" s="305"/>
      <c r="J132" s="177" t="s">
        <v>152</v>
      </c>
      <c r="K132" s="178">
        <v>12.293</v>
      </c>
      <c r="L132" s="233"/>
      <c r="M132" s="226"/>
      <c r="N132" s="306">
        <f>ROUND(L132*K132,2)</f>
        <v>0</v>
      </c>
      <c r="O132" s="307"/>
      <c r="P132" s="307"/>
      <c r="Q132" s="307"/>
      <c r="R132" s="35"/>
      <c r="T132" s="155" t="s">
        <v>19</v>
      </c>
      <c r="U132" s="42" t="s">
        <v>39</v>
      </c>
      <c r="V132" s="156">
        <v>0</v>
      </c>
      <c r="W132" s="156">
        <f>V132*K132</f>
        <v>0</v>
      </c>
      <c r="X132" s="156">
        <v>1</v>
      </c>
      <c r="Y132" s="156">
        <f>X132*K132</f>
        <v>12.293</v>
      </c>
      <c r="Z132" s="156">
        <v>0</v>
      </c>
      <c r="AA132" s="157">
        <f>Z132*K132</f>
        <v>0</v>
      </c>
      <c r="AR132" s="20" t="s">
        <v>153</v>
      </c>
      <c r="AT132" s="20" t="s">
        <v>149</v>
      </c>
      <c r="AU132" s="20" t="s">
        <v>96</v>
      </c>
      <c r="AY132" s="20" t="s">
        <v>137</v>
      </c>
      <c r="BE132" s="158">
        <f>IF(U132="základní",N132,0)</f>
        <v>0</v>
      </c>
      <c r="BF132" s="158">
        <f>IF(U132="snížená",N132,0)</f>
        <v>0</v>
      </c>
      <c r="BG132" s="158">
        <f>IF(U132="zákl. přenesená",N132,0)</f>
        <v>0</v>
      </c>
      <c r="BH132" s="158">
        <f>IF(U132="sníž. přenesená",N132,0)</f>
        <v>0</v>
      </c>
      <c r="BI132" s="158">
        <f>IF(U132="nulová",N132,0)</f>
        <v>0</v>
      </c>
      <c r="BJ132" s="20" t="s">
        <v>80</v>
      </c>
      <c r="BK132" s="158">
        <f>ROUND(L132*K132,2)</f>
        <v>0</v>
      </c>
      <c r="BL132" s="20" t="s">
        <v>142</v>
      </c>
      <c r="BM132" s="20" t="s">
        <v>154</v>
      </c>
    </row>
    <row r="133" spans="2:51" s="10" customFormat="1" ht="25.5" customHeight="1">
      <c r="B133" s="159"/>
      <c r="C133" s="160"/>
      <c r="D133" s="160"/>
      <c r="E133" s="161" t="s">
        <v>19</v>
      </c>
      <c r="F133" s="308" t="s">
        <v>144</v>
      </c>
      <c r="G133" s="309"/>
      <c r="H133" s="309"/>
      <c r="I133" s="309"/>
      <c r="J133" s="160"/>
      <c r="K133" s="162">
        <v>5.122</v>
      </c>
      <c r="L133" s="233"/>
      <c r="M133" s="224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145</v>
      </c>
      <c r="AU133" s="166" t="s">
        <v>96</v>
      </c>
      <c r="AV133" s="10" t="s">
        <v>96</v>
      </c>
      <c r="AW133" s="10" t="s">
        <v>33</v>
      </c>
      <c r="AX133" s="10" t="s">
        <v>73</v>
      </c>
      <c r="AY133" s="166" t="s">
        <v>137</v>
      </c>
    </row>
    <row r="134" spans="2:51" s="10" customFormat="1" ht="16.5" customHeight="1">
      <c r="B134" s="159"/>
      <c r="C134" s="160"/>
      <c r="D134" s="160"/>
      <c r="E134" s="161" t="s">
        <v>19</v>
      </c>
      <c r="F134" s="310" t="s">
        <v>155</v>
      </c>
      <c r="G134" s="311"/>
      <c r="H134" s="311"/>
      <c r="I134" s="311"/>
      <c r="J134" s="160"/>
      <c r="K134" s="162">
        <v>12.293</v>
      </c>
      <c r="L134" s="233"/>
      <c r="M134" s="224"/>
      <c r="N134" s="160"/>
      <c r="O134" s="160"/>
      <c r="P134" s="160"/>
      <c r="Q134" s="160"/>
      <c r="R134" s="163"/>
      <c r="T134" s="164"/>
      <c r="U134" s="160"/>
      <c r="V134" s="160"/>
      <c r="W134" s="160"/>
      <c r="X134" s="160"/>
      <c r="Y134" s="160"/>
      <c r="Z134" s="160"/>
      <c r="AA134" s="165"/>
      <c r="AT134" s="166" t="s">
        <v>145</v>
      </c>
      <c r="AU134" s="166" t="s">
        <v>96</v>
      </c>
      <c r="AV134" s="10" t="s">
        <v>96</v>
      </c>
      <c r="AW134" s="10" t="s">
        <v>33</v>
      </c>
      <c r="AX134" s="10" t="s">
        <v>80</v>
      </c>
      <c r="AY134" s="166" t="s">
        <v>137</v>
      </c>
    </row>
    <row r="135" spans="2:65" s="1" customFormat="1" ht="16.5" customHeight="1">
      <c r="B135" s="33"/>
      <c r="C135" s="175">
        <v>3</v>
      </c>
      <c r="D135" s="175" t="s">
        <v>149</v>
      </c>
      <c r="E135" s="176" t="s">
        <v>156</v>
      </c>
      <c r="F135" s="305" t="s">
        <v>157</v>
      </c>
      <c r="G135" s="305"/>
      <c r="H135" s="305"/>
      <c r="I135" s="305"/>
      <c r="J135" s="177" t="s">
        <v>152</v>
      </c>
      <c r="K135" s="178">
        <v>0.777</v>
      </c>
      <c r="L135" s="233"/>
      <c r="M135" s="226"/>
      <c r="N135" s="306">
        <f>ROUND(L135*K135,2)</f>
        <v>0</v>
      </c>
      <c r="O135" s="307"/>
      <c r="P135" s="307"/>
      <c r="Q135" s="307"/>
      <c r="R135" s="35"/>
      <c r="T135" s="155" t="s">
        <v>19</v>
      </c>
      <c r="U135" s="42" t="s">
        <v>39</v>
      </c>
      <c r="V135" s="156">
        <v>0</v>
      </c>
      <c r="W135" s="156">
        <f>V135*K135</f>
        <v>0</v>
      </c>
      <c r="X135" s="156">
        <v>1</v>
      </c>
      <c r="Y135" s="156">
        <f>X135*K135</f>
        <v>0.777</v>
      </c>
      <c r="Z135" s="156">
        <v>0</v>
      </c>
      <c r="AA135" s="157">
        <f>Z135*K135</f>
        <v>0</v>
      </c>
      <c r="AR135" s="20" t="s">
        <v>153</v>
      </c>
      <c r="AT135" s="20" t="s">
        <v>149</v>
      </c>
      <c r="AU135" s="20" t="s">
        <v>96</v>
      </c>
      <c r="AY135" s="20" t="s">
        <v>137</v>
      </c>
      <c r="BE135" s="158">
        <f>IF(U135="základní",N135,0)</f>
        <v>0</v>
      </c>
      <c r="BF135" s="158">
        <f>IF(U135="snížená",N135,0)</f>
        <v>0</v>
      </c>
      <c r="BG135" s="158">
        <f>IF(U135="zákl. přenesená",N135,0)</f>
        <v>0</v>
      </c>
      <c r="BH135" s="158">
        <f>IF(U135="sníž. přenesená",N135,0)</f>
        <v>0</v>
      </c>
      <c r="BI135" s="158">
        <f>IF(U135="nulová",N135,0)</f>
        <v>0</v>
      </c>
      <c r="BJ135" s="20" t="s">
        <v>80</v>
      </c>
      <c r="BK135" s="158">
        <f>ROUND(L135*K135,2)</f>
        <v>0</v>
      </c>
      <c r="BL135" s="20" t="s">
        <v>142</v>
      </c>
      <c r="BM135" s="20" t="s">
        <v>158</v>
      </c>
    </row>
    <row r="136" spans="2:51" s="10" customFormat="1" ht="25.5" customHeight="1">
      <c r="B136" s="159"/>
      <c r="C136" s="160"/>
      <c r="D136" s="160"/>
      <c r="E136" s="161" t="s">
        <v>19</v>
      </c>
      <c r="F136" s="308" t="s">
        <v>147</v>
      </c>
      <c r="G136" s="309"/>
      <c r="H136" s="309"/>
      <c r="I136" s="309"/>
      <c r="J136" s="160"/>
      <c r="K136" s="162">
        <v>0.353</v>
      </c>
      <c r="L136" s="233"/>
      <c r="M136" s="224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145</v>
      </c>
      <c r="AU136" s="166" t="s">
        <v>96</v>
      </c>
      <c r="AV136" s="10" t="s">
        <v>96</v>
      </c>
      <c r="AW136" s="10" t="s">
        <v>33</v>
      </c>
      <c r="AX136" s="10" t="s">
        <v>73</v>
      </c>
      <c r="AY136" s="166" t="s">
        <v>137</v>
      </c>
    </row>
    <row r="137" spans="2:51" s="10" customFormat="1" ht="16.5" customHeight="1">
      <c r="B137" s="159"/>
      <c r="C137" s="160"/>
      <c r="D137" s="160"/>
      <c r="E137" s="161" t="s">
        <v>19</v>
      </c>
      <c r="F137" s="310" t="s">
        <v>159</v>
      </c>
      <c r="G137" s="311"/>
      <c r="H137" s="311"/>
      <c r="I137" s="311"/>
      <c r="J137" s="160"/>
      <c r="K137" s="162">
        <v>0.777</v>
      </c>
      <c r="L137" s="233"/>
      <c r="M137" s="224"/>
      <c r="N137" s="160"/>
      <c r="O137" s="160"/>
      <c r="P137" s="160"/>
      <c r="Q137" s="160"/>
      <c r="R137" s="163"/>
      <c r="T137" s="164"/>
      <c r="U137" s="160"/>
      <c r="V137" s="160"/>
      <c r="W137" s="160"/>
      <c r="X137" s="160"/>
      <c r="Y137" s="160"/>
      <c r="Z137" s="160"/>
      <c r="AA137" s="165"/>
      <c r="AT137" s="166" t="s">
        <v>145</v>
      </c>
      <c r="AU137" s="166" t="s">
        <v>96</v>
      </c>
      <c r="AV137" s="10" t="s">
        <v>96</v>
      </c>
      <c r="AW137" s="10" t="s">
        <v>33</v>
      </c>
      <c r="AX137" s="10" t="s">
        <v>80</v>
      </c>
      <c r="AY137" s="166" t="s">
        <v>137</v>
      </c>
    </row>
    <row r="138" spans="2:65" s="1" customFormat="1" ht="38.25" customHeight="1">
      <c r="B138" s="33"/>
      <c r="C138" s="151">
        <v>4</v>
      </c>
      <c r="D138" s="151" t="s">
        <v>138</v>
      </c>
      <c r="E138" s="152" t="s">
        <v>160</v>
      </c>
      <c r="F138" s="312" t="s">
        <v>161</v>
      </c>
      <c r="G138" s="312"/>
      <c r="H138" s="312"/>
      <c r="I138" s="312"/>
      <c r="J138" s="153" t="s">
        <v>162</v>
      </c>
      <c r="K138" s="154">
        <v>41</v>
      </c>
      <c r="L138" s="233"/>
      <c r="M138" s="223"/>
      <c r="N138" s="307">
        <f>ROUND(L138*K138,2)</f>
        <v>0</v>
      </c>
      <c r="O138" s="307"/>
      <c r="P138" s="307"/>
      <c r="Q138" s="307"/>
      <c r="R138" s="35"/>
      <c r="T138" s="155" t="s">
        <v>19</v>
      </c>
      <c r="U138" s="42" t="s">
        <v>39</v>
      </c>
      <c r="V138" s="156">
        <v>0.13</v>
      </c>
      <c r="W138" s="156">
        <f>V138*K138</f>
        <v>5.33</v>
      </c>
      <c r="X138" s="156">
        <v>0</v>
      </c>
      <c r="Y138" s="156">
        <f>X138*K138</f>
        <v>0</v>
      </c>
      <c r="Z138" s="156">
        <v>0</v>
      </c>
      <c r="AA138" s="157">
        <f>Z138*K138</f>
        <v>0</v>
      </c>
      <c r="AR138" s="20" t="s">
        <v>142</v>
      </c>
      <c r="AT138" s="20" t="s">
        <v>138</v>
      </c>
      <c r="AU138" s="20" t="s">
        <v>96</v>
      </c>
      <c r="AY138" s="20" t="s">
        <v>137</v>
      </c>
      <c r="BE138" s="158">
        <f>IF(U138="základní",N138,0)</f>
        <v>0</v>
      </c>
      <c r="BF138" s="158">
        <f>IF(U138="snížená",N138,0)</f>
        <v>0</v>
      </c>
      <c r="BG138" s="158">
        <f>IF(U138="zákl. přenesená",N138,0)</f>
        <v>0</v>
      </c>
      <c r="BH138" s="158">
        <f>IF(U138="sníž. přenesená",N138,0)</f>
        <v>0</v>
      </c>
      <c r="BI138" s="158">
        <f>IF(U138="nulová",N138,0)</f>
        <v>0</v>
      </c>
      <c r="BJ138" s="20" t="s">
        <v>80</v>
      </c>
      <c r="BK138" s="158">
        <f>ROUND(L138*K138,2)</f>
        <v>0</v>
      </c>
      <c r="BL138" s="20" t="s">
        <v>142</v>
      </c>
      <c r="BM138" s="20" t="s">
        <v>163</v>
      </c>
    </row>
    <row r="139" spans="2:51" s="10" customFormat="1" ht="16.5" customHeight="1">
      <c r="B139" s="159"/>
      <c r="C139" s="160"/>
      <c r="D139" s="160"/>
      <c r="E139" s="161" t="s">
        <v>19</v>
      </c>
      <c r="F139" s="308" t="s">
        <v>164</v>
      </c>
      <c r="G139" s="309"/>
      <c r="H139" s="309"/>
      <c r="I139" s="309"/>
      <c r="J139" s="160"/>
      <c r="K139" s="162">
        <v>25</v>
      </c>
      <c r="L139" s="233"/>
      <c r="M139" s="224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145</v>
      </c>
      <c r="AU139" s="166" t="s">
        <v>96</v>
      </c>
      <c r="AV139" s="10" t="s">
        <v>96</v>
      </c>
      <c r="AW139" s="10" t="s">
        <v>33</v>
      </c>
      <c r="AX139" s="10" t="s">
        <v>73</v>
      </c>
      <c r="AY139" s="166" t="s">
        <v>137</v>
      </c>
    </row>
    <row r="140" spans="2:51" s="10" customFormat="1" ht="16.5" customHeight="1">
      <c r="B140" s="159"/>
      <c r="C140" s="160"/>
      <c r="D140" s="160"/>
      <c r="E140" s="161" t="s">
        <v>19</v>
      </c>
      <c r="F140" s="310" t="s">
        <v>165</v>
      </c>
      <c r="G140" s="311"/>
      <c r="H140" s="311"/>
      <c r="I140" s="311"/>
      <c r="J140" s="160"/>
      <c r="K140" s="162">
        <v>16</v>
      </c>
      <c r="L140" s="233"/>
      <c r="M140" s="224"/>
      <c r="N140" s="160"/>
      <c r="O140" s="160"/>
      <c r="P140" s="160"/>
      <c r="Q140" s="160"/>
      <c r="R140" s="163"/>
      <c r="T140" s="164"/>
      <c r="U140" s="160"/>
      <c r="V140" s="160"/>
      <c r="W140" s="160"/>
      <c r="X140" s="160"/>
      <c r="Y140" s="160"/>
      <c r="Z140" s="160"/>
      <c r="AA140" s="165"/>
      <c r="AT140" s="166" t="s">
        <v>145</v>
      </c>
      <c r="AU140" s="166" t="s">
        <v>96</v>
      </c>
      <c r="AV140" s="10" t="s">
        <v>96</v>
      </c>
      <c r="AW140" s="10" t="s">
        <v>33</v>
      </c>
      <c r="AX140" s="10" t="s">
        <v>73</v>
      </c>
      <c r="AY140" s="166" t="s">
        <v>137</v>
      </c>
    </row>
    <row r="141" spans="2:51" s="11" customFormat="1" ht="16.5" customHeight="1">
      <c r="B141" s="167"/>
      <c r="C141" s="168"/>
      <c r="D141" s="168"/>
      <c r="E141" s="169" t="s">
        <v>19</v>
      </c>
      <c r="F141" s="303" t="s">
        <v>148</v>
      </c>
      <c r="G141" s="304"/>
      <c r="H141" s="304"/>
      <c r="I141" s="304"/>
      <c r="J141" s="168"/>
      <c r="K141" s="170">
        <v>41</v>
      </c>
      <c r="L141" s="233"/>
      <c r="M141" s="225"/>
      <c r="N141" s="168"/>
      <c r="O141" s="168"/>
      <c r="P141" s="168"/>
      <c r="Q141" s="168"/>
      <c r="R141" s="171"/>
      <c r="T141" s="172"/>
      <c r="U141" s="168"/>
      <c r="V141" s="168"/>
      <c r="W141" s="168"/>
      <c r="X141" s="168"/>
      <c r="Y141" s="168"/>
      <c r="Z141" s="168"/>
      <c r="AA141" s="173"/>
      <c r="AT141" s="174" t="s">
        <v>145</v>
      </c>
      <c r="AU141" s="174" t="s">
        <v>96</v>
      </c>
      <c r="AV141" s="11" t="s">
        <v>142</v>
      </c>
      <c r="AW141" s="11" t="s">
        <v>33</v>
      </c>
      <c r="AX141" s="11" t="s">
        <v>80</v>
      </c>
      <c r="AY141" s="174" t="s">
        <v>137</v>
      </c>
    </row>
    <row r="142" spans="2:65" s="1" customFormat="1" ht="25.5" customHeight="1">
      <c r="B142" s="33"/>
      <c r="C142" s="151">
        <v>5</v>
      </c>
      <c r="D142" s="151" t="s">
        <v>138</v>
      </c>
      <c r="E142" s="152" t="s">
        <v>166</v>
      </c>
      <c r="F142" s="312" t="s">
        <v>167</v>
      </c>
      <c r="G142" s="312"/>
      <c r="H142" s="312"/>
      <c r="I142" s="312"/>
      <c r="J142" s="153" t="s">
        <v>162</v>
      </c>
      <c r="K142" s="154">
        <v>41</v>
      </c>
      <c r="L142" s="233"/>
      <c r="M142" s="223"/>
      <c r="N142" s="307">
        <f>ROUND(L142*K142,2)</f>
        <v>0</v>
      </c>
      <c r="O142" s="307"/>
      <c r="P142" s="307"/>
      <c r="Q142" s="307"/>
      <c r="R142" s="35"/>
      <c r="T142" s="155" t="s">
        <v>19</v>
      </c>
      <c r="U142" s="42" t="s">
        <v>39</v>
      </c>
      <c r="V142" s="156">
        <v>0.007</v>
      </c>
      <c r="W142" s="156">
        <f>V142*K142</f>
        <v>0.28700000000000003</v>
      </c>
      <c r="X142" s="156">
        <v>0</v>
      </c>
      <c r="Y142" s="156">
        <f>X142*K142</f>
        <v>0</v>
      </c>
      <c r="Z142" s="156">
        <v>0</v>
      </c>
      <c r="AA142" s="157">
        <f>Z142*K142</f>
        <v>0</v>
      </c>
      <c r="AR142" s="20" t="s">
        <v>142</v>
      </c>
      <c r="AT142" s="20" t="s">
        <v>138</v>
      </c>
      <c r="AU142" s="20" t="s">
        <v>96</v>
      </c>
      <c r="AY142" s="20" t="s">
        <v>137</v>
      </c>
      <c r="BE142" s="158">
        <f>IF(U142="základní",N142,0)</f>
        <v>0</v>
      </c>
      <c r="BF142" s="158">
        <f>IF(U142="snížená",N142,0)</f>
        <v>0</v>
      </c>
      <c r="BG142" s="158">
        <f>IF(U142="zákl. přenesená",N142,0)</f>
        <v>0</v>
      </c>
      <c r="BH142" s="158">
        <f>IF(U142="sníž. přenesená",N142,0)</f>
        <v>0</v>
      </c>
      <c r="BI142" s="158">
        <f>IF(U142="nulová",N142,0)</f>
        <v>0</v>
      </c>
      <c r="BJ142" s="20" t="s">
        <v>80</v>
      </c>
      <c r="BK142" s="158">
        <f>ROUND(L142*K142,2)</f>
        <v>0</v>
      </c>
      <c r="BL142" s="20" t="s">
        <v>142</v>
      </c>
      <c r="BM142" s="20" t="s">
        <v>168</v>
      </c>
    </row>
    <row r="143" spans="2:51" s="10" customFormat="1" ht="16.5" customHeight="1">
      <c r="B143" s="159"/>
      <c r="C143" s="160"/>
      <c r="D143" s="160"/>
      <c r="E143" s="161" t="s">
        <v>19</v>
      </c>
      <c r="F143" s="308" t="s">
        <v>164</v>
      </c>
      <c r="G143" s="309"/>
      <c r="H143" s="309"/>
      <c r="I143" s="309"/>
      <c r="J143" s="160"/>
      <c r="K143" s="162">
        <v>25</v>
      </c>
      <c r="L143" s="233"/>
      <c r="M143" s="224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145</v>
      </c>
      <c r="AU143" s="166" t="s">
        <v>96</v>
      </c>
      <c r="AV143" s="10" t="s">
        <v>96</v>
      </c>
      <c r="AW143" s="10" t="s">
        <v>33</v>
      </c>
      <c r="AX143" s="10" t="s">
        <v>73</v>
      </c>
      <c r="AY143" s="166" t="s">
        <v>137</v>
      </c>
    </row>
    <row r="144" spans="2:51" s="10" customFormat="1" ht="16.5" customHeight="1">
      <c r="B144" s="159"/>
      <c r="C144" s="160"/>
      <c r="D144" s="160"/>
      <c r="E144" s="161" t="s">
        <v>19</v>
      </c>
      <c r="F144" s="310" t="s">
        <v>165</v>
      </c>
      <c r="G144" s="311"/>
      <c r="H144" s="311"/>
      <c r="I144" s="311"/>
      <c r="J144" s="160"/>
      <c r="K144" s="162">
        <v>16</v>
      </c>
      <c r="L144" s="233"/>
      <c r="M144" s="224"/>
      <c r="N144" s="160"/>
      <c r="O144" s="160"/>
      <c r="P144" s="160"/>
      <c r="Q144" s="160"/>
      <c r="R144" s="163"/>
      <c r="T144" s="164"/>
      <c r="U144" s="160"/>
      <c r="V144" s="160"/>
      <c r="W144" s="160"/>
      <c r="X144" s="160"/>
      <c r="Y144" s="160"/>
      <c r="Z144" s="160"/>
      <c r="AA144" s="165"/>
      <c r="AT144" s="166" t="s">
        <v>145</v>
      </c>
      <c r="AU144" s="166" t="s">
        <v>96</v>
      </c>
      <c r="AV144" s="10" t="s">
        <v>96</v>
      </c>
      <c r="AW144" s="10" t="s">
        <v>33</v>
      </c>
      <c r="AX144" s="10" t="s">
        <v>73</v>
      </c>
      <c r="AY144" s="166" t="s">
        <v>137</v>
      </c>
    </row>
    <row r="145" spans="2:51" s="11" customFormat="1" ht="16.5" customHeight="1">
      <c r="B145" s="167"/>
      <c r="C145" s="168"/>
      <c r="D145" s="168"/>
      <c r="E145" s="169" t="s">
        <v>19</v>
      </c>
      <c r="F145" s="303" t="s">
        <v>148</v>
      </c>
      <c r="G145" s="304"/>
      <c r="H145" s="304"/>
      <c r="I145" s="304"/>
      <c r="J145" s="168"/>
      <c r="K145" s="170">
        <v>41</v>
      </c>
      <c r="L145" s="233"/>
      <c r="M145" s="225"/>
      <c r="N145" s="168"/>
      <c r="O145" s="168"/>
      <c r="P145" s="168"/>
      <c r="Q145" s="168"/>
      <c r="R145" s="171"/>
      <c r="T145" s="172"/>
      <c r="U145" s="168"/>
      <c r="V145" s="168"/>
      <c r="W145" s="168"/>
      <c r="X145" s="168"/>
      <c r="Y145" s="168"/>
      <c r="Z145" s="168"/>
      <c r="AA145" s="173"/>
      <c r="AT145" s="174" t="s">
        <v>145</v>
      </c>
      <c r="AU145" s="174" t="s">
        <v>96</v>
      </c>
      <c r="AV145" s="11" t="s">
        <v>142</v>
      </c>
      <c r="AW145" s="11" t="s">
        <v>33</v>
      </c>
      <c r="AX145" s="11" t="s">
        <v>80</v>
      </c>
      <c r="AY145" s="174" t="s">
        <v>137</v>
      </c>
    </row>
    <row r="146" spans="2:65" s="1" customFormat="1" ht="16.5" customHeight="1">
      <c r="B146" s="33"/>
      <c r="C146" s="175">
        <v>6</v>
      </c>
      <c r="D146" s="175" t="s">
        <v>149</v>
      </c>
      <c r="E146" s="176" t="s">
        <v>170</v>
      </c>
      <c r="F146" s="305" t="s">
        <v>171</v>
      </c>
      <c r="G146" s="305"/>
      <c r="H146" s="305"/>
      <c r="I146" s="305"/>
      <c r="J146" s="177" t="s">
        <v>172</v>
      </c>
      <c r="K146" s="178">
        <v>2.05</v>
      </c>
      <c r="L146" s="233"/>
      <c r="M146" s="226"/>
      <c r="N146" s="306">
        <f>ROUND(L146*K146,2)</f>
        <v>0</v>
      </c>
      <c r="O146" s="307"/>
      <c r="P146" s="307"/>
      <c r="Q146" s="307"/>
      <c r="R146" s="35"/>
      <c r="T146" s="155" t="s">
        <v>19</v>
      </c>
      <c r="U146" s="42" t="s">
        <v>39</v>
      </c>
      <c r="V146" s="156">
        <v>0</v>
      </c>
      <c r="W146" s="156">
        <f>V146*K146</f>
        <v>0</v>
      </c>
      <c r="X146" s="156">
        <v>0.001</v>
      </c>
      <c r="Y146" s="156">
        <f>X146*K146</f>
        <v>0.0020499999999999997</v>
      </c>
      <c r="Z146" s="156">
        <v>0</v>
      </c>
      <c r="AA146" s="157">
        <f>Z146*K146</f>
        <v>0</v>
      </c>
      <c r="AR146" s="20" t="s">
        <v>153</v>
      </c>
      <c r="AT146" s="20" t="s">
        <v>149</v>
      </c>
      <c r="AU146" s="20" t="s">
        <v>96</v>
      </c>
      <c r="AY146" s="20" t="s">
        <v>137</v>
      </c>
      <c r="BE146" s="158">
        <f>IF(U146="základní",N146,0)</f>
        <v>0</v>
      </c>
      <c r="BF146" s="158">
        <f>IF(U146="snížená",N146,0)</f>
        <v>0</v>
      </c>
      <c r="BG146" s="158">
        <f>IF(U146="zákl. přenesená",N146,0)</f>
        <v>0</v>
      </c>
      <c r="BH146" s="158">
        <f>IF(U146="sníž. přenesená",N146,0)</f>
        <v>0</v>
      </c>
      <c r="BI146" s="158">
        <f>IF(U146="nulová",N146,0)</f>
        <v>0</v>
      </c>
      <c r="BJ146" s="20" t="s">
        <v>80</v>
      </c>
      <c r="BK146" s="158">
        <f>ROUND(L146*K146,2)</f>
        <v>0</v>
      </c>
      <c r="BL146" s="20" t="s">
        <v>142</v>
      </c>
      <c r="BM146" s="20" t="s">
        <v>173</v>
      </c>
    </row>
    <row r="147" spans="2:63" s="9" customFormat="1" ht="29.85" customHeight="1">
      <c r="B147" s="140"/>
      <c r="C147" s="141"/>
      <c r="D147" s="150" t="s">
        <v>109</v>
      </c>
      <c r="E147" s="150"/>
      <c r="F147" s="150"/>
      <c r="G147" s="150"/>
      <c r="H147" s="150"/>
      <c r="I147" s="150"/>
      <c r="J147" s="150"/>
      <c r="K147" s="150"/>
      <c r="L147" s="233"/>
      <c r="M147" s="227"/>
      <c r="N147" s="313">
        <f>SUM(N148:N148)</f>
        <v>0</v>
      </c>
      <c r="O147" s="314"/>
      <c r="P147" s="314"/>
      <c r="Q147" s="314"/>
      <c r="R147" s="143"/>
      <c r="T147" s="144"/>
      <c r="U147" s="141"/>
      <c r="V147" s="141"/>
      <c r="W147" s="145">
        <f>SUM(W148:W149)</f>
        <v>0.20615199999999997</v>
      </c>
      <c r="X147" s="141"/>
      <c r="Y147" s="145">
        <f>SUM(Y148:Y149)</f>
        <v>0.7964880199999999</v>
      </c>
      <c r="Z147" s="141"/>
      <c r="AA147" s="146">
        <f>SUM(AA148:AA149)</f>
        <v>0</v>
      </c>
      <c r="AR147" s="147" t="s">
        <v>80</v>
      </c>
      <c r="AT147" s="148" t="s">
        <v>72</v>
      </c>
      <c r="AU147" s="148" t="s">
        <v>80</v>
      </c>
      <c r="AY147" s="147" t="s">
        <v>137</v>
      </c>
      <c r="BK147" s="149">
        <f>SUM(BK148:BK149)</f>
        <v>0</v>
      </c>
    </row>
    <row r="148" spans="2:65" s="1" customFormat="1" ht="16.5" customHeight="1">
      <c r="B148" s="33"/>
      <c r="C148" s="151">
        <v>7</v>
      </c>
      <c r="D148" s="151" t="s">
        <v>138</v>
      </c>
      <c r="E148" s="152" t="s">
        <v>174</v>
      </c>
      <c r="F148" s="312" t="s">
        <v>175</v>
      </c>
      <c r="G148" s="312"/>
      <c r="H148" s="312"/>
      <c r="I148" s="312"/>
      <c r="J148" s="153" t="s">
        <v>141</v>
      </c>
      <c r="K148" s="154">
        <v>0.353</v>
      </c>
      <c r="L148" s="233"/>
      <c r="M148" s="223"/>
      <c r="N148" s="307">
        <f>ROUND(L148*K148,2)</f>
        <v>0</v>
      </c>
      <c r="O148" s="307"/>
      <c r="P148" s="307"/>
      <c r="Q148" s="307"/>
      <c r="R148" s="35"/>
      <c r="T148" s="155" t="s">
        <v>19</v>
      </c>
      <c r="U148" s="42" t="s">
        <v>39</v>
      </c>
      <c r="V148" s="156">
        <v>0.584</v>
      </c>
      <c r="W148" s="156">
        <f>V148*K148</f>
        <v>0.20615199999999997</v>
      </c>
      <c r="X148" s="156">
        <v>2.25634</v>
      </c>
      <c r="Y148" s="156">
        <f>X148*K148</f>
        <v>0.7964880199999999</v>
      </c>
      <c r="Z148" s="156">
        <v>0</v>
      </c>
      <c r="AA148" s="157">
        <f>Z148*K148</f>
        <v>0</v>
      </c>
      <c r="AR148" s="20" t="s">
        <v>142</v>
      </c>
      <c r="AT148" s="20" t="s">
        <v>138</v>
      </c>
      <c r="AU148" s="20" t="s">
        <v>96</v>
      </c>
      <c r="AY148" s="20" t="s">
        <v>137</v>
      </c>
      <c r="BE148" s="158">
        <f>IF(U148="základní",N148,0)</f>
        <v>0</v>
      </c>
      <c r="BF148" s="158">
        <f>IF(U148="snížená",N148,0)</f>
        <v>0</v>
      </c>
      <c r="BG148" s="158">
        <f>IF(U148="zákl. přenesená",N148,0)</f>
        <v>0</v>
      </c>
      <c r="BH148" s="158">
        <f>IF(U148="sníž. přenesená",N148,0)</f>
        <v>0</v>
      </c>
      <c r="BI148" s="158">
        <f>IF(U148="nulová",N148,0)</f>
        <v>0</v>
      </c>
      <c r="BJ148" s="20" t="s">
        <v>80</v>
      </c>
      <c r="BK148" s="158">
        <f>ROUND(L148*K148,2)</f>
        <v>0</v>
      </c>
      <c r="BL148" s="20" t="s">
        <v>142</v>
      </c>
      <c r="BM148" s="20" t="s">
        <v>176</v>
      </c>
    </row>
    <row r="149" spans="2:51" s="10" customFormat="1" ht="25.5" customHeight="1">
      <c r="B149" s="159"/>
      <c r="C149" s="160"/>
      <c r="D149" s="160"/>
      <c r="E149" s="161" t="s">
        <v>19</v>
      </c>
      <c r="F149" s="308" t="s">
        <v>177</v>
      </c>
      <c r="G149" s="309"/>
      <c r="H149" s="309"/>
      <c r="I149" s="309"/>
      <c r="J149" s="160"/>
      <c r="K149" s="162">
        <v>0.353</v>
      </c>
      <c r="L149" s="233"/>
      <c r="M149" s="224"/>
      <c r="N149" s="160"/>
      <c r="O149" s="160"/>
      <c r="P149" s="160"/>
      <c r="Q149" s="160"/>
      <c r="R149" s="163"/>
      <c r="T149" s="164"/>
      <c r="U149" s="160"/>
      <c r="V149" s="160"/>
      <c r="W149" s="160"/>
      <c r="X149" s="160"/>
      <c r="Y149" s="160"/>
      <c r="Z149" s="160"/>
      <c r="AA149" s="165"/>
      <c r="AT149" s="166" t="s">
        <v>145</v>
      </c>
      <c r="AU149" s="166" t="s">
        <v>96</v>
      </c>
      <c r="AV149" s="10" t="s">
        <v>96</v>
      </c>
      <c r="AW149" s="10" t="s">
        <v>33</v>
      </c>
      <c r="AX149" s="10" t="s">
        <v>80</v>
      </c>
      <c r="AY149" s="166" t="s">
        <v>137</v>
      </c>
    </row>
    <row r="150" spans="2:63" s="9" customFormat="1" ht="29.85" customHeight="1">
      <c r="B150" s="140"/>
      <c r="C150" s="141"/>
      <c r="D150" s="150" t="s">
        <v>110</v>
      </c>
      <c r="E150" s="150"/>
      <c r="F150" s="150"/>
      <c r="G150" s="150"/>
      <c r="H150" s="150"/>
      <c r="I150" s="150"/>
      <c r="J150" s="150"/>
      <c r="K150" s="150"/>
      <c r="L150" s="233"/>
      <c r="M150" s="227"/>
      <c r="N150" s="301">
        <f>SUM(N151:N153)</f>
        <v>0</v>
      </c>
      <c r="O150" s="302"/>
      <c r="P150" s="302"/>
      <c r="Q150" s="302"/>
      <c r="R150" s="143"/>
      <c r="T150" s="144"/>
      <c r="U150" s="141"/>
      <c r="V150" s="141"/>
      <c r="W150" s="145">
        <f>SUM(W151:W152)</f>
        <v>2.6837999999999997</v>
      </c>
      <c r="X150" s="141"/>
      <c r="Y150" s="145">
        <f>SUM(Y151:Y152)</f>
        <v>0</v>
      </c>
      <c r="Z150" s="141"/>
      <c r="AA150" s="146">
        <f>SUM(AA151:AA152)</f>
        <v>0</v>
      </c>
      <c r="AR150" s="147" t="s">
        <v>80</v>
      </c>
      <c r="AT150" s="148" t="s">
        <v>72</v>
      </c>
      <c r="AU150" s="148" t="s">
        <v>80</v>
      </c>
      <c r="AY150" s="147" t="s">
        <v>137</v>
      </c>
      <c r="BK150" s="149">
        <f>SUM(BK151:BK152)</f>
        <v>0</v>
      </c>
    </row>
    <row r="151" spans="2:65" s="1" customFormat="1" ht="38.25" customHeight="1">
      <c r="B151" s="33"/>
      <c r="C151" s="151">
        <v>8</v>
      </c>
      <c r="D151" s="151" t="s">
        <v>138</v>
      </c>
      <c r="E151" s="152" t="s">
        <v>178</v>
      </c>
      <c r="F151" s="312" t="s">
        <v>179</v>
      </c>
      <c r="G151" s="312"/>
      <c r="H151" s="312"/>
      <c r="I151" s="312"/>
      <c r="J151" s="153" t="s">
        <v>162</v>
      </c>
      <c r="K151" s="154">
        <v>12.6</v>
      </c>
      <c r="L151" s="233"/>
      <c r="M151" s="223"/>
      <c r="N151" s="307">
        <f>ROUND(L151*K151,2)</f>
        <v>0</v>
      </c>
      <c r="O151" s="307"/>
      <c r="P151" s="307"/>
      <c r="Q151" s="307"/>
      <c r="R151" s="35"/>
      <c r="T151" s="155" t="s">
        <v>19</v>
      </c>
      <c r="U151" s="42" t="s">
        <v>39</v>
      </c>
      <c r="V151" s="156">
        <v>0.213</v>
      </c>
      <c r="W151" s="156">
        <f>V151*K151</f>
        <v>2.6837999999999997</v>
      </c>
      <c r="X151" s="156">
        <v>0</v>
      </c>
      <c r="Y151" s="156">
        <f>X151*K151</f>
        <v>0</v>
      </c>
      <c r="Z151" s="156">
        <v>0</v>
      </c>
      <c r="AA151" s="157">
        <f>Z151*K151</f>
        <v>0</v>
      </c>
      <c r="AR151" s="20" t="s">
        <v>142</v>
      </c>
      <c r="AT151" s="20" t="s">
        <v>138</v>
      </c>
      <c r="AU151" s="20" t="s">
        <v>96</v>
      </c>
      <c r="AY151" s="20" t="s">
        <v>137</v>
      </c>
      <c r="BE151" s="158">
        <f>IF(U151="základní",N151,0)</f>
        <v>0</v>
      </c>
      <c r="BF151" s="158">
        <f>IF(U151="snížená",N151,0)</f>
        <v>0</v>
      </c>
      <c r="BG151" s="158">
        <f>IF(U151="zákl. přenesená",N151,0)</f>
        <v>0</v>
      </c>
      <c r="BH151" s="158">
        <f>IF(U151="sníž. přenesená",N151,0)</f>
        <v>0</v>
      </c>
      <c r="BI151" s="158">
        <f>IF(U151="nulová",N151,0)</f>
        <v>0</v>
      </c>
      <c r="BJ151" s="20" t="s">
        <v>80</v>
      </c>
      <c r="BK151" s="158">
        <f>ROUND(L151*K151,2)</f>
        <v>0</v>
      </c>
      <c r="BL151" s="20" t="s">
        <v>142</v>
      </c>
      <c r="BM151" s="20" t="s">
        <v>180</v>
      </c>
    </row>
    <row r="152" spans="2:51" s="10" customFormat="1" ht="16.5" customHeight="1">
      <c r="B152" s="159"/>
      <c r="C152" s="160"/>
      <c r="D152" s="160"/>
      <c r="E152" s="161" t="s">
        <v>19</v>
      </c>
      <c r="F152" s="308" t="s">
        <v>181</v>
      </c>
      <c r="G152" s="309"/>
      <c r="H152" s="309"/>
      <c r="I152" s="309"/>
      <c r="J152" s="160"/>
      <c r="K152" s="162">
        <v>12.6</v>
      </c>
      <c r="L152" s="233"/>
      <c r="M152" s="224"/>
      <c r="N152" s="160"/>
      <c r="O152" s="160"/>
      <c r="P152" s="160"/>
      <c r="Q152" s="160"/>
      <c r="R152" s="163"/>
      <c r="T152" s="164"/>
      <c r="U152" s="160"/>
      <c r="V152" s="160"/>
      <c r="W152" s="160"/>
      <c r="X152" s="160"/>
      <c r="Y152" s="160"/>
      <c r="Z152" s="160"/>
      <c r="AA152" s="165"/>
      <c r="AT152" s="166" t="s">
        <v>145</v>
      </c>
      <c r="AU152" s="166" t="s">
        <v>96</v>
      </c>
      <c r="AV152" s="10" t="s">
        <v>96</v>
      </c>
      <c r="AW152" s="10" t="s">
        <v>33</v>
      </c>
      <c r="AX152" s="10" t="s">
        <v>80</v>
      </c>
      <c r="AY152" s="166" t="s">
        <v>137</v>
      </c>
    </row>
    <row r="153" spans="2:65" s="1" customFormat="1" ht="38.25" customHeight="1">
      <c r="B153" s="33"/>
      <c r="C153" s="151">
        <v>9</v>
      </c>
      <c r="D153" s="151" t="s">
        <v>138</v>
      </c>
      <c r="E153" s="152"/>
      <c r="F153" s="312" t="s">
        <v>503</v>
      </c>
      <c r="G153" s="312"/>
      <c r="H153" s="312"/>
      <c r="I153" s="312"/>
      <c r="J153" s="153" t="s">
        <v>184</v>
      </c>
      <c r="K153" s="154">
        <v>1</v>
      </c>
      <c r="L153" s="233"/>
      <c r="M153" s="223"/>
      <c r="N153" s="307">
        <f>ROUND(L153*K153,2)</f>
        <v>0</v>
      </c>
      <c r="O153" s="307"/>
      <c r="P153" s="307"/>
      <c r="Q153" s="307"/>
      <c r="R153" s="35"/>
      <c r="T153" s="155" t="s">
        <v>19</v>
      </c>
      <c r="U153" s="42" t="s">
        <v>39</v>
      </c>
      <c r="V153" s="156">
        <v>0.213</v>
      </c>
      <c r="W153" s="156">
        <f>V153*K153</f>
        <v>0.213</v>
      </c>
      <c r="X153" s="156">
        <v>0</v>
      </c>
      <c r="Y153" s="156">
        <f>X153*K153</f>
        <v>0</v>
      </c>
      <c r="Z153" s="156">
        <v>0</v>
      </c>
      <c r="AA153" s="157">
        <f>Z153*K153</f>
        <v>0</v>
      </c>
      <c r="AR153" s="20" t="s">
        <v>142</v>
      </c>
      <c r="AT153" s="20" t="s">
        <v>138</v>
      </c>
      <c r="AU153" s="20" t="s">
        <v>96</v>
      </c>
      <c r="AY153" s="20" t="s">
        <v>137</v>
      </c>
      <c r="BE153" s="158">
        <f>IF(U153="základní",N153,0)</f>
        <v>0</v>
      </c>
      <c r="BF153" s="158">
        <f>IF(U153="snížená",N153,0)</f>
        <v>0</v>
      </c>
      <c r="BG153" s="158">
        <f>IF(U153="zákl. přenesená",N153,0)</f>
        <v>0</v>
      </c>
      <c r="BH153" s="158">
        <f>IF(U153="sníž. přenesená",N153,0)</f>
        <v>0</v>
      </c>
      <c r="BI153" s="158">
        <f>IF(U153="nulová",N153,0)</f>
        <v>0</v>
      </c>
      <c r="BJ153" s="20" t="s">
        <v>80</v>
      </c>
      <c r="BK153" s="158">
        <f>ROUND(L153*K153,2)</f>
        <v>0</v>
      </c>
      <c r="BL153" s="20" t="s">
        <v>142</v>
      </c>
      <c r="BM153" s="20" t="s">
        <v>180</v>
      </c>
    </row>
    <row r="154" spans="2:63" s="9" customFormat="1" ht="29.85" customHeight="1">
      <c r="B154" s="140"/>
      <c r="C154" s="141"/>
      <c r="D154" s="150" t="s">
        <v>111</v>
      </c>
      <c r="E154" s="150"/>
      <c r="F154" s="150"/>
      <c r="G154" s="150"/>
      <c r="H154" s="150"/>
      <c r="I154" s="150"/>
      <c r="J154" s="150"/>
      <c r="K154" s="150"/>
      <c r="L154" s="233"/>
      <c r="M154" s="227"/>
      <c r="N154" s="301">
        <f>SUM(N155:N156)</f>
        <v>0</v>
      </c>
      <c r="O154" s="302"/>
      <c r="P154" s="302"/>
      <c r="Q154" s="302"/>
      <c r="R154" s="143"/>
      <c r="T154" s="144"/>
      <c r="U154" s="141"/>
      <c r="V154" s="141"/>
      <c r="W154" s="145">
        <f>SUM(W155:W156)</f>
        <v>0.92</v>
      </c>
      <c r="X154" s="141"/>
      <c r="Y154" s="145">
        <f>SUM(Y155:Y156)</f>
        <v>0.01802</v>
      </c>
      <c r="Z154" s="141"/>
      <c r="AA154" s="146">
        <f>SUM(AA155:AA156)</f>
        <v>0</v>
      </c>
      <c r="AR154" s="147" t="s">
        <v>80</v>
      </c>
      <c r="AT154" s="148" t="s">
        <v>72</v>
      </c>
      <c r="AU154" s="148" t="s">
        <v>80</v>
      </c>
      <c r="AY154" s="147" t="s">
        <v>137</v>
      </c>
      <c r="BK154" s="149">
        <f>SUM(BK155:BK156)</f>
        <v>0</v>
      </c>
    </row>
    <row r="155" spans="2:65" s="1" customFormat="1" ht="25.5" customHeight="1">
      <c r="B155" s="33"/>
      <c r="C155" s="151">
        <v>10</v>
      </c>
      <c r="D155" s="151" t="s">
        <v>138</v>
      </c>
      <c r="E155" s="152" t="s">
        <v>182</v>
      </c>
      <c r="F155" s="312" t="s">
        <v>183</v>
      </c>
      <c r="G155" s="312"/>
      <c r="H155" s="312"/>
      <c r="I155" s="312"/>
      <c r="J155" s="153" t="s">
        <v>184</v>
      </c>
      <c r="K155" s="154">
        <v>1</v>
      </c>
      <c r="L155" s="233"/>
      <c r="M155" s="223"/>
      <c r="N155" s="307">
        <f>ROUND(L155*K155,2)</f>
        <v>0</v>
      </c>
      <c r="O155" s="307"/>
      <c r="P155" s="307"/>
      <c r="Q155" s="307"/>
      <c r="R155" s="35"/>
      <c r="T155" s="155" t="s">
        <v>19</v>
      </c>
      <c r="U155" s="42" t="s">
        <v>39</v>
      </c>
      <c r="V155" s="156">
        <v>0.92</v>
      </c>
      <c r="W155" s="156">
        <f>V155*K155</f>
        <v>0.92</v>
      </c>
      <c r="X155" s="156">
        <v>0.00702</v>
      </c>
      <c r="Y155" s="156">
        <f>X155*K155</f>
        <v>0.00702</v>
      </c>
      <c r="Z155" s="156">
        <v>0</v>
      </c>
      <c r="AA155" s="157">
        <f>Z155*K155</f>
        <v>0</v>
      </c>
      <c r="AR155" s="20" t="s">
        <v>142</v>
      </c>
      <c r="AT155" s="20" t="s">
        <v>138</v>
      </c>
      <c r="AU155" s="20" t="s">
        <v>96</v>
      </c>
      <c r="AY155" s="20" t="s">
        <v>137</v>
      </c>
      <c r="BE155" s="158">
        <f>IF(U155="základní",N155,0)</f>
        <v>0</v>
      </c>
      <c r="BF155" s="158">
        <f>IF(U155="snížená",N155,0)</f>
        <v>0</v>
      </c>
      <c r="BG155" s="158">
        <f>IF(U155="zákl. přenesená",N155,0)</f>
        <v>0</v>
      </c>
      <c r="BH155" s="158">
        <f>IF(U155="sníž. přenesená",N155,0)</f>
        <v>0</v>
      </c>
      <c r="BI155" s="158">
        <f>IF(U155="nulová",N155,0)</f>
        <v>0</v>
      </c>
      <c r="BJ155" s="20" t="s">
        <v>80</v>
      </c>
      <c r="BK155" s="158">
        <f>ROUND(L155*K155,2)</f>
        <v>0</v>
      </c>
      <c r="BL155" s="20" t="s">
        <v>142</v>
      </c>
      <c r="BM155" s="20" t="s">
        <v>185</v>
      </c>
    </row>
    <row r="156" spans="2:65" s="1" customFormat="1" ht="25.5" customHeight="1">
      <c r="B156" s="33"/>
      <c r="C156" s="175">
        <v>11</v>
      </c>
      <c r="D156" s="175" t="s">
        <v>149</v>
      </c>
      <c r="E156" s="176" t="s">
        <v>186</v>
      </c>
      <c r="F156" s="305" t="s">
        <v>187</v>
      </c>
      <c r="G156" s="305"/>
      <c r="H156" s="305"/>
      <c r="I156" s="305"/>
      <c r="J156" s="177" t="s">
        <v>184</v>
      </c>
      <c r="K156" s="178">
        <v>1</v>
      </c>
      <c r="L156" s="233"/>
      <c r="M156" s="226"/>
      <c r="N156" s="306">
        <f>ROUND(L156*K156,2)</f>
        <v>0</v>
      </c>
      <c r="O156" s="307"/>
      <c r="P156" s="307"/>
      <c r="Q156" s="307"/>
      <c r="R156" s="35"/>
      <c r="T156" s="155" t="s">
        <v>19</v>
      </c>
      <c r="U156" s="42" t="s">
        <v>39</v>
      </c>
      <c r="V156" s="156">
        <v>0</v>
      </c>
      <c r="W156" s="156">
        <f>V156*K156</f>
        <v>0</v>
      </c>
      <c r="X156" s="156">
        <v>0.011</v>
      </c>
      <c r="Y156" s="156">
        <f>X156*K156</f>
        <v>0.011</v>
      </c>
      <c r="Z156" s="156">
        <v>0</v>
      </c>
      <c r="AA156" s="157">
        <f>Z156*K156</f>
        <v>0</v>
      </c>
      <c r="AR156" s="20" t="s">
        <v>153</v>
      </c>
      <c r="AT156" s="20" t="s">
        <v>149</v>
      </c>
      <c r="AU156" s="20" t="s">
        <v>96</v>
      </c>
      <c r="AY156" s="20" t="s">
        <v>137</v>
      </c>
      <c r="BE156" s="158">
        <f>IF(U156="základní",N156,0)</f>
        <v>0</v>
      </c>
      <c r="BF156" s="158">
        <f>IF(U156="snížená",N156,0)</f>
        <v>0</v>
      </c>
      <c r="BG156" s="158">
        <f>IF(U156="zákl. přenesená",N156,0)</f>
        <v>0</v>
      </c>
      <c r="BH156" s="158">
        <f>IF(U156="sníž. přenesená",N156,0)</f>
        <v>0</v>
      </c>
      <c r="BI156" s="158">
        <f>IF(U156="nulová",N156,0)</f>
        <v>0</v>
      </c>
      <c r="BJ156" s="20" t="s">
        <v>80</v>
      </c>
      <c r="BK156" s="158">
        <f>ROUND(L156*K156,2)</f>
        <v>0</v>
      </c>
      <c r="BL156" s="20" t="s">
        <v>142</v>
      </c>
      <c r="BM156" s="20" t="s">
        <v>188</v>
      </c>
    </row>
    <row r="157" spans="2:63" s="9" customFormat="1" ht="29.85" customHeight="1">
      <c r="B157" s="140"/>
      <c r="C157" s="141"/>
      <c r="D157" s="150" t="s">
        <v>112</v>
      </c>
      <c r="E157" s="150"/>
      <c r="F157" s="150"/>
      <c r="G157" s="150"/>
      <c r="H157" s="150"/>
      <c r="I157" s="150"/>
      <c r="J157" s="150"/>
      <c r="K157" s="150"/>
      <c r="L157" s="233"/>
      <c r="M157" s="227"/>
      <c r="N157" s="313">
        <f>SUM(N158:N162)</f>
        <v>0</v>
      </c>
      <c r="O157" s="314"/>
      <c r="P157" s="314"/>
      <c r="Q157" s="314"/>
      <c r="R157" s="143"/>
      <c r="T157" s="144"/>
      <c r="U157" s="141"/>
      <c r="V157" s="141"/>
      <c r="W157" s="145">
        <f>SUM(W158:W163)</f>
        <v>22.878524</v>
      </c>
      <c r="X157" s="141"/>
      <c r="Y157" s="145">
        <f>SUM(Y158:Y163)</f>
        <v>0.00012000000000000002</v>
      </c>
      <c r="Z157" s="141"/>
      <c r="AA157" s="146">
        <f>SUM(AA158:AA163)</f>
        <v>18.12758</v>
      </c>
      <c r="AR157" s="147" t="s">
        <v>80</v>
      </c>
      <c r="AT157" s="148" t="s">
        <v>72</v>
      </c>
      <c r="AU157" s="148" t="s">
        <v>80</v>
      </c>
      <c r="AY157" s="147" t="s">
        <v>137</v>
      </c>
      <c r="BK157" s="149">
        <f>SUM(BK158:BK163)</f>
        <v>0</v>
      </c>
    </row>
    <row r="158" spans="2:65" s="1" customFormat="1" ht="38.25" customHeight="1">
      <c r="B158" s="33"/>
      <c r="C158" s="151">
        <v>12</v>
      </c>
      <c r="D158" s="151" t="s">
        <v>138</v>
      </c>
      <c r="E158" s="152" t="s">
        <v>189</v>
      </c>
      <c r="F158" s="312" t="s">
        <v>190</v>
      </c>
      <c r="G158" s="312"/>
      <c r="H158" s="312"/>
      <c r="I158" s="312"/>
      <c r="J158" s="153" t="s">
        <v>184</v>
      </c>
      <c r="K158" s="154">
        <v>12</v>
      </c>
      <c r="L158" s="233"/>
      <c r="M158" s="223"/>
      <c r="N158" s="307">
        <f>ROUND(L158*K158,2)</f>
        <v>0</v>
      </c>
      <c r="O158" s="307"/>
      <c r="P158" s="307"/>
      <c r="Q158" s="307"/>
      <c r="R158" s="35"/>
      <c r="T158" s="155" t="s">
        <v>19</v>
      </c>
      <c r="U158" s="42" t="s">
        <v>39</v>
      </c>
      <c r="V158" s="156">
        <v>0.104</v>
      </c>
      <c r="W158" s="156">
        <f>V158*K158</f>
        <v>1.248</v>
      </c>
      <c r="X158" s="156">
        <v>1E-05</v>
      </c>
      <c r="Y158" s="156">
        <f>X158*K158</f>
        <v>0.00012000000000000002</v>
      </c>
      <c r="Z158" s="156">
        <v>0</v>
      </c>
      <c r="AA158" s="157">
        <f>Z158*K158</f>
        <v>0</v>
      </c>
      <c r="AR158" s="20" t="s">
        <v>142</v>
      </c>
      <c r="AT158" s="20" t="s">
        <v>138</v>
      </c>
      <c r="AU158" s="20" t="s">
        <v>96</v>
      </c>
      <c r="AY158" s="20" t="s">
        <v>137</v>
      </c>
      <c r="BE158" s="158">
        <f>IF(U158="základní",N158,0)</f>
        <v>0</v>
      </c>
      <c r="BF158" s="158">
        <f>IF(U158="snížená",N158,0)</f>
        <v>0</v>
      </c>
      <c r="BG158" s="158">
        <f>IF(U158="zákl. přenesená",N158,0)</f>
        <v>0</v>
      </c>
      <c r="BH158" s="158">
        <f>IF(U158="sníž. přenesená",N158,0)</f>
        <v>0</v>
      </c>
      <c r="BI158" s="158">
        <f>IF(U158="nulová",N158,0)</f>
        <v>0</v>
      </c>
      <c r="BJ158" s="20" t="s">
        <v>80</v>
      </c>
      <c r="BK158" s="158">
        <f>ROUND(L158*K158,2)</f>
        <v>0</v>
      </c>
      <c r="BL158" s="20" t="s">
        <v>142</v>
      </c>
      <c r="BM158" s="20" t="s">
        <v>191</v>
      </c>
    </row>
    <row r="159" spans="2:65" s="1" customFormat="1" ht="25.5" customHeight="1">
      <c r="B159" s="33"/>
      <c r="C159" s="151">
        <v>13</v>
      </c>
      <c r="D159" s="151" t="s">
        <v>138</v>
      </c>
      <c r="E159" s="152" t="s">
        <v>192</v>
      </c>
      <c r="F159" s="312" t="s">
        <v>193</v>
      </c>
      <c r="G159" s="312"/>
      <c r="H159" s="312"/>
      <c r="I159" s="312"/>
      <c r="J159" s="153" t="s">
        <v>141</v>
      </c>
      <c r="K159" s="154">
        <v>7.634</v>
      </c>
      <c r="L159" s="233"/>
      <c r="M159" s="223"/>
      <c r="N159" s="307">
        <f>ROUND(L159*K159,2)</f>
        <v>0</v>
      </c>
      <c r="O159" s="307"/>
      <c r="P159" s="307"/>
      <c r="Q159" s="307"/>
      <c r="R159" s="35"/>
      <c r="T159" s="155" t="s">
        <v>19</v>
      </c>
      <c r="U159" s="42" t="s">
        <v>39</v>
      </c>
      <c r="V159" s="156">
        <v>1.586</v>
      </c>
      <c r="W159" s="156">
        <f>V159*K159</f>
        <v>12.107524000000002</v>
      </c>
      <c r="X159" s="156">
        <v>0</v>
      </c>
      <c r="Y159" s="156">
        <f>X159*K159</f>
        <v>0</v>
      </c>
      <c r="Z159" s="156">
        <v>2.27</v>
      </c>
      <c r="AA159" s="157">
        <f>Z159*K159</f>
        <v>17.32918</v>
      </c>
      <c r="AR159" s="20" t="s">
        <v>142</v>
      </c>
      <c r="AT159" s="20" t="s">
        <v>138</v>
      </c>
      <c r="AU159" s="20" t="s">
        <v>96</v>
      </c>
      <c r="AY159" s="20" t="s">
        <v>137</v>
      </c>
      <c r="BE159" s="158">
        <f>IF(U159="základní",N159,0)</f>
        <v>0</v>
      </c>
      <c r="BF159" s="158">
        <f>IF(U159="snížená",N159,0)</f>
        <v>0</v>
      </c>
      <c r="BG159" s="158">
        <f>IF(U159="zákl. přenesená",N159,0)</f>
        <v>0</v>
      </c>
      <c r="BH159" s="158">
        <f>IF(U159="sníž. přenesená",N159,0)</f>
        <v>0</v>
      </c>
      <c r="BI159" s="158">
        <f>IF(U159="nulová",N159,0)</f>
        <v>0</v>
      </c>
      <c r="BJ159" s="20" t="s">
        <v>80</v>
      </c>
      <c r="BK159" s="158">
        <f>ROUND(L159*K159,2)</f>
        <v>0</v>
      </c>
      <c r="BL159" s="20" t="s">
        <v>142</v>
      </c>
      <c r="BM159" s="20" t="s">
        <v>194</v>
      </c>
    </row>
    <row r="160" spans="2:51" s="10" customFormat="1" ht="16.5" customHeight="1">
      <c r="B160" s="159"/>
      <c r="C160" s="160"/>
      <c r="D160" s="160"/>
      <c r="E160" s="161" t="s">
        <v>19</v>
      </c>
      <c r="F160" s="308" t="s">
        <v>195</v>
      </c>
      <c r="G160" s="309"/>
      <c r="H160" s="309"/>
      <c r="I160" s="309"/>
      <c r="J160" s="160"/>
      <c r="K160" s="162">
        <v>7.634</v>
      </c>
      <c r="L160" s="233"/>
      <c r="M160" s="224"/>
      <c r="N160" s="160"/>
      <c r="O160" s="160"/>
      <c r="P160" s="160"/>
      <c r="Q160" s="160"/>
      <c r="R160" s="163"/>
      <c r="T160" s="164"/>
      <c r="U160" s="160"/>
      <c r="V160" s="160"/>
      <c r="W160" s="160"/>
      <c r="X160" s="160"/>
      <c r="Y160" s="160"/>
      <c r="Z160" s="160"/>
      <c r="AA160" s="165"/>
      <c r="AT160" s="166" t="s">
        <v>145</v>
      </c>
      <c r="AU160" s="166" t="s">
        <v>96</v>
      </c>
      <c r="AV160" s="10" t="s">
        <v>96</v>
      </c>
      <c r="AW160" s="10" t="s">
        <v>33</v>
      </c>
      <c r="AX160" s="10" t="s">
        <v>80</v>
      </c>
      <c r="AY160" s="166" t="s">
        <v>137</v>
      </c>
    </row>
    <row r="161" spans="2:65" s="1" customFormat="1" ht="38.25" customHeight="1">
      <c r="B161" s="33"/>
      <c r="C161" s="151">
        <v>14</v>
      </c>
      <c r="D161" s="151" t="s">
        <v>138</v>
      </c>
      <c r="E161" s="152" t="s">
        <v>196</v>
      </c>
      <c r="F161" s="312" t="s">
        <v>197</v>
      </c>
      <c r="G161" s="312"/>
      <c r="H161" s="312"/>
      <c r="I161" s="312"/>
      <c r="J161" s="153" t="s">
        <v>184</v>
      </c>
      <c r="K161" s="154">
        <v>1</v>
      </c>
      <c r="L161" s="233"/>
      <c r="M161" s="223"/>
      <c r="N161" s="307">
        <f>ROUND(L161*K161,2)</f>
        <v>0</v>
      </c>
      <c r="O161" s="307"/>
      <c r="P161" s="307"/>
      <c r="Q161" s="307"/>
      <c r="R161" s="35"/>
      <c r="T161" s="155" t="s">
        <v>19</v>
      </c>
      <c r="U161" s="42" t="s">
        <v>39</v>
      </c>
      <c r="V161" s="156">
        <v>1.585</v>
      </c>
      <c r="W161" s="156">
        <f>V161*K161</f>
        <v>1.585</v>
      </c>
      <c r="X161" s="156">
        <v>0</v>
      </c>
      <c r="Y161" s="156">
        <f>X161*K161</f>
        <v>0</v>
      </c>
      <c r="Z161" s="156">
        <v>0.685</v>
      </c>
      <c r="AA161" s="157">
        <f>Z161*K161</f>
        <v>0.685</v>
      </c>
      <c r="AR161" s="20" t="s">
        <v>142</v>
      </c>
      <c r="AT161" s="20" t="s">
        <v>138</v>
      </c>
      <c r="AU161" s="20" t="s">
        <v>96</v>
      </c>
      <c r="AY161" s="20" t="s">
        <v>137</v>
      </c>
      <c r="BE161" s="158">
        <f>IF(U161="základní",N161,0)</f>
        <v>0</v>
      </c>
      <c r="BF161" s="158">
        <f>IF(U161="snížená",N161,0)</f>
        <v>0</v>
      </c>
      <c r="BG161" s="158">
        <f>IF(U161="zákl. přenesená",N161,0)</f>
        <v>0</v>
      </c>
      <c r="BH161" s="158">
        <f>IF(U161="sníž. přenesená",N161,0)</f>
        <v>0</v>
      </c>
      <c r="BI161" s="158">
        <f>IF(U161="nulová",N161,0)</f>
        <v>0</v>
      </c>
      <c r="BJ161" s="20" t="s">
        <v>80</v>
      </c>
      <c r="BK161" s="158">
        <f>ROUND(L161*K161,2)</f>
        <v>0</v>
      </c>
      <c r="BL161" s="20" t="s">
        <v>142</v>
      </c>
      <c r="BM161" s="20" t="s">
        <v>198</v>
      </c>
    </row>
    <row r="162" spans="2:65" s="1" customFormat="1" ht="38.25" customHeight="1">
      <c r="B162" s="33"/>
      <c r="C162" s="151">
        <v>15</v>
      </c>
      <c r="D162" s="151" t="s">
        <v>138</v>
      </c>
      <c r="E162" s="152" t="s">
        <v>214</v>
      </c>
      <c r="F162" s="312" t="s">
        <v>215</v>
      </c>
      <c r="G162" s="312"/>
      <c r="H162" s="312"/>
      <c r="I162" s="312"/>
      <c r="J162" s="153" t="s">
        <v>162</v>
      </c>
      <c r="K162" s="154">
        <v>12.6</v>
      </c>
      <c r="L162" s="233"/>
      <c r="M162" s="223"/>
      <c r="N162" s="307">
        <f>ROUND(L162*K162,2)</f>
        <v>0</v>
      </c>
      <c r="O162" s="307"/>
      <c r="P162" s="307"/>
      <c r="Q162" s="307"/>
      <c r="R162" s="35"/>
      <c r="T162" s="155" t="s">
        <v>19</v>
      </c>
      <c r="U162" s="42" t="s">
        <v>39</v>
      </c>
      <c r="V162" s="156">
        <v>0.63</v>
      </c>
      <c r="W162" s="156">
        <f>V162*K162</f>
        <v>7.938</v>
      </c>
      <c r="X162" s="156">
        <v>0</v>
      </c>
      <c r="Y162" s="156">
        <f>X162*K162</f>
        <v>0</v>
      </c>
      <c r="Z162" s="156">
        <v>0.009</v>
      </c>
      <c r="AA162" s="157">
        <f>Z162*K162</f>
        <v>0.11339999999999999</v>
      </c>
      <c r="AR162" s="20" t="s">
        <v>142</v>
      </c>
      <c r="AT162" s="20" t="s">
        <v>138</v>
      </c>
      <c r="AU162" s="20" t="s">
        <v>96</v>
      </c>
      <c r="AY162" s="20" t="s">
        <v>137</v>
      </c>
      <c r="BE162" s="158">
        <f>IF(U162="základní",N162,0)</f>
        <v>0</v>
      </c>
      <c r="BF162" s="158">
        <f>IF(U162="snížená",N162,0)</f>
        <v>0</v>
      </c>
      <c r="BG162" s="158">
        <f>IF(U162="zákl. přenesená",N162,0)</f>
        <v>0</v>
      </c>
      <c r="BH162" s="158">
        <f>IF(U162="sníž. přenesená",N162,0)</f>
        <v>0</v>
      </c>
      <c r="BI162" s="158">
        <f>IF(U162="nulová",N162,0)</f>
        <v>0</v>
      </c>
      <c r="BJ162" s="20" t="s">
        <v>80</v>
      </c>
      <c r="BK162" s="158">
        <f>ROUND(L162*K162,2)</f>
        <v>0</v>
      </c>
      <c r="BL162" s="20" t="s">
        <v>142</v>
      </c>
      <c r="BM162" s="20" t="s">
        <v>216</v>
      </c>
    </row>
    <row r="163" spans="2:51" s="10" customFormat="1" ht="16.5" customHeight="1">
      <c r="B163" s="159"/>
      <c r="C163" s="160"/>
      <c r="D163" s="160"/>
      <c r="E163" s="161" t="s">
        <v>19</v>
      </c>
      <c r="F163" s="308" t="s">
        <v>181</v>
      </c>
      <c r="G163" s="309"/>
      <c r="H163" s="309"/>
      <c r="I163" s="309"/>
      <c r="J163" s="160"/>
      <c r="K163" s="162">
        <v>12.6</v>
      </c>
      <c r="L163" s="233"/>
      <c r="M163" s="224"/>
      <c r="N163" s="160"/>
      <c r="O163" s="160"/>
      <c r="P163" s="160"/>
      <c r="Q163" s="160"/>
      <c r="R163" s="163"/>
      <c r="T163" s="164"/>
      <c r="U163" s="160"/>
      <c r="V163" s="160"/>
      <c r="W163" s="160"/>
      <c r="X163" s="160"/>
      <c r="Y163" s="160"/>
      <c r="Z163" s="160"/>
      <c r="AA163" s="165"/>
      <c r="AT163" s="166" t="s">
        <v>145</v>
      </c>
      <c r="AU163" s="166" t="s">
        <v>96</v>
      </c>
      <c r="AV163" s="10" t="s">
        <v>96</v>
      </c>
      <c r="AW163" s="10" t="s">
        <v>33</v>
      </c>
      <c r="AX163" s="10" t="s">
        <v>80</v>
      </c>
      <c r="AY163" s="166" t="s">
        <v>137</v>
      </c>
    </row>
    <row r="164" spans="2:63" s="9" customFormat="1" ht="29.85" customHeight="1">
      <c r="B164" s="140"/>
      <c r="C164" s="141"/>
      <c r="D164" s="150" t="s">
        <v>113</v>
      </c>
      <c r="E164" s="150"/>
      <c r="F164" s="150"/>
      <c r="G164" s="150"/>
      <c r="H164" s="150"/>
      <c r="I164" s="150"/>
      <c r="J164" s="150"/>
      <c r="K164" s="150"/>
      <c r="L164" s="233"/>
      <c r="M164" s="227"/>
      <c r="N164" s="301">
        <f>SUM(N165:N168)</f>
        <v>0</v>
      </c>
      <c r="O164" s="302"/>
      <c r="P164" s="302"/>
      <c r="Q164" s="302"/>
      <c r="R164" s="143"/>
      <c r="T164" s="144"/>
      <c r="U164" s="141"/>
      <c r="V164" s="141"/>
      <c r="W164" s="145">
        <f>SUM(W165:W168)</f>
        <v>35.954854</v>
      </c>
      <c r="X164" s="141"/>
      <c r="Y164" s="145">
        <f>SUM(Y165:Y168)</f>
        <v>0</v>
      </c>
      <c r="Z164" s="141"/>
      <c r="AA164" s="146">
        <f>SUM(AA165:AA168)</f>
        <v>0</v>
      </c>
      <c r="AR164" s="147" t="s">
        <v>80</v>
      </c>
      <c r="AT164" s="148" t="s">
        <v>72</v>
      </c>
      <c r="AU164" s="148" t="s">
        <v>80</v>
      </c>
      <c r="AY164" s="147" t="s">
        <v>137</v>
      </c>
      <c r="BK164" s="149">
        <f>SUM(BK165:BK168)</f>
        <v>0</v>
      </c>
    </row>
    <row r="165" spans="2:65" s="1" customFormat="1" ht="25.5" customHeight="1">
      <c r="B165" s="33"/>
      <c r="C165" s="151">
        <v>16</v>
      </c>
      <c r="D165" s="151" t="s">
        <v>138</v>
      </c>
      <c r="E165" s="152" t="s">
        <v>217</v>
      </c>
      <c r="F165" s="312" t="s">
        <v>218</v>
      </c>
      <c r="G165" s="312"/>
      <c r="H165" s="312"/>
      <c r="I165" s="312"/>
      <c r="J165" s="153" t="s">
        <v>152</v>
      </c>
      <c r="K165" s="154">
        <f>K166+K167</f>
        <v>18.707</v>
      </c>
      <c r="L165" s="233"/>
      <c r="M165" s="223"/>
      <c r="N165" s="307">
        <f>ROUND(L165*K165,2)</f>
        <v>0</v>
      </c>
      <c r="O165" s="307"/>
      <c r="P165" s="307"/>
      <c r="Q165" s="307"/>
      <c r="R165" s="35"/>
      <c r="T165" s="155" t="s">
        <v>19</v>
      </c>
      <c r="U165" s="42" t="s">
        <v>39</v>
      </c>
      <c r="V165" s="156">
        <v>0.125</v>
      </c>
      <c r="W165" s="156">
        <f>V165*K165</f>
        <v>2.338375</v>
      </c>
      <c r="X165" s="156">
        <v>0</v>
      </c>
      <c r="Y165" s="156">
        <f>X165*K165</f>
        <v>0</v>
      </c>
      <c r="Z165" s="156">
        <v>0</v>
      </c>
      <c r="AA165" s="157">
        <f>Z165*K165</f>
        <v>0</v>
      </c>
      <c r="AR165" s="20" t="s">
        <v>142</v>
      </c>
      <c r="AT165" s="20" t="s">
        <v>138</v>
      </c>
      <c r="AU165" s="20" t="s">
        <v>96</v>
      </c>
      <c r="AY165" s="20" t="s">
        <v>137</v>
      </c>
      <c r="BE165" s="158">
        <f>IF(U165="základní",N165,0)</f>
        <v>0</v>
      </c>
      <c r="BF165" s="158">
        <f>IF(U165="snížená",N165,0)</f>
        <v>0</v>
      </c>
      <c r="BG165" s="158">
        <f>IF(U165="zákl. přenesená",N165,0)</f>
        <v>0</v>
      </c>
      <c r="BH165" s="158">
        <f>IF(U165="sníž. přenesená",N165,0)</f>
        <v>0</v>
      </c>
      <c r="BI165" s="158">
        <f>IF(U165="nulová",N165,0)</f>
        <v>0</v>
      </c>
      <c r="BJ165" s="20" t="s">
        <v>80</v>
      </c>
      <c r="BK165" s="158">
        <f>ROUND(L165*K165,2)</f>
        <v>0</v>
      </c>
      <c r="BL165" s="20" t="s">
        <v>142</v>
      </c>
      <c r="BM165" s="20" t="s">
        <v>219</v>
      </c>
    </row>
    <row r="166" spans="2:65" s="1" customFormat="1" ht="25.5" customHeight="1">
      <c r="B166" s="33"/>
      <c r="C166" s="151">
        <v>17</v>
      </c>
      <c r="D166" s="151" t="s">
        <v>138</v>
      </c>
      <c r="E166" s="152" t="s">
        <v>220</v>
      </c>
      <c r="F166" s="312" t="s">
        <v>502</v>
      </c>
      <c r="G166" s="312"/>
      <c r="H166" s="312"/>
      <c r="I166" s="312"/>
      <c r="J166" s="153" t="s">
        <v>152</v>
      </c>
      <c r="K166" s="154">
        <v>18.457</v>
      </c>
      <c r="L166" s="233"/>
      <c r="M166" s="223"/>
      <c r="N166" s="307">
        <f>ROUND(L166*K166,2)</f>
        <v>0</v>
      </c>
      <c r="O166" s="307"/>
      <c r="P166" s="307"/>
      <c r="Q166" s="307"/>
      <c r="R166" s="35"/>
      <c r="T166" s="155" t="s">
        <v>19</v>
      </c>
      <c r="U166" s="42" t="s">
        <v>39</v>
      </c>
      <c r="V166" s="156">
        <v>0</v>
      </c>
      <c r="W166" s="156">
        <f>V166*K166</f>
        <v>0</v>
      </c>
      <c r="X166" s="156">
        <v>0</v>
      </c>
      <c r="Y166" s="156">
        <f>X166*K166</f>
        <v>0</v>
      </c>
      <c r="Z166" s="156">
        <v>0</v>
      </c>
      <c r="AA166" s="157">
        <f>Z166*K166</f>
        <v>0</v>
      </c>
      <c r="AR166" s="20" t="s">
        <v>142</v>
      </c>
      <c r="AT166" s="20" t="s">
        <v>138</v>
      </c>
      <c r="AU166" s="20" t="s">
        <v>96</v>
      </c>
      <c r="AY166" s="20" t="s">
        <v>137</v>
      </c>
      <c r="BE166" s="158">
        <f>IF(U166="základní",N166,0)</f>
        <v>0</v>
      </c>
      <c r="BF166" s="158">
        <f>IF(U166="snížená",N166,0)</f>
        <v>0</v>
      </c>
      <c r="BG166" s="158">
        <f>IF(U166="zákl. přenesená",N166,0)</f>
        <v>0</v>
      </c>
      <c r="BH166" s="158">
        <f>IF(U166="sníž. přenesená",N166,0)</f>
        <v>0</v>
      </c>
      <c r="BI166" s="158">
        <f>IF(U166="nulová",N166,0)</f>
        <v>0</v>
      </c>
      <c r="BJ166" s="20" t="s">
        <v>80</v>
      </c>
      <c r="BK166" s="158">
        <f>ROUND(L166*K166,2)</f>
        <v>0</v>
      </c>
      <c r="BL166" s="20" t="s">
        <v>142</v>
      </c>
      <c r="BM166" s="20" t="s">
        <v>221</v>
      </c>
    </row>
    <row r="167" spans="2:65" s="1" customFormat="1" ht="25.5" customHeight="1">
      <c r="B167" s="33"/>
      <c r="C167" s="151">
        <v>18</v>
      </c>
      <c r="D167" s="151" t="s">
        <v>138</v>
      </c>
      <c r="E167" s="152"/>
      <c r="F167" s="312" t="s">
        <v>501</v>
      </c>
      <c r="G167" s="312"/>
      <c r="H167" s="312"/>
      <c r="I167" s="312"/>
      <c r="J167" s="153" t="s">
        <v>152</v>
      </c>
      <c r="K167" s="154">
        <v>0.25</v>
      </c>
      <c r="L167" s="233"/>
      <c r="M167" s="223"/>
      <c r="N167" s="307">
        <f>ROUND(L167*K167,2)</f>
        <v>0</v>
      </c>
      <c r="O167" s="307"/>
      <c r="P167" s="307"/>
      <c r="Q167" s="307"/>
      <c r="R167" s="35"/>
      <c r="T167" s="155" t="s">
        <v>19</v>
      </c>
      <c r="U167" s="42" t="s">
        <v>39</v>
      </c>
      <c r="V167" s="156">
        <v>0</v>
      </c>
      <c r="W167" s="156">
        <f>V167*K167</f>
        <v>0</v>
      </c>
      <c r="X167" s="156">
        <v>0</v>
      </c>
      <c r="Y167" s="156">
        <f>X167*K167</f>
        <v>0</v>
      </c>
      <c r="Z167" s="156">
        <v>0</v>
      </c>
      <c r="AA167" s="157">
        <f>Z167*K167</f>
        <v>0</v>
      </c>
      <c r="AR167" s="20" t="s">
        <v>142</v>
      </c>
      <c r="AT167" s="20" t="s">
        <v>138</v>
      </c>
      <c r="AU167" s="20" t="s">
        <v>96</v>
      </c>
      <c r="AY167" s="20" t="s">
        <v>137</v>
      </c>
      <c r="BE167" s="158">
        <f>IF(U167="základní",N167,0)</f>
        <v>0</v>
      </c>
      <c r="BF167" s="158">
        <f>IF(U167="snížená",N167,0)</f>
        <v>0</v>
      </c>
      <c r="BG167" s="158">
        <f>IF(U167="zákl. přenesená",N167,0)</f>
        <v>0</v>
      </c>
      <c r="BH167" s="158">
        <f>IF(U167="sníž. přenesená",N167,0)</f>
        <v>0</v>
      </c>
      <c r="BI167" s="158">
        <f>IF(U167="nulová",N167,0)</f>
        <v>0</v>
      </c>
      <c r="BJ167" s="20" t="s">
        <v>80</v>
      </c>
      <c r="BK167" s="158">
        <f>ROUND(L167*K167,2)</f>
        <v>0</v>
      </c>
      <c r="BL167" s="20" t="s">
        <v>142</v>
      </c>
      <c r="BM167" s="20" t="s">
        <v>222</v>
      </c>
    </row>
    <row r="168" spans="2:65" s="1" customFormat="1" ht="25.5" customHeight="1">
      <c r="B168" s="33"/>
      <c r="C168" s="151">
        <v>19</v>
      </c>
      <c r="D168" s="151" t="s">
        <v>138</v>
      </c>
      <c r="E168" s="152" t="s">
        <v>223</v>
      </c>
      <c r="F168" s="312" t="s">
        <v>500</v>
      </c>
      <c r="G168" s="312"/>
      <c r="H168" s="312"/>
      <c r="I168" s="312"/>
      <c r="J168" s="153" t="s">
        <v>152</v>
      </c>
      <c r="K168" s="154">
        <f>K165</f>
        <v>18.707</v>
      </c>
      <c r="L168" s="233"/>
      <c r="M168" s="223"/>
      <c r="N168" s="307">
        <f>ROUND(L168*K168,2)</f>
        <v>0</v>
      </c>
      <c r="O168" s="307"/>
      <c r="P168" s="307"/>
      <c r="Q168" s="307"/>
      <c r="R168" s="35"/>
      <c r="T168" s="155" t="s">
        <v>19</v>
      </c>
      <c r="U168" s="42" t="s">
        <v>39</v>
      </c>
      <c r="V168" s="156">
        <v>1.797</v>
      </c>
      <c r="W168" s="156">
        <f>V168*K168</f>
        <v>33.616479</v>
      </c>
      <c r="X168" s="156">
        <v>0</v>
      </c>
      <c r="Y168" s="156">
        <f>X168*K168</f>
        <v>0</v>
      </c>
      <c r="Z168" s="156">
        <v>0</v>
      </c>
      <c r="AA168" s="157">
        <f>Z168*K168</f>
        <v>0</v>
      </c>
      <c r="AR168" s="20" t="s">
        <v>142</v>
      </c>
      <c r="AT168" s="20" t="s">
        <v>138</v>
      </c>
      <c r="AU168" s="20" t="s">
        <v>96</v>
      </c>
      <c r="AY168" s="20" t="s">
        <v>137</v>
      </c>
      <c r="BE168" s="158">
        <f>IF(U168="základní",N168,0)</f>
        <v>0</v>
      </c>
      <c r="BF168" s="158">
        <f>IF(U168="snížená",N168,0)</f>
        <v>0</v>
      </c>
      <c r="BG168" s="158">
        <f>IF(U168="zákl. přenesená",N168,0)</f>
        <v>0</v>
      </c>
      <c r="BH168" s="158">
        <f>IF(U168="sníž. přenesená",N168,0)</f>
        <v>0</v>
      </c>
      <c r="BI168" s="158">
        <f>IF(U168="nulová",N168,0)</f>
        <v>0</v>
      </c>
      <c r="BJ168" s="20" t="s">
        <v>80</v>
      </c>
      <c r="BK168" s="158">
        <f>ROUND(L168*K168,2)</f>
        <v>0</v>
      </c>
      <c r="BL168" s="20" t="s">
        <v>142</v>
      </c>
      <c r="BM168" s="20" t="s">
        <v>225</v>
      </c>
    </row>
    <row r="169" spans="2:63" s="9" customFormat="1" ht="37.35" customHeight="1">
      <c r="B169" s="140"/>
      <c r="C169" s="141"/>
      <c r="D169" s="142" t="s">
        <v>114</v>
      </c>
      <c r="E169" s="142"/>
      <c r="F169" s="142"/>
      <c r="G169" s="142"/>
      <c r="H169" s="142"/>
      <c r="I169" s="142"/>
      <c r="J169" s="142"/>
      <c r="K169" s="142"/>
      <c r="L169" s="233"/>
      <c r="M169" s="228"/>
      <c r="N169" s="315">
        <f>N170+N184+N188+N190+N193+N196+N201+N203</f>
        <v>0</v>
      </c>
      <c r="O169" s="316"/>
      <c r="P169" s="316"/>
      <c r="Q169" s="316"/>
      <c r="R169" s="143"/>
      <c r="T169" s="144"/>
      <c r="U169" s="141"/>
      <c r="V169" s="141"/>
      <c r="W169" s="145">
        <f>W170+W188+W190+W193+W196+W201+W203</f>
        <v>8.383201</v>
      </c>
      <c r="X169" s="141"/>
      <c r="Y169" s="145">
        <f>Y170+Y188+Y190+Y193+Y196+Y201+Y203</f>
        <v>0.04519565</v>
      </c>
      <c r="Z169" s="141"/>
      <c r="AA169" s="146">
        <f>AA170+AA188+AA190+AA193+AA196+AA201+AA203</f>
        <v>0.329642</v>
      </c>
      <c r="AR169" s="147" t="s">
        <v>96</v>
      </c>
      <c r="AT169" s="148" t="s">
        <v>72</v>
      </c>
      <c r="AU169" s="148" t="s">
        <v>73</v>
      </c>
      <c r="AY169" s="147" t="s">
        <v>137</v>
      </c>
      <c r="BK169" s="149">
        <f>BK170+BK188+BK190+BK193+BK196+BK201+BK203</f>
        <v>0</v>
      </c>
    </row>
    <row r="170" spans="2:63" s="9" customFormat="1" ht="19.9" customHeight="1">
      <c r="B170" s="140"/>
      <c r="C170" s="141"/>
      <c r="D170" s="150" t="s">
        <v>115</v>
      </c>
      <c r="E170" s="150"/>
      <c r="F170" s="150"/>
      <c r="G170" s="150"/>
      <c r="H170" s="150"/>
      <c r="I170" s="150"/>
      <c r="J170" s="150"/>
      <c r="K170" s="150"/>
      <c r="L170" s="233"/>
      <c r="M170" s="227"/>
      <c r="N170" s="301">
        <f>SUM(N171:N182)</f>
        <v>0</v>
      </c>
      <c r="O170" s="302"/>
      <c r="P170" s="302"/>
      <c r="Q170" s="302"/>
      <c r="R170" s="143"/>
      <c r="T170" s="144"/>
      <c r="U170" s="141"/>
      <c r="V170" s="141"/>
      <c r="W170" s="145">
        <f>SUM(W171:W179)</f>
        <v>2.652601</v>
      </c>
      <c r="X170" s="141"/>
      <c r="Y170" s="145">
        <f>SUM(Y171:Y179)</f>
        <v>0.04519565</v>
      </c>
      <c r="Z170" s="141"/>
      <c r="AA170" s="146">
        <f>SUM(AA171:AA179)</f>
        <v>0</v>
      </c>
      <c r="AR170" s="147" t="s">
        <v>96</v>
      </c>
      <c r="AT170" s="148" t="s">
        <v>72</v>
      </c>
      <c r="AU170" s="148" t="s">
        <v>80</v>
      </c>
      <c r="AY170" s="147" t="s">
        <v>137</v>
      </c>
      <c r="BK170" s="149">
        <f>SUM(BK171:BK179)</f>
        <v>0</v>
      </c>
    </row>
    <row r="171" spans="2:65" s="1" customFormat="1" ht="38.25" customHeight="1">
      <c r="B171" s="33"/>
      <c r="C171" s="151">
        <v>20</v>
      </c>
      <c r="D171" s="151" t="s">
        <v>138</v>
      </c>
      <c r="E171" s="152" t="s">
        <v>226</v>
      </c>
      <c r="F171" s="312" t="s">
        <v>227</v>
      </c>
      <c r="G171" s="312"/>
      <c r="H171" s="312"/>
      <c r="I171" s="312"/>
      <c r="J171" s="153" t="s">
        <v>162</v>
      </c>
      <c r="K171" s="154">
        <v>7.076</v>
      </c>
      <c r="L171" s="233"/>
      <c r="M171" s="223"/>
      <c r="N171" s="307">
        <f>ROUND(L171*K171,2)</f>
        <v>0</v>
      </c>
      <c r="O171" s="307"/>
      <c r="P171" s="307"/>
      <c r="Q171" s="307"/>
      <c r="R171" s="35"/>
      <c r="T171" s="155" t="s">
        <v>19</v>
      </c>
      <c r="U171" s="42" t="s">
        <v>39</v>
      </c>
      <c r="V171" s="156">
        <v>0.024</v>
      </c>
      <c r="W171" s="156">
        <f>V171*K171</f>
        <v>0.169824</v>
      </c>
      <c r="X171" s="156">
        <v>0</v>
      </c>
      <c r="Y171" s="156">
        <f>X171*K171</f>
        <v>0</v>
      </c>
      <c r="Z171" s="156">
        <v>0</v>
      </c>
      <c r="AA171" s="157">
        <f>Z171*K171</f>
        <v>0</v>
      </c>
      <c r="AR171" s="20" t="s">
        <v>169</v>
      </c>
      <c r="AT171" s="20" t="s">
        <v>138</v>
      </c>
      <c r="AU171" s="20" t="s">
        <v>96</v>
      </c>
      <c r="AY171" s="20" t="s">
        <v>137</v>
      </c>
      <c r="BE171" s="158">
        <f>IF(U171="základní",N171,0)</f>
        <v>0</v>
      </c>
      <c r="BF171" s="158">
        <f>IF(U171="snížená",N171,0)</f>
        <v>0</v>
      </c>
      <c r="BG171" s="158">
        <f>IF(U171="zákl. přenesená",N171,0)</f>
        <v>0</v>
      </c>
      <c r="BH171" s="158">
        <f>IF(U171="sníž. přenesená",N171,0)</f>
        <v>0</v>
      </c>
      <c r="BI171" s="158">
        <f>IF(U171="nulová",N171,0)</f>
        <v>0</v>
      </c>
      <c r="BJ171" s="20" t="s">
        <v>80</v>
      </c>
      <c r="BK171" s="158">
        <f>ROUND(L171*K171,2)</f>
        <v>0</v>
      </c>
      <c r="BL171" s="20" t="s">
        <v>169</v>
      </c>
      <c r="BM171" s="20" t="s">
        <v>228</v>
      </c>
    </row>
    <row r="172" spans="2:51" s="10" customFormat="1" ht="16.5" customHeight="1">
      <c r="B172" s="159"/>
      <c r="C172" s="160"/>
      <c r="D172" s="160"/>
      <c r="E172" s="161" t="s">
        <v>19</v>
      </c>
      <c r="F172" s="308" t="s">
        <v>210</v>
      </c>
      <c r="G172" s="309"/>
      <c r="H172" s="309"/>
      <c r="I172" s="309"/>
      <c r="J172" s="160"/>
      <c r="K172" s="162">
        <v>7.076</v>
      </c>
      <c r="L172" s="233"/>
      <c r="M172" s="224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145</v>
      </c>
      <c r="AU172" s="166" t="s">
        <v>96</v>
      </c>
      <c r="AV172" s="10" t="s">
        <v>96</v>
      </c>
      <c r="AW172" s="10" t="s">
        <v>33</v>
      </c>
      <c r="AX172" s="10" t="s">
        <v>80</v>
      </c>
      <c r="AY172" s="166" t="s">
        <v>137</v>
      </c>
    </row>
    <row r="173" spans="2:65" s="1" customFormat="1" ht="16.5" customHeight="1">
      <c r="B173" s="33"/>
      <c r="C173" s="175">
        <v>21</v>
      </c>
      <c r="D173" s="175" t="s">
        <v>149</v>
      </c>
      <c r="E173" s="176" t="s">
        <v>229</v>
      </c>
      <c r="F173" s="305" t="s">
        <v>230</v>
      </c>
      <c r="G173" s="305"/>
      <c r="H173" s="305"/>
      <c r="I173" s="305"/>
      <c r="J173" s="177" t="s">
        <v>152</v>
      </c>
      <c r="K173" s="178">
        <v>0.002</v>
      </c>
      <c r="L173" s="233"/>
      <c r="M173" s="226"/>
      <c r="N173" s="306">
        <f>ROUND(L173*K173,2)</f>
        <v>0</v>
      </c>
      <c r="O173" s="307"/>
      <c r="P173" s="307"/>
      <c r="Q173" s="307"/>
      <c r="R173" s="35"/>
      <c r="T173" s="155" t="s">
        <v>19</v>
      </c>
      <c r="U173" s="42" t="s">
        <v>39</v>
      </c>
      <c r="V173" s="156">
        <v>0</v>
      </c>
      <c r="W173" s="156">
        <f>V173*K173</f>
        <v>0</v>
      </c>
      <c r="X173" s="156">
        <v>1</v>
      </c>
      <c r="Y173" s="156">
        <f>X173*K173</f>
        <v>0.002</v>
      </c>
      <c r="Z173" s="156">
        <v>0</v>
      </c>
      <c r="AA173" s="157">
        <f>Z173*K173</f>
        <v>0</v>
      </c>
      <c r="AR173" s="20" t="s">
        <v>199</v>
      </c>
      <c r="AT173" s="20" t="s">
        <v>149</v>
      </c>
      <c r="AU173" s="20" t="s">
        <v>96</v>
      </c>
      <c r="AY173" s="20" t="s">
        <v>137</v>
      </c>
      <c r="BE173" s="158">
        <f>IF(U173="základní",N173,0)</f>
        <v>0</v>
      </c>
      <c r="BF173" s="158">
        <f>IF(U173="snížená",N173,0)</f>
        <v>0</v>
      </c>
      <c r="BG173" s="158">
        <f>IF(U173="zákl. přenesená",N173,0)</f>
        <v>0</v>
      </c>
      <c r="BH173" s="158">
        <f>IF(U173="sníž. přenesená",N173,0)</f>
        <v>0</v>
      </c>
      <c r="BI173" s="158">
        <f>IF(U173="nulová",N173,0)</f>
        <v>0</v>
      </c>
      <c r="BJ173" s="20" t="s">
        <v>80</v>
      </c>
      <c r="BK173" s="158">
        <f>ROUND(L173*K173,2)</f>
        <v>0</v>
      </c>
      <c r="BL173" s="20" t="s">
        <v>169</v>
      </c>
      <c r="BM173" s="20" t="s">
        <v>231</v>
      </c>
    </row>
    <row r="174" spans="2:65" s="1" customFormat="1" ht="25.5" customHeight="1">
      <c r="B174" s="33"/>
      <c r="C174" s="151">
        <v>22</v>
      </c>
      <c r="D174" s="151" t="s">
        <v>138</v>
      </c>
      <c r="E174" s="152" t="s">
        <v>232</v>
      </c>
      <c r="F174" s="312" t="s">
        <v>233</v>
      </c>
      <c r="G174" s="312"/>
      <c r="H174" s="312"/>
      <c r="I174" s="312"/>
      <c r="J174" s="153" t="s">
        <v>162</v>
      </c>
      <c r="K174" s="154">
        <v>7.783</v>
      </c>
      <c r="L174" s="233"/>
      <c r="M174" s="223"/>
      <c r="N174" s="307">
        <f>ROUND(L174*K174,2)</f>
        <v>0</v>
      </c>
      <c r="O174" s="307"/>
      <c r="P174" s="307"/>
      <c r="Q174" s="307"/>
      <c r="R174" s="35"/>
      <c r="T174" s="155" t="s">
        <v>19</v>
      </c>
      <c r="U174" s="42" t="s">
        <v>39</v>
      </c>
      <c r="V174" s="156">
        <v>0.222</v>
      </c>
      <c r="W174" s="156">
        <f>V174*K174</f>
        <v>1.727826</v>
      </c>
      <c r="X174" s="156">
        <v>0.0004</v>
      </c>
      <c r="Y174" s="156">
        <f>X174*K174</f>
        <v>0.0031132000000000004</v>
      </c>
      <c r="Z174" s="156">
        <v>0</v>
      </c>
      <c r="AA174" s="157">
        <f>Z174*K174</f>
        <v>0</v>
      </c>
      <c r="AR174" s="20" t="s">
        <v>169</v>
      </c>
      <c r="AT174" s="20" t="s">
        <v>138</v>
      </c>
      <c r="AU174" s="20" t="s">
        <v>96</v>
      </c>
      <c r="AY174" s="20" t="s">
        <v>137</v>
      </c>
      <c r="BE174" s="158">
        <f>IF(U174="základní",N174,0)</f>
        <v>0</v>
      </c>
      <c r="BF174" s="158">
        <f>IF(U174="snížená",N174,0)</f>
        <v>0</v>
      </c>
      <c r="BG174" s="158">
        <f>IF(U174="zákl. přenesená",N174,0)</f>
        <v>0</v>
      </c>
      <c r="BH174" s="158">
        <f>IF(U174="sníž. přenesená",N174,0)</f>
        <v>0</v>
      </c>
      <c r="BI174" s="158">
        <f>IF(U174="nulová",N174,0)</f>
        <v>0</v>
      </c>
      <c r="BJ174" s="20" t="s">
        <v>80</v>
      </c>
      <c r="BK174" s="158">
        <f>ROUND(L174*K174,2)</f>
        <v>0</v>
      </c>
      <c r="BL174" s="20" t="s">
        <v>169</v>
      </c>
      <c r="BM174" s="20" t="s">
        <v>234</v>
      </c>
    </row>
    <row r="175" spans="2:51" s="10" customFormat="1" ht="16.5" customHeight="1">
      <c r="B175" s="159"/>
      <c r="C175" s="160"/>
      <c r="D175" s="160"/>
      <c r="E175" s="161" t="s">
        <v>19</v>
      </c>
      <c r="F175" s="308" t="s">
        <v>235</v>
      </c>
      <c r="G175" s="309"/>
      <c r="H175" s="309"/>
      <c r="I175" s="309"/>
      <c r="J175" s="160"/>
      <c r="K175" s="162">
        <v>7.783</v>
      </c>
      <c r="L175" s="233"/>
      <c r="M175" s="224"/>
      <c r="N175" s="160"/>
      <c r="O175" s="160"/>
      <c r="P175" s="160"/>
      <c r="Q175" s="160"/>
      <c r="R175" s="163"/>
      <c r="T175" s="164"/>
      <c r="U175" s="160"/>
      <c r="V175" s="160"/>
      <c r="W175" s="160"/>
      <c r="X175" s="160"/>
      <c r="Y175" s="160"/>
      <c r="Z175" s="160"/>
      <c r="AA175" s="165"/>
      <c r="AT175" s="166" t="s">
        <v>145</v>
      </c>
      <c r="AU175" s="166" t="s">
        <v>96</v>
      </c>
      <c r="AV175" s="10" t="s">
        <v>96</v>
      </c>
      <c r="AW175" s="10" t="s">
        <v>33</v>
      </c>
      <c r="AX175" s="10" t="s">
        <v>80</v>
      </c>
      <c r="AY175" s="166" t="s">
        <v>137</v>
      </c>
    </row>
    <row r="176" spans="2:65" s="1" customFormat="1" ht="25.5" customHeight="1">
      <c r="B176" s="33"/>
      <c r="C176" s="175">
        <v>23</v>
      </c>
      <c r="D176" s="175" t="s">
        <v>149</v>
      </c>
      <c r="E176" s="176" t="s">
        <v>200</v>
      </c>
      <c r="F176" s="305" t="s">
        <v>201</v>
      </c>
      <c r="G176" s="305"/>
      <c r="H176" s="305"/>
      <c r="I176" s="305"/>
      <c r="J176" s="177" t="s">
        <v>162</v>
      </c>
      <c r="K176" s="178">
        <v>7.783</v>
      </c>
      <c r="L176" s="233"/>
      <c r="M176" s="226"/>
      <c r="N176" s="306">
        <f>ROUND(L176*K176,2)</f>
        <v>0</v>
      </c>
      <c r="O176" s="307"/>
      <c r="P176" s="307"/>
      <c r="Q176" s="307"/>
      <c r="R176" s="35"/>
      <c r="T176" s="155" t="s">
        <v>19</v>
      </c>
      <c r="U176" s="42" t="s">
        <v>39</v>
      </c>
      <c r="V176" s="156">
        <v>0</v>
      </c>
      <c r="W176" s="156">
        <f>V176*K176</f>
        <v>0</v>
      </c>
      <c r="X176" s="156">
        <v>0.0043</v>
      </c>
      <c r="Y176" s="156">
        <f>X176*K176</f>
        <v>0.0334669</v>
      </c>
      <c r="Z176" s="156">
        <v>0</v>
      </c>
      <c r="AA176" s="157">
        <f>Z176*K176</f>
        <v>0</v>
      </c>
      <c r="AR176" s="20" t="s">
        <v>153</v>
      </c>
      <c r="AT176" s="20" t="s">
        <v>149</v>
      </c>
      <c r="AU176" s="20" t="s">
        <v>96</v>
      </c>
      <c r="AY176" s="20" t="s">
        <v>137</v>
      </c>
      <c r="BE176" s="158">
        <f>IF(U176="základní",N176,0)</f>
        <v>0</v>
      </c>
      <c r="BF176" s="158">
        <f>IF(U176="snížená",N176,0)</f>
        <v>0</v>
      </c>
      <c r="BG176" s="158">
        <f>IF(U176="zákl. přenesená",N176,0)</f>
        <v>0</v>
      </c>
      <c r="BH176" s="158">
        <f>IF(U176="sníž. přenesená",N176,0)</f>
        <v>0</v>
      </c>
      <c r="BI176" s="158">
        <f>IF(U176="nulová",N176,0)</f>
        <v>0</v>
      </c>
      <c r="BJ176" s="20" t="s">
        <v>80</v>
      </c>
      <c r="BK176" s="158">
        <f>ROUND(L176*K176,2)</f>
        <v>0</v>
      </c>
      <c r="BL176" s="20" t="s">
        <v>142</v>
      </c>
      <c r="BM176" s="20" t="s">
        <v>202</v>
      </c>
    </row>
    <row r="177" spans="2:51" s="10" customFormat="1" ht="16.5" customHeight="1">
      <c r="B177" s="159"/>
      <c r="C177" s="160"/>
      <c r="D177" s="160"/>
      <c r="E177" s="161" t="s">
        <v>19</v>
      </c>
      <c r="F177" s="308" t="s">
        <v>203</v>
      </c>
      <c r="G177" s="309"/>
      <c r="H177" s="309"/>
      <c r="I177" s="309"/>
      <c r="J177" s="160"/>
      <c r="K177" s="162">
        <v>7.783</v>
      </c>
      <c r="L177" s="233"/>
      <c r="M177" s="224"/>
      <c r="N177" s="160"/>
      <c r="O177" s="160"/>
      <c r="P177" s="160"/>
      <c r="Q177" s="160"/>
      <c r="R177" s="163"/>
      <c r="T177" s="164"/>
      <c r="U177" s="160"/>
      <c r="V177" s="160"/>
      <c r="W177" s="160"/>
      <c r="X177" s="160"/>
      <c r="Y177" s="160"/>
      <c r="Z177" s="160"/>
      <c r="AA177" s="165"/>
      <c r="AT177" s="166" t="s">
        <v>145</v>
      </c>
      <c r="AU177" s="166" t="s">
        <v>96</v>
      </c>
      <c r="AV177" s="10" t="s">
        <v>96</v>
      </c>
      <c r="AW177" s="10" t="s">
        <v>33</v>
      </c>
      <c r="AX177" s="10" t="s">
        <v>80</v>
      </c>
      <c r="AY177" s="166" t="s">
        <v>137</v>
      </c>
    </row>
    <row r="178" spans="2:65" s="1" customFormat="1" ht="38.25" customHeight="1">
      <c r="B178" s="33"/>
      <c r="C178" s="151">
        <v>24</v>
      </c>
      <c r="D178" s="151" t="s">
        <v>138</v>
      </c>
      <c r="E178" s="152" t="s">
        <v>236</v>
      </c>
      <c r="F178" s="312" t="s">
        <v>237</v>
      </c>
      <c r="G178" s="312"/>
      <c r="H178" s="312"/>
      <c r="I178" s="312"/>
      <c r="J178" s="153" t="s">
        <v>162</v>
      </c>
      <c r="K178" s="154">
        <v>7.783</v>
      </c>
      <c r="L178" s="233"/>
      <c r="M178" s="223"/>
      <c r="N178" s="307">
        <f>ROUND(L178*K178,2)</f>
        <v>0</v>
      </c>
      <c r="O178" s="307"/>
      <c r="P178" s="307"/>
      <c r="Q178" s="307"/>
      <c r="R178" s="35"/>
      <c r="T178" s="155" t="s">
        <v>19</v>
      </c>
      <c r="U178" s="42" t="s">
        <v>39</v>
      </c>
      <c r="V178" s="156">
        <v>0.097</v>
      </c>
      <c r="W178" s="156">
        <f>V178*K178</f>
        <v>0.754951</v>
      </c>
      <c r="X178" s="156">
        <v>0.00085</v>
      </c>
      <c r="Y178" s="156">
        <f>X178*K178</f>
        <v>0.0066155499999999996</v>
      </c>
      <c r="Z178" s="156">
        <v>0</v>
      </c>
      <c r="AA178" s="157">
        <f>Z178*K178</f>
        <v>0</v>
      </c>
      <c r="AR178" s="20" t="s">
        <v>169</v>
      </c>
      <c r="AT178" s="20" t="s">
        <v>138</v>
      </c>
      <c r="AU178" s="20" t="s">
        <v>96</v>
      </c>
      <c r="AY178" s="20" t="s">
        <v>137</v>
      </c>
      <c r="BE178" s="158">
        <f>IF(U178="základní",N178,0)</f>
        <v>0</v>
      </c>
      <c r="BF178" s="158">
        <f>IF(U178="snížená",N178,0)</f>
        <v>0</v>
      </c>
      <c r="BG178" s="158">
        <f>IF(U178="zákl. přenesená",N178,0)</f>
        <v>0</v>
      </c>
      <c r="BH178" s="158">
        <f>IF(U178="sníž. přenesená",N178,0)</f>
        <v>0</v>
      </c>
      <c r="BI178" s="158">
        <f>IF(U178="nulová",N178,0)</f>
        <v>0</v>
      </c>
      <c r="BJ178" s="20" t="s">
        <v>80</v>
      </c>
      <c r="BK178" s="158">
        <f>ROUND(L178*K178,2)</f>
        <v>0</v>
      </c>
      <c r="BL178" s="20" t="s">
        <v>169</v>
      </c>
      <c r="BM178" s="20" t="s">
        <v>238</v>
      </c>
    </row>
    <row r="179" spans="2:51" s="10" customFormat="1" ht="16.5" customHeight="1">
      <c r="B179" s="159"/>
      <c r="C179" s="160"/>
      <c r="D179" s="160"/>
      <c r="E179" s="161" t="s">
        <v>19</v>
      </c>
      <c r="F179" s="308" t="s">
        <v>235</v>
      </c>
      <c r="G179" s="309"/>
      <c r="H179" s="309"/>
      <c r="I179" s="309"/>
      <c r="J179" s="160"/>
      <c r="K179" s="162">
        <v>7.783</v>
      </c>
      <c r="L179" s="233"/>
      <c r="M179" s="224"/>
      <c r="N179" s="160"/>
      <c r="O179" s="160"/>
      <c r="P179" s="160"/>
      <c r="Q179" s="160"/>
      <c r="R179" s="163"/>
      <c r="T179" s="164"/>
      <c r="U179" s="160"/>
      <c r="V179" s="160"/>
      <c r="W179" s="160"/>
      <c r="X179" s="160"/>
      <c r="Y179" s="160"/>
      <c r="Z179" s="160"/>
      <c r="AA179" s="165"/>
      <c r="AT179" s="166" t="s">
        <v>145</v>
      </c>
      <c r="AU179" s="166" t="s">
        <v>96</v>
      </c>
      <c r="AV179" s="10" t="s">
        <v>96</v>
      </c>
      <c r="AW179" s="10" t="s">
        <v>33</v>
      </c>
      <c r="AX179" s="10" t="s">
        <v>80</v>
      </c>
      <c r="AY179" s="166" t="s">
        <v>137</v>
      </c>
    </row>
    <row r="180" spans="2:65" s="1" customFormat="1" ht="25.5" customHeight="1">
      <c r="B180" s="33"/>
      <c r="C180" s="175">
        <v>25</v>
      </c>
      <c r="D180" s="175" t="s">
        <v>149</v>
      </c>
      <c r="E180" s="176" t="s">
        <v>211</v>
      </c>
      <c r="F180" s="305" t="s">
        <v>212</v>
      </c>
      <c r="G180" s="305"/>
      <c r="H180" s="305"/>
      <c r="I180" s="305"/>
      <c r="J180" s="177" t="s">
        <v>162</v>
      </c>
      <c r="K180" s="178">
        <v>7.783</v>
      </c>
      <c r="L180" s="233"/>
      <c r="M180" s="226"/>
      <c r="N180" s="306">
        <f>ROUND(L180*K180,2)</f>
        <v>0</v>
      </c>
      <c r="O180" s="307"/>
      <c r="P180" s="307"/>
      <c r="Q180" s="307"/>
      <c r="R180" s="35"/>
      <c r="T180" s="155" t="s">
        <v>19</v>
      </c>
      <c r="U180" s="42" t="s">
        <v>39</v>
      </c>
      <c r="V180" s="156">
        <v>0</v>
      </c>
      <c r="W180" s="156">
        <f>V180*K180</f>
        <v>0</v>
      </c>
      <c r="X180" s="156">
        <v>0.00061</v>
      </c>
      <c r="Y180" s="156">
        <f>X180*K180</f>
        <v>0.00474763</v>
      </c>
      <c r="Z180" s="156">
        <v>0</v>
      </c>
      <c r="AA180" s="157">
        <f>Z180*K180</f>
        <v>0</v>
      </c>
      <c r="AR180" s="20" t="s">
        <v>153</v>
      </c>
      <c r="AT180" s="20" t="s">
        <v>149</v>
      </c>
      <c r="AU180" s="20" t="s">
        <v>96</v>
      </c>
      <c r="AY180" s="20" t="s">
        <v>137</v>
      </c>
      <c r="BE180" s="158">
        <f>IF(U180="základní",N180,0)</f>
        <v>0</v>
      </c>
      <c r="BF180" s="158">
        <f>IF(U180="snížená",N180,0)</f>
        <v>0</v>
      </c>
      <c r="BG180" s="158">
        <f>IF(U180="zákl. přenesená",N180,0)</f>
        <v>0</v>
      </c>
      <c r="BH180" s="158">
        <f>IF(U180="sníž. přenesená",N180,0)</f>
        <v>0</v>
      </c>
      <c r="BI180" s="158">
        <f>IF(U180="nulová",N180,0)</f>
        <v>0</v>
      </c>
      <c r="BJ180" s="20" t="s">
        <v>80</v>
      </c>
      <c r="BK180" s="158">
        <f>ROUND(L180*K180,2)</f>
        <v>0</v>
      </c>
      <c r="BL180" s="20" t="s">
        <v>142</v>
      </c>
      <c r="BM180" s="20" t="s">
        <v>213</v>
      </c>
    </row>
    <row r="181" spans="2:51" s="10" customFormat="1" ht="16.5" customHeight="1">
      <c r="B181" s="159"/>
      <c r="C181" s="160"/>
      <c r="D181" s="160"/>
      <c r="E181" s="161" t="s">
        <v>19</v>
      </c>
      <c r="F181" s="308" t="s">
        <v>203</v>
      </c>
      <c r="G181" s="309"/>
      <c r="H181" s="309"/>
      <c r="I181" s="309"/>
      <c r="J181" s="160"/>
      <c r="K181" s="162">
        <v>7.783</v>
      </c>
      <c r="L181" s="233"/>
      <c r="M181" s="224"/>
      <c r="N181" s="160"/>
      <c r="O181" s="160"/>
      <c r="P181" s="160"/>
      <c r="Q181" s="160"/>
      <c r="R181" s="163"/>
      <c r="T181" s="164"/>
      <c r="U181" s="160"/>
      <c r="V181" s="160"/>
      <c r="W181" s="160"/>
      <c r="X181" s="160"/>
      <c r="Y181" s="160"/>
      <c r="Z181" s="160"/>
      <c r="AA181" s="165"/>
      <c r="AT181" s="166" t="s">
        <v>145</v>
      </c>
      <c r="AU181" s="166" t="s">
        <v>96</v>
      </c>
      <c r="AV181" s="10" t="s">
        <v>96</v>
      </c>
      <c r="AW181" s="10" t="s">
        <v>33</v>
      </c>
      <c r="AX181" s="10" t="s">
        <v>80</v>
      </c>
      <c r="AY181" s="166" t="s">
        <v>137</v>
      </c>
    </row>
    <row r="182" spans="2:65" s="1" customFormat="1" ht="16.5" customHeight="1">
      <c r="B182" s="33"/>
      <c r="C182" s="175">
        <v>26</v>
      </c>
      <c r="D182" s="175" t="s">
        <v>149</v>
      </c>
      <c r="E182" s="176" t="s">
        <v>204</v>
      </c>
      <c r="F182" s="317" t="s">
        <v>205</v>
      </c>
      <c r="G182" s="318"/>
      <c r="H182" s="318"/>
      <c r="I182" s="319"/>
      <c r="J182" s="177" t="s">
        <v>162</v>
      </c>
      <c r="K182" s="178">
        <v>7.783</v>
      </c>
      <c r="L182" s="233"/>
      <c r="M182" s="229"/>
      <c r="N182" s="320">
        <f>ROUND(L182*K182,2)</f>
        <v>0</v>
      </c>
      <c r="O182" s="321"/>
      <c r="P182" s="321"/>
      <c r="Q182" s="322"/>
      <c r="R182" s="35"/>
      <c r="T182" s="155" t="s">
        <v>19</v>
      </c>
      <c r="U182" s="42" t="s">
        <v>39</v>
      </c>
      <c r="V182" s="156">
        <v>0</v>
      </c>
      <c r="W182" s="156">
        <f>V182*K182</f>
        <v>0</v>
      </c>
      <c r="X182" s="156">
        <v>0.0003</v>
      </c>
      <c r="Y182" s="156">
        <f>X182*K182</f>
        <v>0.0023349</v>
      </c>
      <c r="Z182" s="156">
        <v>0</v>
      </c>
      <c r="AA182" s="157">
        <f>Z182*K182</f>
        <v>0</v>
      </c>
      <c r="AR182" s="20" t="s">
        <v>153</v>
      </c>
      <c r="AT182" s="20" t="s">
        <v>149</v>
      </c>
      <c r="AU182" s="20" t="s">
        <v>96</v>
      </c>
      <c r="AY182" s="20" t="s">
        <v>137</v>
      </c>
      <c r="BE182" s="158">
        <f>IF(U182="základní",N182,0)</f>
        <v>0</v>
      </c>
      <c r="BF182" s="158">
        <f>IF(U182="snížená",N182,0)</f>
        <v>0</v>
      </c>
      <c r="BG182" s="158">
        <f>IF(U182="zákl. přenesená",N182,0)</f>
        <v>0</v>
      </c>
      <c r="BH182" s="158">
        <f>IF(U182="sníž. přenesená",N182,0)</f>
        <v>0</v>
      </c>
      <c r="BI182" s="158">
        <f>IF(U182="nulová",N182,0)</f>
        <v>0</v>
      </c>
      <c r="BJ182" s="20" t="s">
        <v>80</v>
      </c>
      <c r="BK182" s="158">
        <f>ROUND(L182*K182,2)</f>
        <v>0</v>
      </c>
      <c r="BL182" s="20" t="s">
        <v>142</v>
      </c>
      <c r="BM182" s="20" t="s">
        <v>206</v>
      </c>
    </row>
    <row r="183" spans="2:51" s="10" customFormat="1" ht="16.5" customHeight="1">
      <c r="B183" s="159"/>
      <c r="C183" s="160"/>
      <c r="D183" s="160"/>
      <c r="E183" s="161" t="s">
        <v>19</v>
      </c>
      <c r="F183" s="308" t="s">
        <v>203</v>
      </c>
      <c r="G183" s="309"/>
      <c r="H183" s="309"/>
      <c r="I183" s="309"/>
      <c r="J183" s="160"/>
      <c r="K183" s="162">
        <v>7.783</v>
      </c>
      <c r="L183" s="233"/>
      <c r="M183" s="224"/>
      <c r="N183" s="160"/>
      <c r="O183" s="160"/>
      <c r="P183" s="160"/>
      <c r="Q183" s="160"/>
      <c r="R183" s="163"/>
      <c r="T183" s="164"/>
      <c r="U183" s="160"/>
      <c r="V183" s="160"/>
      <c r="W183" s="160"/>
      <c r="X183" s="160"/>
      <c r="Y183" s="160"/>
      <c r="Z183" s="160"/>
      <c r="AA183" s="165"/>
      <c r="AT183" s="166" t="s">
        <v>145</v>
      </c>
      <c r="AU183" s="166" t="s">
        <v>96</v>
      </c>
      <c r="AV183" s="10" t="s">
        <v>96</v>
      </c>
      <c r="AW183" s="10" t="s">
        <v>33</v>
      </c>
      <c r="AX183" s="10" t="s">
        <v>80</v>
      </c>
      <c r="AY183" s="166" t="s">
        <v>137</v>
      </c>
    </row>
    <row r="184" spans="2:63" s="9" customFormat="1" ht="19.9" customHeight="1">
      <c r="B184" s="140"/>
      <c r="C184" s="141"/>
      <c r="D184" s="150" t="s">
        <v>487</v>
      </c>
      <c r="E184" s="150"/>
      <c r="F184" s="150"/>
      <c r="G184" s="150"/>
      <c r="H184" s="150"/>
      <c r="I184" s="150"/>
      <c r="J184" s="150"/>
      <c r="K184" s="150"/>
      <c r="L184" s="233"/>
      <c r="M184" s="227"/>
      <c r="N184" s="301">
        <f>SUM(N185:N186)</f>
        <v>0</v>
      </c>
      <c r="O184" s="302"/>
      <c r="P184" s="302"/>
      <c r="Q184" s="302"/>
      <c r="R184" s="143"/>
      <c r="T184" s="144"/>
      <c r="U184" s="141"/>
      <c r="V184" s="141"/>
      <c r="W184" s="145">
        <f>SUM(W185:W193)</f>
        <v>2.877824</v>
      </c>
      <c r="X184" s="141"/>
      <c r="Y184" s="145">
        <f>SUM(Y185:Y193)</f>
        <v>0.0127368</v>
      </c>
      <c r="Z184" s="141"/>
      <c r="AA184" s="146"/>
      <c r="AR184" s="147" t="s">
        <v>96</v>
      </c>
      <c r="AT184" s="148" t="s">
        <v>72</v>
      </c>
      <c r="AU184" s="148" t="s">
        <v>80</v>
      </c>
      <c r="AY184" s="147" t="s">
        <v>137</v>
      </c>
      <c r="BK184" s="149">
        <f>SUM(BK185:BK193)</f>
        <v>0</v>
      </c>
    </row>
    <row r="185" spans="2:65" s="1" customFormat="1" ht="38.25" customHeight="1">
      <c r="B185" s="33"/>
      <c r="C185" s="151">
        <v>27</v>
      </c>
      <c r="D185" s="151" t="s">
        <v>138</v>
      </c>
      <c r="E185" s="152"/>
      <c r="F185" s="312" t="s">
        <v>488</v>
      </c>
      <c r="G185" s="312"/>
      <c r="H185" s="312"/>
      <c r="I185" s="312"/>
      <c r="J185" s="153" t="s">
        <v>162</v>
      </c>
      <c r="K185" s="154">
        <v>7.076</v>
      </c>
      <c r="L185" s="233"/>
      <c r="M185" s="223"/>
      <c r="N185" s="307">
        <f>ROUND(L185*K185,2)</f>
        <v>0</v>
      </c>
      <c r="O185" s="307"/>
      <c r="P185" s="307"/>
      <c r="Q185" s="307"/>
      <c r="R185" s="35"/>
      <c r="T185" s="155" t="s">
        <v>19</v>
      </c>
      <c r="U185" s="42" t="s">
        <v>39</v>
      </c>
      <c r="V185" s="156">
        <v>0.024</v>
      </c>
      <c r="W185" s="156">
        <f>V185*K185</f>
        <v>0.169824</v>
      </c>
      <c r="X185" s="156">
        <v>0</v>
      </c>
      <c r="Y185" s="156">
        <f>X185*K185</f>
        <v>0</v>
      </c>
      <c r="Z185" s="156">
        <v>0</v>
      </c>
      <c r="AA185" s="157">
        <f>Z185*K185</f>
        <v>0</v>
      </c>
      <c r="AR185" s="20" t="s">
        <v>169</v>
      </c>
      <c r="AT185" s="20" t="s">
        <v>138</v>
      </c>
      <c r="AU185" s="20" t="s">
        <v>96</v>
      </c>
      <c r="AY185" s="20" t="s">
        <v>137</v>
      </c>
      <c r="BE185" s="158">
        <f>IF(U185="základní",N185,0)</f>
        <v>0</v>
      </c>
      <c r="BF185" s="158">
        <f>IF(U185="snížená",N185,0)</f>
        <v>0</v>
      </c>
      <c r="BG185" s="158">
        <f>IF(U185="zákl. přenesená",N185,0)</f>
        <v>0</v>
      </c>
      <c r="BH185" s="158">
        <f>IF(U185="sníž. přenesená",N185,0)</f>
        <v>0</v>
      </c>
      <c r="BI185" s="158">
        <f>IF(U185="nulová",N185,0)</f>
        <v>0</v>
      </c>
      <c r="BJ185" s="20" t="s">
        <v>80</v>
      </c>
      <c r="BK185" s="158">
        <f>ROUND(L185*K185,2)</f>
        <v>0</v>
      </c>
      <c r="BL185" s="20" t="s">
        <v>169</v>
      </c>
      <c r="BM185" s="20" t="s">
        <v>228</v>
      </c>
    </row>
    <row r="186" spans="2:65" s="1" customFormat="1" ht="38.25" customHeight="1">
      <c r="B186" s="33"/>
      <c r="C186" s="175">
        <v>28</v>
      </c>
      <c r="D186" s="175" t="s">
        <v>149</v>
      </c>
      <c r="E186" s="176" t="s">
        <v>207</v>
      </c>
      <c r="F186" s="305" t="s">
        <v>208</v>
      </c>
      <c r="G186" s="305"/>
      <c r="H186" s="305"/>
      <c r="I186" s="305"/>
      <c r="J186" s="177" t="s">
        <v>162</v>
      </c>
      <c r="K186" s="178">
        <v>7.076</v>
      </c>
      <c r="L186" s="233"/>
      <c r="M186" s="226"/>
      <c r="N186" s="306">
        <f>ROUND(L186*K186,2)</f>
        <v>0</v>
      </c>
      <c r="O186" s="307"/>
      <c r="P186" s="307"/>
      <c r="Q186" s="307"/>
      <c r="R186" s="35"/>
      <c r="T186" s="155" t="s">
        <v>19</v>
      </c>
      <c r="U186" s="42" t="s">
        <v>39</v>
      </c>
      <c r="V186" s="156">
        <v>0</v>
      </c>
      <c r="W186" s="156">
        <f>V186*K186</f>
        <v>0</v>
      </c>
      <c r="X186" s="156">
        <v>0.0018</v>
      </c>
      <c r="Y186" s="156">
        <f>X186*K186</f>
        <v>0.0127368</v>
      </c>
      <c r="Z186" s="156">
        <v>0</v>
      </c>
      <c r="AA186" s="157">
        <f>Z186*K186</f>
        <v>0</v>
      </c>
      <c r="AR186" s="20" t="s">
        <v>153</v>
      </c>
      <c r="AT186" s="20" t="s">
        <v>149</v>
      </c>
      <c r="AU186" s="20" t="s">
        <v>96</v>
      </c>
      <c r="AY186" s="20" t="s">
        <v>137</v>
      </c>
      <c r="BE186" s="158">
        <f>IF(U186="základní",N186,0)</f>
        <v>0</v>
      </c>
      <c r="BF186" s="158">
        <f>IF(U186="snížená",N186,0)</f>
        <v>0</v>
      </c>
      <c r="BG186" s="158">
        <f>IF(U186="zákl. přenesená",N186,0)</f>
        <v>0</v>
      </c>
      <c r="BH186" s="158">
        <f>IF(U186="sníž. přenesená",N186,0)</f>
        <v>0</v>
      </c>
      <c r="BI186" s="158">
        <f>IF(U186="nulová",N186,0)</f>
        <v>0</v>
      </c>
      <c r="BJ186" s="20" t="s">
        <v>80</v>
      </c>
      <c r="BK186" s="158">
        <f>ROUND(L186*K186,2)</f>
        <v>0</v>
      </c>
      <c r="BL186" s="20" t="s">
        <v>142</v>
      </c>
      <c r="BM186" s="20" t="s">
        <v>209</v>
      </c>
    </row>
    <row r="187" spans="2:51" s="10" customFormat="1" ht="16.5" customHeight="1">
      <c r="B187" s="159"/>
      <c r="C187" s="160"/>
      <c r="D187" s="160"/>
      <c r="E187" s="161" t="s">
        <v>19</v>
      </c>
      <c r="F187" s="308" t="s">
        <v>210</v>
      </c>
      <c r="G187" s="309"/>
      <c r="H187" s="309"/>
      <c r="I187" s="309"/>
      <c r="J187" s="160"/>
      <c r="K187" s="162">
        <v>7.076</v>
      </c>
      <c r="L187" s="233"/>
      <c r="M187" s="224"/>
      <c r="N187" s="160"/>
      <c r="O187" s="160"/>
      <c r="P187" s="160"/>
      <c r="Q187" s="160"/>
      <c r="R187" s="163"/>
      <c r="T187" s="164"/>
      <c r="U187" s="160"/>
      <c r="V187" s="160"/>
      <c r="W187" s="160"/>
      <c r="X187" s="160"/>
      <c r="Y187" s="160"/>
      <c r="Z187" s="160"/>
      <c r="AA187" s="165"/>
      <c r="AT187" s="166" t="s">
        <v>145</v>
      </c>
      <c r="AU187" s="166" t="s">
        <v>96</v>
      </c>
      <c r="AV187" s="10" t="s">
        <v>96</v>
      </c>
      <c r="AW187" s="10" t="s">
        <v>33</v>
      </c>
      <c r="AX187" s="10" t="s">
        <v>80</v>
      </c>
      <c r="AY187" s="166" t="s">
        <v>137</v>
      </c>
    </row>
    <row r="188" spans="2:63" s="9" customFormat="1" ht="29.85" customHeight="1">
      <c r="B188" s="140"/>
      <c r="C188" s="141"/>
      <c r="D188" s="150" t="s">
        <v>116</v>
      </c>
      <c r="E188" s="150"/>
      <c r="F188" s="150"/>
      <c r="G188" s="150"/>
      <c r="H188" s="150"/>
      <c r="I188" s="150"/>
      <c r="J188" s="150"/>
      <c r="K188" s="150"/>
      <c r="L188" s="233"/>
      <c r="M188" s="227"/>
      <c r="N188" s="301">
        <f>N189</f>
        <v>0</v>
      </c>
      <c r="O188" s="302"/>
      <c r="P188" s="302"/>
      <c r="Q188" s="302"/>
      <c r="R188" s="143"/>
      <c r="T188" s="144"/>
      <c r="U188" s="141"/>
      <c r="V188" s="141"/>
      <c r="W188" s="145">
        <f>W189</f>
        <v>0.548</v>
      </c>
      <c r="X188" s="141"/>
      <c r="Y188" s="145">
        <f>Y189</f>
        <v>0</v>
      </c>
      <c r="Z188" s="141"/>
      <c r="AA188" s="146">
        <f>AA189</f>
        <v>0.075</v>
      </c>
      <c r="AR188" s="147" t="s">
        <v>96</v>
      </c>
      <c r="AT188" s="148" t="s">
        <v>72</v>
      </c>
      <c r="AU188" s="148" t="s">
        <v>80</v>
      </c>
      <c r="AY188" s="147" t="s">
        <v>137</v>
      </c>
      <c r="BK188" s="149">
        <f>BK189</f>
        <v>0</v>
      </c>
    </row>
    <row r="189" spans="2:65" s="1" customFormat="1" ht="16.5" customHeight="1">
      <c r="B189" s="33"/>
      <c r="C189" s="151">
        <v>29</v>
      </c>
      <c r="D189" s="151" t="s">
        <v>138</v>
      </c>
      <c r="E189" s="152" t="s">
        <v>239</v>
      </c>
      <c r="F189" s="312" t="s">
        <v>240</v>
      </c>
      <c r="G189" s="312"/>
      <c r="H189" s="312"/>
      <c r="I189" s="312"/>
      <c r="J189" s="153" t="s">
        <v>241</v>
      </c>
      <c r="K189" s="154">
        <v>1</v>
      </c>
      <c r="L189" s="233"/>
      <c r="M189" s="223"/>
      <c r="N189" s="307">
        <f>ROUND(L189*K189,2)</f>
        <v>0</v>
      </c>
      <c r="O189" s="307"/>
      <c r="P189" s="307"/>
      <c r="Q189" s="307"/>
      <c r="R189" s="35"/>
      <c r="T189" s="155" t="s">
        <v>19</v>
      </c>
      <c r="U189" s="42" t="s">
        <v>39</v>
      </c>
      <c r="V189" s="156">
        <v>0.548</v>
      </c>
      <c r="W189" s="156">
        <f>V189*K189</f>
        <v>0.548</v>
      </c>
      <c r="X189" s="156">
        <v>0</v>
      </c>
      <c r="Y189" s="156">
        <f>X189*K189</f>
        <v>0</v>
      </c>
      <c r="Z189" s="156">
        <v>0.075</v>
      </c>
      <c r="AA189" s="157">
        <f>Z189*K189</f>
        <v>0.075</v>
      </c>
      <c r="AR189" s="20" t="s">
        <v>169</v>
      </c>
      <c r="AT189" s="20" t="s">
        <v>138</v>
      </c>
      <c r="AU189" s="20" t="s">
        <v>96</v>
      </c>
      <c r="AY189" s="20" t="s">
        <v>137</v>
      </c>
      <c r="BE189" s="158">
        <f>IF(U189="základní",N189,0)</f>
        <v>0</v>
      </c>
      <c r="BF189" s="158">
        <f>IF(U189="snížená",N189,0)</f>
        <v>0</v>
      </c>
      <c r="BG189" s="158">
        <f>IF(U189="zákl. přenesená",N189,0)</f>
        <v>0</v>
      </c>
      <c r="BH189" s="158">
        <f>IF(U189="sníž. přenesená",N189,0)</f>
        <v>0</v>
      </c>
      <c r="BI189" s="158">
        <f>IF(U189="nulová",N189,0)</f>
        <v>0</v>
      </c>
      <c r="BJ189" s="20" t="s">
        <v>80</v>
      </c>
      <c r="BK189" s="158">
        <f>ROUND(L189*K189,2)</f>
        <v>0</v>
      </c>
      <c r="BL189" s="20" t="s">
        <v>169</v>
      </c>
      <c r="BM189" s="20" t="s">
        <v>242</v>
      </c>
    </row>
    <row r="190" spans="2:63" s="9" customFormat="1" ht="29.85" customHeight="1">
      <c r="B190" s="140"/>
      <c r="C190" s="141"/>
      <c r="D190" s="150" t="s">
        <v>117</v>
      </c>
      <c r="E190" s="150"/>
      <c r="F190" s="150"/>
      <c r="G190" s="150"/>
      <c r="H190" s="150"/>
      <c r="I190" s="150"/>
      <c r="J190" s="150"/>
      <c r="K190" s="150"/>
      <c r="L190" s="233"/>
      <c r="M190" s="227"/>
      <c r="N190" s="313">
        <f>SUM(N191:N192)</f>
        <v>0</v>
      </c>
      <c r="O190" s="314"/>
      <c r="P190" s="314"/>
      <c r="Q190" s="314"/>
      <c r="R190" s="143"/>
      <c r="T190" s="144"/>
      <c r="U190" s="141"/>
      <c r="V190" s="141"/>
      <c r="W190" s="145">
        <f>SUM(W191:W192)</f>
        <v>0.476</v>
      </c>
      <c r="X190" s="141"/>
      <c r="Y190" s="145">
        <f>SUM(Y191:Y192)</f>
        <v>0</v>
      </c>
      <c r="Z190" s="141"/>
      <c r="AA190" s="146">
        <f>SUM(AA191:AA192)</f>
        <v>0.019950000000000002</v>
      </c>
      <c r="AR190" s="147" t="s">
        <v>96</v>
      </c>
      <c r="AT190" s="148" t="s">
        <v>72</v>
      </c>
      <c r="AU190" s="148" t="s">
        <v>80</v>
      </c>
      <c r="AY190" s="147" t="s">
        <v>137</v>
      </c>
      <c r="BK190" s="149">
        <f>SUM(BK191:BK192)</f>
        <v>0</v>
      </c>
    </row>
    <row r="191" spans="2:65" s="1" customFormat="1" ht="25.5" customHeight="1">
      <c r="B191" s="33"/>
      <c r="C191" s="151">
        <v>30</v>
      </c>
      <c r="D191" s="151" t="s">
        <v>138</v>
      </c>
      <c r="E191" s="152" t="s">
        <v>243</v>
      </c>
      <c r="F191" s="312" t="s">
        <v>244</v>
      </c>
      <c r="G191" s="312"/>
      <c r="H191" s="312"/>
      <c r="I191" s="312"/>
      <c r="J191" s="153" t="s">
        <v>241</v>
      </c>
      <c r="K191" s="154">
        <v>1</v>
      </c>
      <c r="L191" s="233"/>
      <c r="M191" s="223"/>
      <c r="N191" s="307">
        <f>ROUND(L191*K191,2)</f>
        <v>0</v>
      </c>
      <c r="O191" s="307"/>
      <c r="P191" s="307"/>
      <c r="Q191" s="307"/>
      <c r="R191" s="35"/>
      <c r="T191" s="155" t="s">
        <v>19</v>
      </c>
      <c r="U191" s="42" t="s">
        <v>39</v>
      </c>
      <c r="V191" s="156">
        <v>0.362</v>
      </c>
      <c r="W191" s="156">
        <f>V191*K191</f>
        <v>0.362</v>
      </c>
      <c r="X191" s="156">
        <v>0</v>
      </c>
      <c r="Y191" s="156">
        <f>X191*K191</f>
        <v>0</v>
      </c>
      <c r="Z191" s="156">
        <v>0.01946</v>
      </c>
      <c r="AA191" s="157">
        <f>Z191*K191</f>
        <v>0.01946</v>
      </c>
      <c r="AR191" s="20" t="s">
        <v>169</v>
      </c>
      <c r="AT191" s="20" t="s">
        <v>138</v>
      </c>
      <c r="AU191" s="20" t="s">
        <v>96</v>
      </c>
      <c r="AY191" s="20" t="s">
        <v>137</v>
      </c>
      <c r="BE191" s="158">
        <f>IF(U191="základní",N191,0)</f>
        <v>0</v>
      </c>
      <c r="BF191" s="158">
        <f>IF(U191="snížená",N191,0)</f>
        <v>0</v>
      </c>
      <c r="BG191" s="158">
        <f>IF(U191="zákl. přenesená",N191,0)</f>
        <v>0</v>
      </c>
      <c r="BH191" s="158">
        <f>IF(U191="sníž. přenesená",N191,0)</f>
        <v>0</v>
      </c>
      <c r="BI191" s="158">
        <f>IF(U191="nulová",N191,0)</f>
        <v>0</v>
      </c>
      <c r="BJ191" s="20" t="s">
        <v>80</v>
      </c>
      <c r="BK191" s="158">
        <f>ROUND(L191*K191,2)</f>
        <v>0</v>
      </c>
      <c r="BL191" s="20" t="s">
        <v>169</v>
      </c>
      <c r="BM191" s="20" t="s">
        <v>245</v>
      </c>
    </row>
    <row r="192" spans="2:65" s="1" customFormat="1" ht="16.5" customHeight="1">
      <c r="B192" s="33"/>
      <c r="C192" s="151">
        <v>31</v>
      </c>
      <c r="D192" s="151" t="s">
        <v>138</v>
      </c>
      <c r="E192" s="152" t="s">
        <v>246</v>
      </c>
      <c r="F192" s="312" t="s">
        <v>247</v>
      </c>
      <c r="G192" s="312"/>
      <c r="H192" s="312"/>
      <c r="I192" s="312"/>
      <c r="J192" s="153" t="s">
        <v>184</v>
      </c>
      <c r="K192" s="154">
        <v>1</v>
      </c>
      <c r="L192" s="233"/>
      <c r="M192" s="223"/>
      <c r="N192" s="307">
        <f>ROUND(L192*K192,2)</f>
        <v>0</v>
      </c>
      <c r="O192" s="307"/>
      <c r="P192" s="307"/>
      <c r="Q192" s="307"/>
      <c r="R192" s="35"/>
      <c r="T192" s="155" t="s">
        <v>19</v>
      </c>
      <c r="U192" s="42" t="s">
        <v>39</v>
      </c>
      <c r="V192" s="156">
        <v>0.114</v>
      </c>
      <c r="W192" s="156">
        <f>V192*K192</f>
        <v>0.114</v>
      </c>
      <c r="X192" s="156">
        <v>0</v>
      </c>
      <c r="Y192" s="156">
        <f>X192*K192</f>
        <v>0</v>
      </c>
      <c r="Z192" s="156">
        <v>0.00049</v>
      </c>
      <c r="AA192" s="157">
        <f>Z192*K192</f>
        <v>0.00049</v>
      </c>
      <c r="AR192" s="20" t="s">
        <v>169</v>
      </c>
      <c r="AT192" s="20" t="s">
        <v>138</v>
      </c>
      <c r="AU192" s="20" t="s">
        <v>96</v>
      </c>
      <c r="AY192" s="20" t="s">
        <v>137</v>
      </c>
      <c r="BE192" s="158">
        <f>IF(U192="základní",N192,0)</f>
        <v>0</v>
      </c>
      <c r="BF192" s="158">
        <f>IF(U192="snížená",N192,0)</f>
        <v>0</v>
      </c>
      <c r="BG192" s="158">
        <f>IF(U192="zákl. přenesená",N192,0)</f>
        <v>0</v>
      </c>
      <c r="BH192" s="158">
        <f>IF(U192="sníž. přenesená",N192,0)</f>
        <v>0</v>
      </c>
      <c r="BI192" s="158">
        <f>IF(U192="nulová",N192,0)</f>
        <v>0</v>
      </c>
      <c r="BJ192" s="20" t="s">
        <v>80</v>
      </c>
      <c r="BK192" s="158">
        <f>ROUND(L192*K192,2)</f>
        <v>0</v>
      </c>
      <c r="BL192" s="20" t="s">
        <v>169</v>
      </c>
      <c r="BM192" s="20" t="s">
        <v>248</v>
      </c>
    </row>
    <row r="193" spans="2:63" s="9" customFormat="1" ht="29.85" customHeight="1">
      <c r="B193" s="140"/>
      <c r="C193" s="141"/>
      <c r="D193" s="150" t="s">
        <v>118</v>
      </c>
      <c r="E193" s="150"/>
      <c r="F193" s="150"/>
      <c r="G193" s="150"/>
      <c r="H193" s="150"/>
      <c r="I193" s="150"/>
      <c r="J193" s="150"/>
      <c r="K193" s="150"/>
      <c r="L193" s="233"/>
      <c r="M193" s="227"/>
      <c r="N193" s="313">
        <f>N194</f>
        <v>0</v>
      </c>
      <c r="O193" s="314"/>
      <c r="P193" s="314"/>
      <c r="Q193" s="314"/>
      <c r="R193" s="143"/>
      <c r="T193" s="144"/>
      <c r="U193" s="141"/>
      <c r="V193" s="141"/>
      <c r="W193" s="145">
        <f>SUM(W194:W195)</f>
        <v>0.66</v>
      </c>
      <c r="X193" s="141"/>
      <c r="Y193" s="145">
        <f>SUM(Y194:Y195)</f>
        <v>0</v>
      </c>
      <c r="Z193" s="141"/>
      <c r="AA193" s="146">
        <f>SUM(AA194:AA195)</f>
        <v>0.16596</v>
      </c>
      <c r="AR193" s="147" t="s">
        <v>96</v>
      </c>
      <c r="AT193" s="148" t="s">
        <v>72</v>
      </c>
      <c r="AU193" s="148" t="s">
        <v>80</v>
      </c>
      <c r="AY193" s="147" t="s">
        <v>137</v>
      </c>
      <c r="BK193" s="149">
        <f>SUM(BK194:BK195)</f>
        <v>0</v>
      </c>
    </row>
    <row r="194" spans="2:65" s="1" customFormat="1" ht="38.25" customHeight="1">
      <c r="B194" s="33"/>
      <c r="C194" s="151">
        <v>32</v>
      </c>
      <c r="D194" s="151" t="s">
        <v>138</v>
      </c>
      <c r="E194" s="152" t="s">
        <v>250</v>
      </c>
      <c r="F194" s="312" t="s">
        <v>251</v>
      </c>
      <c r="G194" s="312"/>
      <c r="H194" s="312"/>
      <c r="I194" s="312"/>
      <c r="J194" s="153" t="s">
        <v>162</v>
      </c>
      <c r="K194" s="154">
        <v>4</v>
      </c>
      <c r="L194" s="233"/>
      <c r="M194" s="223"/>
      <c r="N194" s="307">
        <f>ROUND(L194*K194,2)</f>
        <v>0</v>
      </c>
      <c r="O194" s="307"/>
      <c r="P194" s="307"/>
      <c r="Q194" s="307"/>
      <c r="R194" s="35"/>
      <c r="T194" s="155" t="s">
        <v>19</v>
      </c>
      <c r="U194" s="42" t="s">
        <v>39</v>
      </c>
      <c r="V194" s="156">
        <v>0.165</v>
      </c>
      <c r="W194" s="156">
        <f>V194*K194</f>
        <v>0.66</v>
      </c>
      <c r="X194" s="156">
        <v>0</v>
      </c>
      <c r="Y194" s="156">
        <f>X194*K194</f>
        <v>0</v>
      </c>
      <c r="Z194" s="156">
        <v>0.04149</v>
      </c>
      <c r="AA194" s="157">
        <f>Z194*K194</f>
        <v>0.16596</v>
      </c>
      <c r="AR194" s="20" t="s">
        <v>169</v>
      </c>
      <c r="AT194" s="20" t="s">
        <v>138</v>
      </c>
      <c r="AU194" s="20" t="s">
        <v>96</v>
      </c>
      <c r="AY194" s="20" t="s">
        <v>137</v>
      </c>
      <c r="BE194" s="158">
        <f>IF(U194="základní",N194,0)</f>
        <v>0</v>
      </c>
      <c r="BF194" s="158">
        <f>IF(U194="snížená",N194,0)</f>
        <v>0</v>
      </c>
      <c r="BG194" s="158">
        <f>IF(U194="zákl. přenesená",N194,0)</f>
        <v>0</v>
      </c>
      <c r="BH194" s="158">
        <f>IF(U194="sníž. přenesená",N194,0)</f>
        <v>0</v>
      </c>
      <c r="BI194" s="158">
        <f>IF(U194="nulová",N194,0)</f>
        <v>0</v>
      </c>
      <c r="BJ194" s="20" t="s">
        <v>80</v>
      </c>
      <c r="BK194" s="158">
        <f>ROUND(L194*K194,2)</f>
        <v>0</v>
      </c>
      <c r="BL194" s="20" t="s">
        <v>169</v>
      </c>
      <c r="BM194" s="20" t="s">
        <v>252</v>
      </c>
    </row>
    <row r="195" spans="2:51" s="10" customFormat="1" ht="16.5" customHeight="1">
      <c r="B195" s="159"/>
      <c r="C195" s="160"/>
      <c r="D195" s="160"/>
      <c r="E195" s="161" t="s">
        <v>19</v>
      </c>
      <c r="F195" s="308" t="s">
        <v>253</v>
      </c>
      <c r="G195" s="309"/>
      <c r="H195" s="309"/>
      <c r="I195" s="309"/>
      <c r="J195" s="160"/>
      <c r="K195" s="162">
        <v>4</v>
      </c>
      <c r="L195" s="233"/>
      <c r="M195" s="224"/>
      <c r="N195" s="160"/>
      <c r="O195" s="160"/>
      <c r="P195" s="160"/>
      <c r="Q195" s="160"/>
      <c r="R195" s="163"/>
      <c r="T195" s="164"/>
      <c r="U195" s="160"/>
      <c r="V195" s="160"/>
      <c r="W195" s="160"/>
      <c r="X195" s="160"/>
      <c r="Y195" s="160"/>
      <c r="Z195" s="160"/>
      <c r="AA195" s="165"/>
      <c r="AT195" s="166" t="s">
        <v>145</v>
      </c>
      <c r="AU195" s="166" t="s">
        <v>96</v>
      </c>
      <c r="AV195" s="10" t="s">
        <v>96</v>
      </c>
      <c r="AW195" s="10" t="s">
        <v>33</v>
      </c>
      <c r="AX195" s="10" t="s">
        <v>80</v>
      </c>
      <c r="AY195" s="166" t="s">
        <v>137</v>
      </c>
    </row>
    <row r="196" spans="2:63" s="9" customFormat="1" ht="29.85" customHeight="1">
      <c r="B196" s="140"/>
      <c r="C196" s="141"/>
      <c r="D196" s="150" t="s">
        <v>119</v>
      </c>
      <c r="E196" s="150"/>
      <c r="F196" s="150"/>
      <c r="G196" s="150"/>
      <c r="H196" s="150"/>
      <c r="I196" s="150"/>
      <c r="J196" s="150"/>
      <c r="K196" s="150"/>
      <c r="L196" s="233"/>
      <c r="M196" s="227"/>
      <c r="N196" s="301">
        <f>SUM(N197:N199)</f>
        <v>0</v>
      </c>
      <c r="O196" s="302"/>
      <c r="P196" s="302"/>
      <c r="Q196" s="302"/>
      <c r="R196" s="143"/>
      <c r="T196" s="144"/>
      <c r="U196" s="141"/>
      <c r="V196" s="141"/>
      <c r="W196" s="145">
        <f>SUM(W197:W200)</f>
        <v>3.3516</v>
      </c>
      <c r="X196" s="141"/>
      <c r="Y196" s="145">
        <f>SUM(Y197:Y200)</f>
        <v>0</v>
      </c>
      <c r="Z196" s="141"/>
      <c r="AA196" s="146">
        <f>SUM(AA197:AA200)</f>
        <v>0.055312</v>
      </c>
      <c r="AR196" s="147" t="s">
        <v>96</v>
      </c>
      <c r="AT196" s="148" t="s">
        <v>72</v>
      </c>
      <c r="AU196" s="148" t="s">
        <v>80</v>
      </c>
      <c r="AY196" s="147" t="s">
        <v>137</v>
      </c>
      <c r="BK196" s="149">
        <f>SUM(BK197:BK200)</f>
        <v>0</v>
      </c>
    </row>
    <row r="197" spans="2:65" s="1" customFormat="1" ht="16.5" customHeight="1">
      <c r="B197" s="33"/>
      <c r="C197" s="151">
        <v>33</v>
      </c>
      <c r="D197" s="151" t="s">
        <v>138</v>
      </c>
      <c r="E197" s="152" t="s">
        <v>254</v>
      </c>
      <c r="F197" s="312" t="s">
        <v>255</v>
      </c>
      <c r="G197" s="312"/>
      <c r="H197" s="312"/>
      <c r="I197" s="312"/>
      <c r="J197" s="153" t="s">
        <v>256</v>
      </c>
      <c r="K197" s="154">
        <v>14</v>
      </c>
      <c r="L197" s="233"/>
      <c r="M197" s="223"/>
      <c r="N197" s="307">
        <f>ROUND(L197*K197,2)</f>
        <v>0</v>
      </c>
      <c r="O197" s="307"/>
      <c r="P197" s="307"/>
      <c r="Q197" s="307"/>
      <c r="R197" s="35"/>
      <c r="T197" s="155" t="s">
        <v>19</v>
      </c>
      <c r="U197" s="42" t="s">
        <v>39</v>
      </c>
      <c r="V197" s="156">
        <v>0.189</v>
      </c>
      <c r="W197" s="156">
        <f>V197*K197</f>
        <v>2.646</v>
      </c>
      <c r="X197" s="156">
        <v>0</v>
      </c>
      <c r="Y197" s="156">
        <f>X197*K197</f>
        <v>0</v>
      </c>
      <c r="Z197" s="156">
        <v>0.0026</v>
      </c>
      <c r="AA197" s="157">
        <f>Z197*K197</f>
        <v>0.0364</v>
      </c>
      <c r="AR197" s="20" t="s">
        <v>169</v>
      </c>
      <c r="AT197" s="20" t="s">
        <v>138</v>
      </c>
      <c r="AU197" s="20" t="s">
        <v>96</v>
      </c>
      <c r="AY197" s="20" t="s">
        <v>137</v>
      </c>
      <c r="BE197" s="158">
        <f>IF(U197="základní",N197,0)</f>
        <v>0</v>
      </c>
      <c r="BF197" s="158">
        <f>IF(U197="snížená",N197,0)</f>
        <v>0</v>
      </c>
      <c r="BG197" s="158">
        <f>IF(U197="zákl. přenesená",N197,0)</f>
        <v>0</v>
      </c>
      <c r="BH197" s="158">
        <f>IF(U197="sníž. přenesená",N197,0)</f>
        <v>0</v>
      </c>
      <c r="BI197" s="158">
        <f>IF(U197="nulová",N197,0)</f>
        <v>0</v>
      </c>
      <c r="BJ197" s="20" t="s">
        <v>80</v>
      </c>
      <c r="BK197" s="158">
        <f>ROUND(L197*K197,2)</f>
        <v>0</v>
      </c>
      <c r="BL197" s="20" t="s">
        <v>169</v>
      </c>
      <c r="BM197" s="20" t="s">
        <v>257</v>
      </c>
    </row>
    <row r="198" spans="2:51" s="10" customFormat="1" ht="16.5" customHeight="1">
      <c r="B198" s="159"/>
      <c r="C198" s="160"/>
      <c r="D198" s="160"/>
      <c r="E198" s="161" t="s">
        <v>19</v>
      </c>
      <c r="F198" s="308" t="s">
        <v>258</v>
      </c>
      <c r="G198" s="309"/>
      <c r="H198" s="309"/>
      <c r="I198" s="309"/>
      <c r="J198" s="160"/>
      <c r="K198" s="162">
        <v>14</v>
      </c>
      <c r="L198" s="233"/>
      <c r="M198" s="224"/>
      <c r="N198" s="160"/>
      <c r="O198" s="160"/>
      <c r="P198" s="160"/>
      <c r="Q198" s="160"/>
      <c r="R198" s="163"/>
      <c r="T198" s="164"/>
      <c r="U198" s="160"/>
      <c r="V198" s="160"/>
      <c r="W198" s="160"/>
      <c r="X198" s="160"/>
      <c r="Y198" s="160"/>
      <c r="Z198" s="160"/>
      <c r="AA198" s="165"/>
      <c r="AT198" s="166" t="s">
        <v>145</v>
      </c>
      <c r="AU198" s="166" t="s">
        <v>96</v>
      </c>
      <c r="AV198" s="10" t="s">
        <v>96</v>
      </c>
      <c r="AW198" s="10" t="s">
        <v>33</v>
      </c>
      <c r="AX198" s="10" t="s">
        <v>80</v>
      </c>
      <c r="AY198" s="166" t="s">
        <v>137</v>
      </c>
    </row>
    <row r="199" spans="2:65" s="1" customFormat="1" ht="16.5" customHeight="1">
      <c r="B199" s="33"/>
      <c r="C199" s="151">
        <v>34</v>
      </c>
      <c r="D199" s="151" t="s">
        <v>138</v>
      </c>
      <c r="E199" s="152" t="s">
        <v>259</v>
      </c>
      <c r="F199" s="312" t="s">
        <v>260</v>
      </c>
      <c r="G199" s="312"/>
      <c r="H199" s="312"/>
      <c r="I199" s="312"/>
      <c r="J199" s="153" t="s">
        <v>256</v>
      </c>
      <c r="K199" s="154">
        <v>4.8</v>
      </c>
      <c r="L199" s="233"/>
      <c r="M199" s="223"/>
      <c r="N199" s="307">
        <f>ROUND(L199*K199,2)</f>
        <v>0</v>
      </c>
      <c r="O199" s="307"/>
      <c r="P199" s="307"/>
      <c r="Q199" s="307"/>
      <c r="R199" s="35"/>
      <c r="T199" s="155" t="s">
        <v>19</v>
      </c>
      <c r="U199" s="42" t="s">
        <v>39</v>
      </c>
      <c r="V199" s="156">
        <v>0.147</v>
      </c>
      <c r="W199" s="156">
        <f>V199*K199</f>
        <v>0.7055999999999999</v>
      </c>
      <c r="X199" s="156">
        <v>0</v>
      </c>
      <c r="Y199" s="156">
        <f>X199*K199</f>
        <v>0</v>
      </c>
      <c r="Z199" s="156">
        <v>0.00394</v>
      </c>
      <c r="AA199" s="157">
        <f>Z199*K199</f>
        <v>0.018911999999999998</v>
      </c>
      <c r="AR199" s="20" t="s">
        <v>169</v>
      </c>
      <c r="AT199" s="20" t="s">
        <v>138</v>
      </c>
      <c r="AU199" s="20" t="s">
        <v>96</v>
      </c>
      <c r="AY199" s="20" t="s">
        <v>137</v>
      </c>
      <c r="BE199" s="158">
        <f>IF(U199="základní",N199,0)</f>
        <v>0</v>
      </c>
      <c r="BF199" s="158">
        <f>IF(U199="snížená",N199,0)</f>
        <v>0</v>
      </c>
      <c r="BG199" s="158">
        <f>IF(U199="zákl. přenesená",N199,0)</f>
        <v>0</v>
      </c>
      <c r="BH199" s="158">
        <f>IF(U199="sníž. přenesená",N199,0)</f>
        <v>0</v>
      </c>
      <c r="BI199" s="158">
        <f>IF(U199="nulová",N199,0)</f>
        <v>0</v>
      </c>
      <c r="BJ199" s="20" t="s">
        <v>80</v>
      </c>
      <c r="BK199" s="158">
        <f>ROUND(L199*K199,2)</f>
        <v>0</v>
      </c>
      <c r="BL199" s="20" t="s">
        <v>169</v>
      </c>
      <c r="BM199" s="20" t="s">
        <v>261</v>
      </c>
    </row>
    <row r="200" spans="2:51" s="10" customFormat="1" ht="16.5" customHeight="1">
      <c r="B200" s="159"/>
      <c r="C200" s="160"/>
      <c r="D200" s="160"/>
      <c r="E200" s="161" t="s">
        <v>19</v>
      </c>
      <c r="F200" s="308" t="s">
        <v>262</v>
      </c>
      <c r="G200" s="309"/>
      <c r="H200" s="309"/>
      <c r="I200" s="309"/>
      <c r="J200" s="160"/>
      <c r="K200" s="162">
        <v>4.8</v>
      </c>
      <c r="L200" s="233"/>
      <c r="M200" s="224"/>
      <c r="N200" s="160"/>
      <c r="O200" s="160"/>
      <c r="P200" s="160"/>
      <c r="Q200" s="160"/>
      <c r="R200" s="163"/>
      <c r="T200" s="164"/>
      <c r="U200" s="160"/>
      <c r="V200" s="160"/>
      <c r="W200" s="160"/>
      <c r="X200" s="160"/>
      <c r="Y200" s="160"/>
      <c r="Z200" s="160"/>
      <c r="AA200" s="165"/>
      <c r="AT200" s="166" t="s">
        <v>145</v>
      </c>
      <c r="AU200" s="166" t="s">
        <v>96</v>
      </c>
      <c r="AV200" s="10" t="s">
        <v>96</v>
      </c>
      <c r="AW200" s="10" t="s">
        <v>33</v>
      </c>
      <c r="AX200" s="10" t="s">
        <v>80</v>
      </c>
      <c r="AY200" s="166" t="s">
        <v>137</v>
      </c>
    </row>
    <row r="201" spans="2:63" s="9" customFormat="1" ht="29.85" customHeight="1">
      <c r="B201" s="140"/>
      <c r="C201" s="141"/>
      <c r="D201" s="150" t="s">
        <v>120</v>
      </c>
      <c r="E201" s="150"/>
      <c r="F201" s="150"/>
      <c r="G201" s="150"/>
      <c r="H201" s="150"/>
      <c r="I201" s="150"/>
      <c r="J201" s="150"/>
      <c r="K201" s="150"/>
      <c r="L201" s="233"/>
      <c r="M201" s="227"/>
      <c r="N201" s="301">
        <f>N202</f>
        <v>0</v>
      </c>
      <c r="O201" s="302"/>
      <c r="P201" s="302"/>
      <c r="Q201" s="302"/>
      <c r="R201" s="143"/>
      <c r="T201" s="144"/>
      <c r="U201" s="141"/>
      <c r="V201" s="141"/>
      <c r="W201" s="145">
        <f>W202</f>
        <v>0.095</v>
      </c>
      <c r="X201" s="141"/>
      <c r="Y201" s="145">
        <f>Y202</f>
        <v>0</v>
      </c>
      <c r="Z201" s="141"/>
      <c r="AA201" s="146">
        <f>AA202</f>
        <v>0.00042</v>
      </c>
      <c r="AR201" s="147" t="s">
        <v>96</v>
      </c>
      <c r="AT201" s="148" t="s">
        <v>72</v>
      </c>
      <c r="AU201" s="148" t="s">
        <v>80</v>
      </c>
      <c r="AY201" s="147" t="s">
        <v>137</v>
      </c>
      <c r="BK201" s="149">
        <f>BK202</f>
        <v>0</v>
      </c>
    </row>
    <row r="202" spans="2:65" s="1" customFormat="1" ht="16.5" customHeight="1">
      <c r="B202" s="33"/>
      <c r="C202" s="151">
        <v>35</v>
      </c>
      <c r="D202" s="151" t="s">
        <v>138</v>
      </c>
      <c r="E202" s="152" t="s">
        <v>263</v>
      </c>
      <c r="F202" s="312" t="s">
        <v>264</v>
      </c>
      <c r="G202" s="312"/>
      <c r="H202" s="312"/>
      <c r="I202" s="312"/>
      <c r="J202" s="153" t="s">
        <v>184</v>
      </c>
      <c r="K202" s="154">
        <v>1</v>
      </c>
      <c r="L202" s="233"/>
      <c r="M202" s="223"/>
      <c r="N202" s="307">
        <f>ROUND(L202*K202,2)</f>
        <v>0</v>
      </c>
      <c r="O202" s="307"/>
      <c r="P202" s="307"/>
      <c r="Q202" s="307"/>
      <c r="R202" s="35"/>
      <c r="T202" s="155" t="s">
        <v>19</v>
      </c>
      <c r="U202" s="42" t="s">
        <v>39</v>
      </c>
      <c r="V202" s="156">
        <v>0.095</v>
      </c>
      <c r="W202" s="156">
        <f>V202*K202</f>
        <v>0.095</v>
      </c>
      <c r="X202" s="156">
        <v>0</v>
      </c>
      <c r="Y202" s="156">
        <f>X202*K202</f>
        <v>0</v>
      </c>
      <c r="Z202" s="156">
        <v>0.00042</v>
      </c>
      <c r="AA202" s="157">
        <f>Z202*K202</f>
        <v>0.00042</v>
      </c>
      <c r="AR202" s="20" t="s">
        <v>169</v>
      </c>
      <c r="AT202" s="20" t="s">
        <v>138</v>
      </c>
      <c r="AU202" s="20" t="s">
        <v>96</v>
      </c>
      <c r="AY202" s="20" t="s">
        <v>137</v>
      </c>
      <c r="BE202" s="158">
        <f>IF(U202="základní",N202,0)</f>
        <v>0</v>
      </c>
      <c r="BF202" s="158">
        <f>IF(U202="snížená",N202,0)</f>
        <v>0</v>
      </c>
      <c r="BG202" s="158">
        <f>IF(U202="zákl. přenesená",N202,0)</f>
        <v>0</v>
      </c>
      <c r="BH202" s="158">
        <f>IF(U202="sníž. přenesená",N202,0)</f>
        <v>0</v>
      </c>
      <c r="BI202" s="158">
        <f>IF(U202="nulová",N202,0)</f>
        <v>0</v>
      </c>
      <c r="BJ202" s="20" t="s">
        <v>80</v>
      </c>
      <c r="BK202" s="158">
        <f>ROUND(L202*K202,2)</f>
        <v>0</v>
      </c>
      <c r="BL202" s="20" t="s">
        <v>169</v>
      </c>
      <c r="BM202" s="20" t="s">
        <v>265</v>
      </c>
    </row>
    <row r="203" spans="2:63" s="9" customFormat="1" ht="29.85" customHeight="1">
      <c r="B203" s="140"/>
      <c r="C203" s="141"/>
      <c r="D203" s="150" t="s">
        <v>121</v>
      </c>
      <c r="E203" s="150"/>
      <c r="F203" s="150"/>
      <c r="G203" s="150"/>
      <c r="H203" s="150"/>
      <c r="I203" s="150"/>
      <c r="J203" s="150"/>
      <c r="K203" s="150"/>
      <c r="L203" s="233"/>
      <c r="M203" s="227"/>
      <c r="N203" s="313">
        <f>N204</f>
        <v>0</v>
      </c>
      <c r="O203" s="314"/>
      <c r="P203" s="314"/>
      <c r="Q203" s="314"/>
      <c r="R203" s="143"/>
      <c r="T203" s="144"/>
      <c r="U203" s="141"/>
      <c r="V203" s="141"/>
      <c r="W203" s="145">
        <f>W204</f>
        <v>0.6</v>
      </c>
      <c r="X203" s="141"/>
      <c r="Y203" s="145">
        <f>Y204</f>
        <v>0</v>
      </c>
      <c r="Z203" s="141"/>
      <c r="AA203" s="146">
        <f>AA204</f>
        <v>0.013</v>
      </c>
      <c r="AR203" s="147" t="s">
        <v>96</v>
      </c>
      <c r="AT203" s="148" t="s">
        <v>72</v>
      </c>
      <c r="AU203" s="148" t="s">
        <v>80</v>
      </c>
      <c r="AY203" s="147" t="s">
        <v>137</v>
      </c>
      <c r="BK203" s="149">
        <f>BK204</f>
        <v>0</v>
      </c>
    </row>
    <row r="204" spans="2:65" s="1" customFormat="1" ht="25.5" customHeight="1">
      <c r="B204" s="33"/>
      <c r="C204" s="151">
        <v>36</v>
      </c>
      <c r="D204" s="151" t="s">
        <v>138</v>
      </c>
      <c r="E204" s="152" t="s">
        <v>266</v>
      </c>
      <c r="F204" s="312" t="s">
        <v>267</v>
      </c>
      <c r="G204" s="312"/>
      <c r="H204" s="312"/>
      <c r="I204" s="312"/>
      <c r="J204" s="153" t="s">
        <v>184</v>
      </c>
      <c r="K204" s="154">
        <v>1</v>
      </c>
      <c r="L204" s="233"/>
      <c r="M204" s="223"/>
      <c r="N204" s="307">
        <f>ROUND(L204*K204,2)</f>
        <v>0</v>
      </c>
      <c r="O204" s="307"/>
      <c r="P204" s="307"/>
      <c r="Q204" s="307"/>
      <c r="R204" s="35"/>
      <c r="T204" s="155" t="s">
        <v>19</v>
      </c>
      <c r="U204" s="179" t="s">
        <v>39</v>
      </c>
      <c r="V204" s="180">
        <v>0.6</v>
      </c>
      <c r="W204" s="180">
        <f>V204*K204</f>
        <v>0.6</v>
      </c>
      <c r="X204" s="180">
        <v>0</v>
      </c>
      <c r="Y204" s="180">
        <f>X204*K204</f>
        <v>0</v>
      </c>
      <c r="Z204" s="180">
        <v>0.013</v>
      </c>
      <c r="AA204" s="181">
        <f>Z204*K204</f>
        <v>0.013</v>
      </c>
      <c r="AR204" s="20" t="s">
        <v>169</v>
      </c>
      <c r="AT204" s="20" t="s">
        <v>138</v>
      </c>
      <c r="AU204" s="20" t="s">
        <v>96</v>
      </c>
      <c r="AY204" s="20" t="s">
        <v>137</v>
      </c>
      <c r="BE204" s="158">
        <f>IF(U204="základní",N204,0)</f>
        <v>0</v>
      </c>
      <c r="BF204" s="158">
        <f>IF(U204="snížená",N204,0)</f>
        <v>0</v>
      </c>
      <c r="BG204" s="158">
        <f>IF(U204="zákl. přenesená",N204,0)</f>
        <v>0</v>
      </c>
      <c r="BH204" s="158">
        <f>IF(U204="sníž. přenesená",N204,0)</f>
        <v>0</v>
      </c>
      <c r="BI204" s="158">
        <f>IF(U204="nulová",N204,0)</f>
        <v>0</v>
      </c>
      <c r="BJ204" s="20" t="s">
        <v>80</v>
      </c>
      <c r="BK204" s="158">
        <f>ROUND(L204*K204,2)</f>
        <v>0</v>
      </c>
      <c r="BL204" s="20" t="s">
        <v>169</v>
      </c>
      <c r="BM204" s="20" t="s">
        <v>268</v>
      </c>
    </row>
    <row r="205" spans="2:18" s="1" customFormat="1" ht="6.95" customHeight="1">
      <c r="B205" s="57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230"/>
      <c r="N205" s="58"/>
      <c r="O205" s="58"/>
      <c r="P205" s="58"/>
      <c r="Q205" s="58"/>
      <c r="R205" s="59"/>
    </row>
  </sheetData>
  <sheetProtection algorithmName="SHA-512" hashValue="Od2CNzm5n58YgeqWsXT6K3yXzJ3SHZRL4tGgToGnZRLnQ2f6TS0F3llhJEM9GAs8EPELuegx0pRcGLK7fiPOSA==" saltValue="uSQFJpq0kfhASq2OBhW2/A==" spinCount="100000" sheet="1" objects="1" scenarios="1"/>
  <mergeCells count="183">
    <mergeCell ref="N203:Q203"/>
    <mergeCell ref="F204:I204"/>
    <mergeCell ref="N204:Q204"/>
    <mergeCell ref="F176:I176"/>
    <mergeCell ref="N176:Q176"/>
    <mergeCell ref="F180:I180"/>
    <mergeCell ref="N180:Q180"/>
    <mergeCell ref="F199:I199"/>
    <mergeCell ref="N199:Q199"/>
    <mergeCell ref="F200:I200"/>
    <mergeCell ref="N201:Q201"/>
    <mergeCell ref="F202:I202"/>
    <mergeCell ref="N202:Q202"/>
    <mergeCell ref="F195:I195"/>
    <mergeCell ref="N196:Q196"/>
    <mergeCell ref="F197:I197"/>
    <mergeCell ref="N197:Q197"/>
    <mergeCell ref="F198:I198"/>
    <mergeCell ref="F192:I192"/>
    <mergeCell ref="N192:Q192"/>
    <mergeCell ref="N193:Q193"/>
    <mergeCell ref="F194:I194"/>
    <mergeCell ref="N194:Q194"/>
    <mergeCell ref="F189:I189"/>
    <mergeCell ref="N189:Q189"/>
    <mergeCell ref="N190:Q190"/>
    <mergeCell ref="F191:I191"/>
    <mergeCell ref="N191:Q191"/>
    <mergeCell ref="F175:I175"/>
    <mergeCell ref="F178:I178"/>
    <mergeCell ref="N178:Q178"/>
    <mergeCell ref="F179:I179"/>
    <mergeCell ref="N188:Q188"/>
    <mergeCell ref="F182:I182"/>
    <mergeCell ref="N182:Q182"/>
    <mergeCell ref="F181:I181"/>
    <mergeCell ref="F186:I186"/>
    <mergeCell ref="N186:Q186"/>
    <mergeCell ref="F187:I187"/>
    <mergeCell ref="F183:I183"/>
    <mergeCell ref="F177:I177"/>
    <mergeCell ref="N184:Q184"/>
    <mergeCell ref="F185:I185"/>
    <mergeCell ref="N185:Q185"/>
    <mergeCell ref="F173:I173"/>
    <mergeCell ref="N173:Q173"/>
    <mergeCell ref="F174:I174"/>
    <mergeCell ref="N174:Q174"/>
    <mergeCell ref="N169:Q169"/>
    <mergeCell ref="N170:Q170"/>
    <mergeCell ref="F171:I171"/>
    <mergeCell ref="N171:Q171"/>
    <mergeCell ref="F172:I172"/>
    <mergeCell ref="F167:I167"/>
    <mergeCell ref="N167:Q167"/>
    <mergeCell ref="F168:I168"/>
    <mergeCell ref="N168:Q168"/>
    <mergeCell ref="F163:I163"/>
    <mergeCell ref="N164:Q164"/>
    <mergeCell ref="F165:I165"/>
    <mergeCell ref="N165:Q165"/>
    <mergeCell ref="F166:I166"/>
    <mergeCell ref="N166:Q166"/>
    <mergeCell ref="F162:I162"/>
    <mergeCell ref="N162:Q162"/>
    <mergeCell ref="F160:I160"/>
    <mergeCell ref="F161:I161"/>
    <mergeCell ref="N161:Q161"/>
    <mergeCell ref="N157:Q157"/>
    <mergeCell ref="F158:I158"/>
    <mergeCell ref="N158:Q158"/>
    <mergeCell ref="F159:I159"/>
    <mergeCell ref="N159:Q159"/>
    <mergeCell ref="F156:I156"/>
    <mergeCell ref="N156:Q156"/>
    <mergeCell ref="F151:I151"/>
    <mergeCell ref="N151:Q151"/>
    <mergeCell ref="F152:I152"/>
    <mergeCell ref="N154:Q154"/>
    <mergeCell ref="F155:I155"/>
    <mergeCell ref="N155:Q155"/>
    <mergeCell ref="F153:I153"/>
    <mergeCell ref="N153:Q153"/>
    <mergeCell ref="N147:Q147"/>
    <mergeCell ref="F148:I148"/>
    <mergeCell ref="N148:Q148"/>
    <mergeCell ref="F149:I149"/>
    <mergeCell ref="N150:Q150"/>
    <mergeCell ref="F143:I143"/>
    <mergeCell ref="F144:I144"/>
    <mergeCell ref="F145:I145"/>
    <mergeCell ref="F146:I146"/>
    <mergeCell ref="N146:Q146"/>
    <mergeCell ref="F139:I139"/>
    <mergeCell ref="F140:I140"/>
    <mergeCell ref="F141:I141"/>
    <mergeCell ref="F142:I142"/>
    <mergeCell ref="N142:Q142"/>
    <mergeCell ref="F135:I135"/>
    <mergeCell ref="N135:Q135"/>
    <mergeCell ref="F136:I136"/>
    <mergeCell ref="F137:I137"/>
    <mergeCell ref="F138:I138"/>
    <mergeCell ref="N138:Q138"/>
    <mergeCell ref="F131:I131"/>
    <mergeCell ref="F132:I132"/>
    <mergeCell ref="N132:Q132"/>
    <mergeCell ref="F133:I133"/>
    <mergeCell ref="F134:I134"/>
    <mergeCell ref="F127:I127"/>
    <mergeCell ref="N127:Q127"/>
    <mergeCell ref="F128:I128"/>
    <mergeCell ref="F129:I129"/>
    <mergeCell ref="F130:I130"/>
    <mergeCell ref="F123:I123"/>
    <mergeCell ref="L123:M123"/>
    <mergeCell ref="N123:Q123"/>
    <mergeCell ref="N124:Q124"/>
    <mergeCell ref="N125:Q125"/>
    <mergeCell ref="N126:Q126"/>
    <mergeCell ref="C113:Q113"/>
    <mergeCell ref="F115:P115"/>
    <mergeCell ref="F116:P116"/>
    <mergeCell ref="M118:P118"/>
    <mergeCell ref="M120:Q120"/>
    <mergeCell ref="M121:Q121"/>
    <mergeCell ref="N101:Q101"/>
    <mergeCell ref="N102:Q102"/>
    <mergeCell ref="N103:Q103"/>
    <mergeCell ref="N104:Q104"/>
    <mergeCell ref="N106:Q106"/>
    <mergeCell ref="L108:Q108"/>
    <mergeCell ref="N94:Q94"/>
    <mergeCell ref="N95:Q95"/>
    <mergeCell ref="N96:Q96"/>
    <mergeCell ref="N97:Q97"/>
    <mergeCell ref="N99:Q99"/>
    <mergeCell ref="N100:Q100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rowBreaks count="1" manualBreakCount="1"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7"/>
  <sheetViews>
    <sheetView workbookViewId="0" topLeftCell="A67">
      <selection activeCell="M81" sqref="M81:P8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</cols>
  <sheetData>
    <row r="1" spans="1:66" ht="21.75" customHeight="1">
      <c r="A1" s="109"/>
      <c r="B1" s="13"/>
      <c r="C1" s="13"/>
      <c r="D1" s="14" t="s">
        <v>1</v>
      </c>
      <c r="E1" s="13"/>
      <c r="F1" s="15" t="s">
        <v>91</v>
      </c>
      <c r="G1" s="15"/>
      <c r="H1" s="277" t="s">
        <v>92</v>
      </c>
      <c r="I1" s="277"/>
      <c r="J1" s="277"/>
      <c r="K1" s="277"/>
      <c r="L1" s="15" t="s">
        <v>93</v>
      </c>
      <c r="M1" s="13"/>
      <c r="N1" s="13"/>
      <c r="O1" s="14" t="s">
        <v>94</v>
      </c>
      <c r="P1" s="13"/>
      <c r="Q1" s="13"/>
      <c r="R1" s="13"/>
      <c r="S1" s="15" t="s">
        <v>95</v>
      </c>
      <c r="T1" s="15"/>
      <c r="U1" s="109"/>
      <c r="V1" s="10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239" t="s">
        <v>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S2" s="241" t="s">
        <v>8</v>
      </c>
      <c r="T2" s="242"/>
      <c r="U2" s="242"/>
      <c r="V2" s="242"/>
      <c r="W2" s="242"/>
      <c r="X2" s="242"/>
      <c r="Y2" s="242"/>
      <c r="Z2" s="242"/>
      <c r="AA2" s="242"/>
      <c r="AB2" s="242"/>
      <c r="AC2" s="242"/>
      <c r="AT2" s="20" t="s">
        <v>83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96</v>
      </c>
    </row>
    <row r="4" spans="2:46" ht="36.95" customHeight="1">
      <c r="B4" s="24"/>
      <c r="C4" s="243" t="s">
        <v>97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5.35" customHeight="1">
      <c r="B6" s="24"/>
      <c r="C6" s="26"/>
      <c r="D6" s="234" t="s">
        <v>17</v>
      </c>
      <c r="E6" s="237"/>
      <c r="F6" s="291" t="str">
        <f>Rekapitulace!L78</f>
        <v>LIKVIDACE NEVYUŽÍVANÝCH VODOHOSPODÁŘSKÝCH OBJEKTŮ</v>
      </c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6"/>
      <c r="R6" s="25"/>
    </row>
    <row r="7" spans="2:18" s="1" customFormat="1" ht="32.85" customHeight="1">
      <c r="B7" s="33"/>
      <c r="C7" s="34"/>
      <c r="D7" s="29" t="s">
        <v>98</v>
      </c>
      <c r="E7" s="34"/>
      <c r="F7" s="247" t="s">
        <v>284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19</v>
      </c>
      <c r="G8" s="34"/>
      <c r="H8" s="34"/>
      <c r="I8" s="34"/>
      <c r="J8" s="34"/>
      <c r="K8" s="34"/>
      <c r="L8" s="34"/>
      <c r="M8" s="30" t="s">
        <v>20</v>
      </c>
      <c r="N8" s="34"/>
      <c r="O8" s="28" t="s">
        <v>19</v>
      </c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34"/>
      <c r="M9" s="30" t="s">
        <v>23</v>
      </c>
      <c r="N9" s="34"/>
      <c r="O9" s="281" t="e">
        <f>#REF!</f>
        <v>#REF!</v>
      </c>
      <c r="P9" s="281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25</v>
      </c>
      <c r="E11" s="34"/>
      <c r="F11" s="34"/>
      <c r="G11" s="34"/>
      <c r="H11" s="34"/>
      <c r="I11" s="34"/>
      <c r="J11" s="34"/>
      <c r="K11" s="34"/>
      <c r="L11" s="34"/>
      <c r="M11" s="30" t="s">
        <v>26</v>
      </c>
      <c r="N11" s="34"/>
      <c r="O11" s="245" t="s">
        <v>19</v>
      </c>
      <c r="P11" s="245"/>
      <c r="Q11" s="34"/>
      <c r="R11" s="35"/>
    </row>
    <row r="12" spans="2:18" s="1" customFormat="1" ht="18" customHeight="1">
      <c r="B12" s="33"/>
      <c r="C12" s="34"/>
      <c r="D12" s="34"/>
      <c r="E12" s="28" t="s">
        <v>27</v>
      </c>
      <c r="F12" s="34"/>
      <c r="G12" s="34"/>
      <c r="H12" s="34"/>
      <c r="I12" s="34"/>
      <c r="J12" s="34"/>
      <c r="K12" s="34"/>
      <c r="L12" s="34"/>
      <c r="M12" s="30" t="s">
        <v>28</v>
      </c>
      <c r="N12" s="34"/>
      <c r="O12" s="245" t="s">
        <v>19</v>
      </c>
      <c r="P12" s="245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29</v>
      </c>
      <c r="E14" s="34"/>
      <c r="F14" s="34"/>
      <c r="G14" s="34"/>
      <c r="H14" s="34"/>
      <c r="I14" s="34"/>
      <c r="J14" s="34"/>
      <c r="K14" s="34"/>
      <c r="L14" s="34"/>
      <c r="M14" s="30" t="s">
        <v>26</v>
      </c>
      <c r="N14" s="34"/>
      <c r="O14" s="245" t="s">
        <v>19</v>
      </c>
      <c r="P14" s="245"/>
      <c r="Q14" s="34"/>
      <c r="R14" s="35"/>
    </row>
    <row r="15" spans="2:18" s="1" customFormat="1" ht="18" customHeight="1">
      <c r="B15" s="33"/>
      <c r="C15" s="34"/>
      <c r="D15" s="34"/>
      <c r="E15" s="28" t="s">
        <v>30</v>
      </c>
      <c r="F15" s="34"/>
      <c r="G15" s="34"/>
      <c r="H15" s="34"/>
      <c r="I15" s="34"/>
      <c r="J15" s="34"/>
      <c r="K15" s="34"/>
      <c r="L15" s="34"/>
      <c r="M15" s="30" t="s">
        <v>28</v>
      </c>
      <c r="N15" s="34"/>
      <c r="O15" s="245" t="s">
        <v>19</v>
      </c>
      <c r="P15" s="245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31</v>
      </c>
      <c r="E17" s="34"/>
      <c r="F17" s="34"/>
      <c r="G17" s="34"/>
      <c r="H17" s="34"/>
      <c r="I17" s="34"/>
      <c r="J17" s="34"/>
      <c r="K17" s="34"/>
      <c r="L17" s="34"/>
      <c r="M17" s="30" t="s">
        <v>26</v>
      </c>
      <c r="N17" s="34"/>
      <c r="O17" s="245" t="s">
        <v>19</v>
      </c>
      <c r="P17" s="245"/>
      <c r="Q17" s="34"/>
      <c r="R17" s="35"/>
    </row>
    <row r="18" spans="2:18" s="1" customFormat="1" ht="18" customHeight="1">
      <c r="B18" s="33"/>
      <c r="C18" s="34"/>
      <c r="D18" s="34"/>
      <c r="E18" s="28" t="s">
        <v>32</v>
      </c>
      <c r="F18" s="34"/>
      <c r="G18" s="34"/>
      <c r="H18" s="34"/>
      <c r="I18" s="34"/>
      <c r="J18" s="34"/>
      <c r="K18" s="34"/>
      <c r="L18" s="34"/>
      <c r="M18" s="30" t="s">
        <v>28</v>
      </c>
      <c r="N18" s="34"/>
      <c r="O18" s="245" t="s">
        <v>19</v>
      </c>
      <c r="P18" s="245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34"/>
      <c r="M20" s="30" t="s">
        <v>26</v>
      </c>
      <c r="N20" s="34"/>
      <c r="O20" s="245" t="s">
        <v>19</v>
      </c>
      <c r="P20" s="245"/>
      <c r="Q20" s="34"/>
      <c r="R20" s="35"/>
    </row>
    <row r="21" spans="2:18" s="1" customFormat="1" ht="18" customHeight="1">
      <c r="B21" s="33"/>
      <c r="C21" s="34"/>
      <c r="D21" s="34"/>
      <c r="E21" s="28" t="s">
        <v>35</v>
      </c>
      <c r="F21" s="34"/>
      <c r="G21" s="34"/>
      <c r="H21" s="34"/>
      <c r="I21" s="34"/>
      <c r="J21" s="34"/>
      <c r="K21" s="34"/>
      <c r="L21" s="34"/>
      <c r="M21" s="30" t="s">
        <v>28</v>
      </c>
      <c r="N21" s="34"/>
      <c r="O21" s="245" t="s">
        <v>19</v>
      </c>
      <c r="P21" s="245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38" t="s">
        <v>19</v>
      </c>
      <c r="F24" s="238"/>
      <c r="G24" s="238"/>
      <c r="H24" s="238"/>
      <c r="I24" s="238"/>
      <c r="J24" s="238"/>
      <c r="K24" s="238"/>
      <c r="L24" s="238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0" t="s">
        <v>100</v>
      </c>
      <c r="E27" s="34"/>
      <c r="F27" s="34"/>
      <c r="G27" s="34"/>
      <c r="H27" s="34"/>
      <c r="I27" s="34"/>
      <c r="J27" s="34"/>
      <c r="K27" s="34"/>
      <c r="L27" s="34"/>
      <c r="M27" s="248">
        <f>N88</f>
        <v>0</v>
      </c>
      <c r="N27" s="248"/>
      <c r="O27" s="248"/>
      <c r="P27" s="248"/>
      <c r="Q27" s="34"/>
      <c r="R27" s="35"/>
    </row>
    <row r="28" spans="2:18" s="1" customFormat="1" ht="14.45" customHeight="1">
      <c r="B28" s="33"/>
      <c r="C28" s="34"/>
      <c r="D28" s="32" t="s">
        <v>101</v>
      </c>
      <c r="E28" s="34"/>
      <c r="F28" s="34"/>
      <c r="G28" s="34"/>
      <c r="H28" s="34"/>
      <c r="I28" s="34"/>
      <c r="J28" s="34"/>
      <c r="K28" s="34"/>
      <c r="L28" s="34"/>
      <c r="M28" s="248">
        <f>N102</f>
        <v>0</v>
      </c>
      <c r="N28" s="248"/>
      <c r="O28" s="248"/>
      <c r="P28" s="248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1" t="s">
        <v>37</v>
      </c>
      <c r="E30" s="34"/>
      <c r="F30" s="34"/>
      <c r="G30" s="34"/>
      <c r="H30" s="34"/>
      <c r="I30" s="34"/>
      <c r="J30" s="34"/>
      <c r="K30" s="34"/>
      <c r="L30" s="34"/>
      <c r="M30" s="285">
        <f>ROUND(M27+M28,2)</f>
        <v>0</v>
      </c>
      <c r="N30" s="280"/>
      <c r="O30" s="280"/>
      <c r="P30" s="280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38</v>
      </c>
      <c r="E32" s="40" t="s">
        <v>39</v>
      </c>
      <c r="F32" s="41">
        <v>0.21</v>
      </c>
      <c r="G32" s="112" t="s">
        <v>40</v>
      </c>
      <c r="H32" s="282">
        <f>ROUND((SUM(BE102:BE103)+SUM(BE119:BE196)),2)</f>
        <v>0</v>
      </c>
      <c r="I32" s="280"/>
      <c r="J32" s="280"/>
      <c r="K32" s="34"/>
      <c r="L32" s="34"/>
      <c r="M32" s="282">
        <f>ROUND(ROUND((SUM(BE102:BE103)+SUM(BE119:BE196)),2)*F32,2)</f>
        <v>0</v>
      </c>
      <c r="N32" s="280"/>
      <c r="O32" s="280"/>
      <c r="P32" s="280"/>
      <c r="Q32" s="34"/>
      <c r="R32" s="35"/>
    </row>
    <row r="33" spans="2:18" s="1" customFormat="1" ht="14.45" customHeight="1">
      <c r="B33" s="33"/>
      <c r="C33" s="34"/>
      <c r="D33" s="34"/>
      <c r="E33" s="40" t="s">
        <v>41</v>
      </c>
      <c r="F33" s="41">
        <v>0.15</v>
      </c>
      <c r="G33" s="112" t="s">
        <v>40</v>
      </c>
      <c r="H33" s="282">
        <f>ROUND((SUM(BF102:BF103)+SUM(BF119:BF196)),2)</f>
        <v>0</v>
      </c>
      <c r="I33" s="280"/>
      <c r="J33" s="280"/>
      <c r="K33" s="34"/>
      <c r="L33" s="34"/>
      <c r="M33" s="282">
        <f>ROUND(ROUND((SUM(BF102:BF103)+SUM(BF119:BF196)),2)*F33,2)</f>
        <v>0</v>
      </c>
      <c r="N33" s="280"/>
      <c r="O33" s="280"/>
      <c r="P33" s="280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42</v>
      </c>
      <c r="F34" s="41">
        <v>0.21</v>
      </c>
      <c r="G34" s="112" t="s">
        <v>40</v>
      </c>
      <c r="H34" s="282">
        <f>ROUND((SUM(BG102:BG103)+SUM(BG119:BG196)),2)</f>
        <v>0</v>
      </c>
      <c r="I34" s="280"/>
      <c r="J34" s="280"/>
      <c r="K34" s="34"/>
      <c r="L34" s="34"/>
      <c r="M34" s="282">
        <v>0</v>
      </c>
      <c r="N34" s="280"/>
      <c r="O34" s="280"/>
      <c r="P34" s="280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43</v>
      </c>
      <c r="F35" s="41">
        <v>0.15</v>
      </c>
      <c r="G35" s="112" t="s">
        <v>40</v>
      </c>
      <c r="H35" s="282">
        <f>ROUND((SUM(BH102:BH103)+SUM(BH119:BH196)),2)</f>
        <v>0</v>
      </c>
      <c r="I35" s="280"/>
      <c r="J35" s="280"/>
      <c r="K35" s="34"/>
      <c r="L35" s="34"/>
      <c r="M35" s="282">
        <v>0</v>
      </c>
      <c r="N35" s="280"/>
      <c r="O35" s="280"/>
      <c r="P35" s="280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44</v>
      </c>
      <c r="F36" s="41">
        <v>0</v>
      </c>
      <c r="G36" s="112" t="s">
        <v>40</v>
      </c>
      <c r="H36" s="282">
        <f>ROUND((SUM(BI102:BI103)+SUM(BI119:BI196)),2)</f>
        <v>0</v>
      </c>
      <c r="I36" s="280"/>
      <c r="J36" s="280"/>
      <c r="K36" s="34"/>
      <c r="L36" s="34"/>
      <c r="M36" s="282">
        <v>0</v>
      </c>
      <c r="N36" s="280"/>
      <c r="O36" s="280"/>
      <c r="P36" s="280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3" t="s">
        <v>45</v>
      </c>
      <c r="E38" s="77"/>
      <c r="F38" s="77"/>
      <c r="G38" s="114" t="s">
        <v>46</v>
      </c>
      <c r="H38" s="115" t="s">
        <v>47</v>
      </c>
      <c r="I38" s="77"/>
      <c r="J38" s="77"/>
      <c r="K38" s="77"/>
      <c r="L38" s="283">
        <f>SUM(M30:M36)</f>
        <v>0</v>
      </c>
      <c r="M38" s="283"/>
      <c r="N38" s="283"/>
      <c r="O38" s="283"/>
      <c r="P38" s="284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48</v>
      </c>
      <c r="E50" s="49"/>
      <c r="F50" s="49"/>
      <c r="G50" s="49"/>
      <c r="H50" s="50"/>
      <c r="I50" s="34"/>
      <c r="J50" s="48" t="s">
        <v>49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50</v>
      </c>
      <c r="E59" s="54"/>
      <c r="F59" s="54"/>
      <c r="G59" s="55" t="s">
        <v>51</v>
      </c>
      <c r="H59" s="56"/>
      <c r="I59" s="34"/>
      <c r="J59" s="53" t="s">
        <v>50</v>
      </c>
      <c r="K59" s="54"/>
      <c r="L59" s="54"/>
      <c r="M59" s="54"/>
      <c r="N59" s="55" t="s">
        <v>51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52</v>
      </c>
      <c r="E61" s="49"/>
      <c r="F61" s="49"/>
      <c r="G61" s="49"/>
      <c r="H61" s="50"/>
      <c r="I61" s="34"/>
      <c r="J61" s="48" t="s">
        <v>53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50</v>
      </c>
      <c r="E70" s="54"/>
      <c r="F70" s="54"/>
      <c r="G70" s="55" t="s">
        <v>51</v>
      </c>
      <c r="H70" s="56"/>
      <c r="I70" s="34"/>
      <c r="J70" s="53" t="s">
        <v>50</v>
      </c>
      <c r="K70" s="54"/>
      <c r="L70" s="54"/>
      <c r="M70" s="54"/>
      <c r="N70" s="55" t="s">
        <v>51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</row>
    <row r="76" spans="2:21" s="1" customFormat="1" ht="36.95" customHeight="1">
      <c r="B76" s="33"/>
      <c r="C76" s="243" t="s">
        <v>102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35"/>
      <c r="T76" s="119"/>
      <c r="U76" s="119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19"/>
      <c r="U77" s="119"/>
    </row>
    <row r="78" spans="2:21" s="1" customFormat="1" ht="30" customHeight="1">
      <c r="B78" s="33"/>
      <c r="C78" s="236" t="s">
        <v>17</v>
      </c>
      <c r="D78" s="235"/>
      <c r="E78" s="235"/>
      <c r="F78" s="291" t="str">
        <f>F6</f>
        <v>LIKVIDACE NEVYUŽÍVANÝCH VODOHOSPODÁŘSKÝCH OBJEKTŮ</v>
      </c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34"/>
      <c r="R78" s="35"/>
      <c r="T78" s="119"/>
      <c r="U78" s="119"/>
    </row>
    <row r="79" spans="2:21" s="1" customFormat="1" ht="36.95" customHeight="1">
      <c r="B79" s="33"/>
      <c r="C79" s="67" t="s">
        <v>98</v>
      </c>
      <c r="D79" s="34"/>
      <c r="E79" s="34"/>
      <c r="F79" s="265" t="str">
        <f>F7</f>
        <v>2017082-NĚMČICE - NĚMČICE-LIKVIDACE ZDROJE A ČS</v>
      </c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34"/>
      <c r="R79" s="35"/>
      <c r="T79" s="119"/>
      <c r="U79" s="119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19"/>
      <c r="U80" s="119"/>
    </row>
    <row r="81" spans="2:21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34"/>
      <c r="M81" s="281"/>
      <c r="N81" s="281"/>
      <c r="O81" s="281"/>
      <c r="P81" s="281"/>
      <c r="Q81" s="34"/>
      <c r="R81" s="35"/>
      <c r="T81" s="119"/>
      <c r="U81" s="119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19"/>
      <c r="U82" s="119"/>
    </row>
    <row r="83" spans="2:21" s="1" customFormat="1" ht="15">
      <c r="B83" s="33"/>
      <c r="C83" s="30" t="s">
        <v>25</v>
      </c>
      <c r="D83" s="34"/>
      <c r="E83" s="34"/>
      <c r="F83" s="28" t="str">
        <f>E12</f>
        <v>VODOVODY A KANALIZACE MLADÁ BOLESLAV A.S.</v>
      </c>
      <c r="G83" s="34"/>
      <c r="H83" s="34"/>
      <c r="I83" s="34"/>
      <c r="J83" s="34"/>
      <c r="K83" s="30" t="s">
        <v>31</v>
      </c>
      <c r="L83" s="34"/>
      <c r="M83" s="245" t="str">
        <f>E18</f>
        <v>ING.EVŽEN KOZÁK S.R.O.</v>
      </c>
      <c r="N83" s="245"/>
      <c r="O83" s="245"/>
      <c r="P83" s="245"/>
      <c r="Q83" s="245"/>
      <c r="R83" s="35"/>
      <c r="T83" s="119"/>
      <c r="U83" s="119"/>
    </row>
    <row r="84" spans="2:21" s="1" customFormat="1" ht="14.45" customHeight="1">
      <c r="B84" s="33"/>
      <c r="C84" s="30" t="s">
        <v>29</v>
      </c>
      <c r="D84" s="34"/>
      <c r="E84" s="34"/>
      <c r="F84" s="28" t="str">
        <f>IF(E15="","",E15)</f>
        <v>DLE VÝBĚROVÉHO ŘÍZENÍ</v>
      </c>
      <c r="G84" s="34"/>
      <c r="H84" s="34"/>
      <c r="I84" s="34"/>
      <c r="J84" s="34"/>
      <c r="K84" s="30" t="s">
        <v>34</v>
      </c>
      <c r="L84" s="34"/>
      <c r="M84" s="245" t="str">
        <f>E21</f>
        <v>ING.EVŽEN KOZÁK</v>
      </c>
      <c r="N84" s="245"/>
      <c r="O84" s="245"/>
      <c r="P84" s="245"/>
      <c r="Q84" s="245"/>
      <c r="R84" s="35"/>
      <c r="T84" s="119"/>
      <c r="U84" s="119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19"/>
      <c r="U85" s="119"/>
    </row>
    <row r="86" spans="2:21" s="1" customFormat="1" ht="29.25" customHeight="1">
      <c r="B86" s="33"/>
      <c r="C86" s="293" t="s">
        <v>103</v>
      </c>
      <c r="D86" s="294"/>
      <c r="E86" s="294"/>
      <c r="F86" s="294"/>
      <c r="G86" s="294"/>
      <c r="H86" s="108"/>
      <c r="I86" s="108"/>
      <c r="J86" s="108"/>
      <c r="K86" s="108"/>
      <c r="L86" s="108"/>
      <c r="M86" s="108"/>
      <c r="N86" s="293" t="s">
        <v>104</v>
      </c>
      <c r="O86" s="294"/>
      <c r="P86" s="294"/>
      <c r="Q86" s="294"/>
      <c r="R86" s="35"/>
      <c r="T86" s="119"/>
      <c r="U86" s="119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19"/>
      <c r="U87" s="119"/>
    </row>
    <row r="88" spans="2:47" s="1" customFormat="1" ht="29.25" customHeight="1">
      <c r="B88" s="33"/>
      <c r="C88" s="120" t="s">
        <v>105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70">
        <f>N89+N95</f>
        <v>0</v>
      </c>
      <c r="O88" s="286"/>
      <c r="P88" s="286"/>
      <c r="Q88" s="286"/>
      <c r="R88" s="35"/>
      <c r="T88" s="119"/>
      <c r="U88" s="119"/>
      <c r="AU88" s="20" t="s">
        <v>106</v>
      </c>
    </row>
    <row r="89" spans="2:21" s="6" customFormat="1" ht="24.95" customHeight="1">
      <c r="B89" s="121"/>
      <c r="C89" s="122"/>
      <c r="D89" s="123" t="s">
        <v>107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87">
        <f>N120</f>
        <v>0</v>
      </c>
      <c r="O89" s="288"/>
      <c r="P89" s="288"/>
      <c r="Q89" s="288"/>
      <c r="R89" s="124"/>
      <c r="T89" s="125"/>
      <c r="U89" s="125"/>
    </row>
    <row r="90" spans="2:21" s="7" customFormat="1" ht="19.9" customHeight="1">
      <c r="B90" s="126"/>
      <c r="C90" s="127"/>
      <c r="D90" s="128" t="s">
        <v>108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89">
        <f>N121</f>
        <v>0</v>
      </c>
      <c r="O90" s="290"/>
      <c r="P90" s="290"/>
      <c r="Q90" s="290"/>
      <c r="R90" s="129"/>
      <c r="T90" s="130"/>
      <c r="U90" s="130"/>
    </row>
    <row r="91" spans="2:21" s="7" customFormat="1" ht="19.9" customHeight="1">
      <c r="B91" s="126"/>
      <c r="C91" s="127"/>
      <c r="D91" s="128" t="s">
        <v>109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89">
        <f>N150</f>
        <v>0</v>
      </c>
      <c r="O91" s="290"/>
      <c r="P91" s="290"/>
      <c r="Q91" s="290"/>
      <c r="R91" s="129"/>
      <c r="T91" s="130"/>
      <c r="U91" s="130"/>
    </row>
    <row r="92" spans="2:21" s="7" customFormat="1" ht="19.9" customHeight="1">
      <c r="B92" s="126"/>
      <c r="C92" s="127"/>
      <c r="D92" s="128" t="s">
        <v>110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89">
        <f>N155</f>
        <v>0</v>
      </c>
      <c r="O92" s="290"/>
      <c r="P92" s="290"/>
      <c r="Q92" s="290"/>
      <c r="R92" s="129"/>
      <c r="T92" s="130"/>
      <c r="U92" s="130"/>
    </row>
    <row r="93" spans="2:21" s="7" customFormat="1" ht="19.9" customHeight="1">
      <c r="B93" s="126"/>
      <c r="C93" s="127"/>
      <c r="D93" s="128" t="s">
        <v>112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89">
        <f>N160</f>
        <v>0</v>
      </c>
      <c r="O93" s="290"/>
      <c r="P93" s="290"/>
      <c r="Q93" s="290"/>
      <c r="R93" s="129"/>
      <c r="T93" s="130"/>
      <c r="U93" s="130"/>
    </row>
    <row r="94" spans="2:21" s="7" customFormat="1" ht="19.9" customHeight="1">
      <c r="B94" s="126"/>
      <c r="C94" s="127"/>
      <c r="D94" s="128" t="s">
        <v>113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89">
        <f>N177</f>
        <v>0</v>
      </c>
      <c r="O94" s="290"/>
      <c r="P94" s="290"/>
      <c r="Q94" s="290"/>
      <c r="R94" s="129"/>
      <c r="T94" s="130"/>
      <c r="U94" s="130"/>
    </row>
    <row r="95" spans="2:21" s="6" customFormat="1" ht="24.95" customHeight="1">
      <c r="B95" s="121"/>
      <c r="C95" s="122"/>
      <c r="D95" s="123" t="s">
        <v>114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87">
        <f>N182</f>
        <v>0</v>
      </c>
      <c r="O95" s="288"/>
      <c r="P95" s="288"/>
      <c r="Q95" s="288"/>
      <c r="R95" s="124"/>
      <c r="T95" s="125"/>
      <c r="U95" s="125"/>
    </row>
    <row r="96" spans="2:21" s="7" customFormat="1" ht="19.9" customHeight="1">
      <c r="B96" s="126"/>
      <c r="C96" s="127"/>
      <c r="D96" s="128" t="s">
        <v>269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89">
        <f>N183</f>
        <v>0</v>
      </c>
      <c r="O96" s="290"/>
      <c r="P96" s="290"/>
      <c r="Q96" s="290"/>
      <c r="R96" s="129"/>
      <c r="T96" s="130"/>
      <c r="U96" s="130"/>
    </row>
    <row r="97" spans="2:21" s="7" customFormat="1" ht="19.9" customHeight="1">
      <c r="B97" s="126"/>
      <c r="C97" s="127"/>
      <c r="D97" s="128" t="s">
        <v>119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89">
        <f>N185</f>
        <v>0</v>
      </c>
      <c r="O97" s="290"/>
      <c r="P97" s="290"/>
      <c r="Q97" s="290"/>
      <c r="R97" s="129"/>
      <c r="T97" s="130"/>
      <c r="U97" s="130"/>
    </row>
    <row r="98" spans="2:21" s="7" customFormat="1" ht="19.9" customHeight="1">
      <c r="B98" s="126"/>
      <c r="C98" s="127"/>
      <c r="D98" s="128" t="s">
        <v>120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89">
        <f>N190</f>
        <v>0</v>
      </c>
      <c r="O98" s="290"/>
      <c r="P98" s="290"/>
      <c r="Q98" s="290"/>
      <c r="R98" s="129"/>
      <c r="T98" s="130"/>
      <c r="U98" s="130"/>
    </row>
    <row r="99" spans="2:21" s="7" customFormat="1" ht="19.9" customHeight="1">
      <c r="B99" s="126"/>
      <c r="C99" s="127"/>
      <c r="D99" s="128" t="s">
        <v>121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89">
        <f>N192</f>
        <v>0</v>
      </c>
      <c r="O99" s="290"/>
      <c r="P99" s="290"/>
      <c r="Q99" s="290"/>
      <c r="R99" s="129"/>
      <c r="T99" s="130"/>
      <c r="U99" s="130"/>
    </row>
    <row r="100" spans="2:21" s="7" customFormat="1" ht="19.9" customHeight="1">
      <c r="B100" s="126"/>
      <c r="C100" s="127"/>
      <c r="D100" s="128" t="s">
        <v>285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89">
        <f>N194</f>
        <v>0</v>
      </c>
      <c r="O100" s="290"/>
      <c r="P100" s="290"/>
      <c r="Q100" s="290"/>
      <c r="R100" s="129"/>
      <c r="T100" s="130"/>
      <c r="U100" s="130"/>
    </row>
    <row r="101" spans="2:21" s="1" customFormat="1" ht="11.2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T101" s="119"/>
      <c r="U101" s="119"/>
    </row>
    <row r="102" spans="2:21" s="1" customFormat="1" ht="29.25" customHeight="1">
      <c r="B102" s="33"/>
      <c r="C102" s="120" t="s">
        <v>122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286">
        <v>0</v>
      </c>
      <c r="O102" s="295"/>
      <c r="P102" s="295"/>
      <c r="Q102" s="295"/>
      <c r="R102" s="35"/>
      <c r="T102" s="131"/>
      <c r="U102" s="132" t="s">
        <v>38</v>
      </c>
    </row>
    <row r="103" spans="2:21" s="1" customFormat="1" ht="12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T103" s="119"/>
      <c r="U103" s="119"/>
    </row>
    <row r="104" spans="2:21" s="1" customFormat="1" ht="29.25" customHeight="1">
      <c r="B104" s="33"/>
      <c r="C104" s="107" t="s">
        <v>90</v>
      </c>
      <c r="D104" s="108"/>
      <c r="E104" s="108"/>
      <c r="F104" s="108"/>
      <c r="G104" s="108"/>
      <c r="H104" s="108"/>
      <c r="I104" s="108"/>
      <c r="J104" s="108"/>
      <c r="K104" s="108"/>
      <c r="L104" s="276">
        <f>ROUND(SUM(N88+N102),2)</f>
        <v>0</v>
      </c>
      <c r="M104" s="276"/>
      <c r="N104" s="276"/>
      <c r="O104" s="276"/>
      <c r="P104" s="276"/>
      <c r="Q104" s="276"/>
      <c r="R104" s="35"/>
      <c r="T104" s="119"/>
      <c r="U104" s="119"/>
    </row>
    <row r="105" spans="2:21" s="1" customFormat="1" ht="12" customHeight="1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  <c r="T105" s="119"/>
      <c r="U105" s="119"/>
    </row>
    <row r="107" spans="2:18" s="1" customFormat="1" ht="6.9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</row>
    <row r="108" spans="2:18" s="1" customFormat="1" ht="36.95" customHeight="1">
      <c r="B108" s="33"/>
      <c r="C108" s="243" t="s">
        <v>123</v>
      </c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35"/>
    </row>
    <row r="109" spans="2:18" s="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30" customHeight="1">
      <c r="B110" s="33"/>
      <c r="C110" s="236" t="s">
        <v>17</v>
      </c>
      <c r="D110" s="235"/>
      <c r="E110" s="235"/>
      <c r="F110" s="291" t="str">
        <f>F6</f>
        <v>LIKVIDACE NEVYUŽÍVANÝCH VODOHOSPODÁŘSKÝCH OBJEKTŮ</v>
      </c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34"/>
      <c r="R110" s="35"/>
    </row>
    <row r="111" spans="2:18" s="1" customFormat="1" ht="36.95" customHeight="1">
      <c r="B111" s="33"/>
      <c r="C111" s="67" t="s">
        <v>98</v>
      </c>
      <c r="D111" s="34"/>
      <c r="E111" s="34"/>
      <c r="F111" s="265" t="str">
        <f>F7</f>
        <v>2017082-NĚMČICE - NĚMČICE-LIKVIDACE ZDROJE A ČS</v>
      </c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34"/>
      <c r="R111" s="35"/>
    </row>
    <row r="112" spans="2:18" s="1" customFormat="1" ht="6.95" customHeight="1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18" s="1" customFormat="1" ht="18" customHeight="1">
      <c r="B113" s="33"/>
      <c r="C113" s="30" t="s">
        <v>21</v>
      </c>
      <c r="D113" s="34"/>
      <c r="E113" s="34"/>
      <c r="F113" s="28" t="str">
        <f>F9</f>
        <v xml:space="preserve"> </v>
      </c>
      <c r="G113" s="34"/>
      <c r="H113" s="34"/>
      <c r="I113" s="34"/>
      <c r="J113" s="34"/>
      <c r="K113" s="30" t="s">
        <v>23</v>
      </c>
      <c r="L113" s="34"/>
      <c r="M113" s="281"/>
      <c r="N113" s="281"/>
      <c r="O113" s="281"/>
      <c r="P113" s="281"/>
      <c r="Q113" s="34"/>
      <c r="R113" s="35"/>
    </row>
    <row r="114" spans="2:18" s="1" customFormat="1" ht="6.9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15">
      <c r="B115" s="33"/>
      <c r="C115" s="30" t="s">
        <v>25</v>
      </c>
      <c r="D115" s="34"/>
      <c r="E115" s="34"/>
      <c r="F115" s="28" t="str">
        <f>E12</f>
        <v>VODOVODY A KANALIZACE MLADÁ BOLESLAV A.S.</v>
      </c>
      <c r="G115" s="34"/>
      <c r="H115" s="34"/>
      <c r="I115" s="34"/>
      <c r="J115" s="34"/>
      <c r="K115" s="30" t="s">
        <v>31</v>
      </c>
      <c r="L115" s="34"/>
      <c r="M115" s="245" t="str">
        <f>E18</f>
        <v>ING.EVŽEN KOZÁK S.R.O.</v>
      </c>
      <c r="N115" s="245"/>
      <c r="O115" s="245"/>
      <c r="P115" s="245"/>
      <c r="Q115" s="245"/>
      <c r="R115" s="35"/>
    </row>
    <row r="116" spans="2:18" s="1" customFormat="1" ht="14.45" customHeight="1">
      <c r="B116" s="33"/>
      <c r="C116" s="30" t="s">
        <v>29</v>
      </c>
      <c r="D116" s="34"/>
      <c r="E116" s="34"/>
      <c r="F116" s="28" t="str">
        <f>IF(E15="","",E15)</f>
        <v>DLE VÝBĚROVÉHO ŘÍZENÍ</v>
      </c>
      <c r="G116" s="34"/>
      <c r="H116" s="34"/>
      <c r="I116" s="34"/>
      <c r="J116" s="34"/>
      <c r="K116" s="30" t="s">
        <v>34</v>
      </c>
      <c r="L116" s="34"/>
      <c r="M116" s="245" t="str">
        <f>E21</f>
        <v>ING.EVŽEN KOZÁK</v>
      </c>
      <c r="N116" s="245"/>
      <c r="O116" s="245"/>
      <c r="P116" s="245"/>
      <c r="Q116" s="245"/>
      <c r="R116" s="35"/>
    </row>
    <row r="117" spans="2:18" s="1" customFormat="1" ht="10.3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27" s="8" customFormat="1" ht="29.25" customHeight="1">
      <c r="B118" s="133"/>
      <c r="C118" s="134" t="s">
        <v>124</v>
      </c>
      <c r="D118" s="135" t="s">
        <v>125</v>
      </c>
      <c r="E118" s="135" t="s">
        <v>56</v>
      </c>
      <c r="F118" s="296" t="s">
        <v>126</v>
      </c>
      <c r="G118" s="296"/>
      <c r="H118" s="296"/>
      <c r="I118" s="296"/>
      <c r="J118" s="135" t="s">
        <v>127</v>
      </c>
      <c r="K118" s="135" t="s">
        <v>128</v>
      </c>
      <c r="L118" s="296" t="s">
        <v>129</v>
      </c>
      <c r="M118" s="296"/>
      <c r="N118" s="296" t="s">
        <v>104</v>
      </c>
      <c r="O118" s="296"/>
      <c r="P118" s="296"/>
      <c r="Q118" s="297"/>
      <c r="R118" s="136"/>
      <c r="T118" s="78" t="s">
        <v>130</v>
      </c>
      <c r="U118" s="79" t="s">
        <v>38</v>
      </c>
      <c r="V118" s="79" t="s">
        <v>131</v>
      </c>
      <c r="W118" s="79" t="s">
        <v>132</v>
      </c>
      <c r="X118" s="79" t="s">
        <v>133</v>
      </c>
      <c r="Y118" s="79" t="s">
        <v>134</v>
      </c>
      <c r="Z118" s="79" t="s">
        <v>135</v>
      </c>
      <c r="AA118" s="80" t="s">
        <v>136</v>
      </c>
    </row>
    <row r="119" spans="2:63" s="1" customFormat="1" ht="29.25" customHeight="1">
      <c r="B119" s="33"/>
      <c r="C119" s="82" t="s">
        <v>100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298">
        <f>N120+N182</f>
        <v>0</v>
      </c>
      <c r="O119" s="299"/>
      <c r="P119" s="299"/>
      <c r="Q119" s="299"/>
      <c r="R119" s="35"/>
      <c r="T119" s="81"/>
      <c r="U119" s="49"/>
      <c r="V119" s="49"/>
      <c r="W119" s="137">
        <f>W120+W182</f>
        <v>420.106175</v>
      </c>
      <c r="X119" s="49"/>
      <c r="Y119" s="137">
        <f>Y120+Y182</f>
        <v>7.074752579999999</v>
      </c>
      <c r="Z119" s="49"/>
      <c r="AA119" s="138">
        <f>AA120+AA182</f>
        <v>113.37390599999999</v>
      </c>
      <c r="AT119" s="20" t="s">
        <v>72</v>
      </c>
      <c r="AU119" s="20" t="s">
        <v>106</v>
      </c>
      <c r="BK119" s="139">
        <f>BK120+BK182</f>
        <v>0</v>
      </c>
    </row>
    <row r="120" spans="2:63" s="9" customFormat="1" ht="37.35" customHeight="1">
      <c r="B120" s="140"/>
      <c r="C120" s="141"/>
      <c r="D120" s="142" t="s">
        <v>107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300">
        <f>N121+N150+N155+N160+N177</f>
        <v>0</v>
      </c>
      <c r="O120" s="287"/>
      <c r="P120" s="287"/>
      <c r="Q120" s="287"/>
      <c r="R120" s="143"/>
      <c r="T120" s="144"/>
      <c r="U120" s="141"/>
      <c r="V120" s="141"/>
      <c r="W120" s="145">
        <f>W121+W150+W155+W160+W177</f>
        <v>414.237975</v>
      </c>
      <c r="X120" s="141"/>
      <c r="Y120" s="145">
        <f>Y121+Y150+Y155+Y160+Y177</f>
        <v>7.074752579999999</v>
      </c>
      <c r="Z120" s="141"/>
      <c r="AA120" s="146">
        <f>AA121+AA150+AA155+AA160+AA177</f>
        <v>113.25102999999999</v>
      </c>
      <c r="AR120" s="147" t="s">
        <v>80</v>
      </c>
      <c r="AT120" s="148" t="s">
        <v>72</v>
      </c>
      <c r="AU120" s="148" t="s">
        <v>73</v>
      </c>
      <c r="AY120" s="147" t="s">
        <v>137</v>
      </c>
      <c r="BK120" s="149">
        <f>BK121+BK150+BK155+BK160+BK177</f>
        <v>0</v>
      </c>
    </row>
    <row r="121" spans="2:63" s="9" customFormat="1" ht="19.9" customHeight="1">
      <c r="B121" s="140"/>
      <c r="C121" s="141"/>
      <c r="D121" s="150" t="s">
        <v>108</v>
      </c>
      <c r="E121" s="150"/>
      <c r="F121" s="150"/>
      <c r="G121" s="150"/>
      <c r="H121" s="150"/>
      <c r="I121" s="150"/>
      <c r="J121" s="150"/>
      <c r="K121" s="150"/>
      <c r="L121" s="150"/>
      <c r="M121" s="150"/>
      <c r="N121" s="301">
        <f>SUM(N122:N149)</f>
        <v>0</v>
      </c>
      <c r="O121" s="302"/>
      <c r="P121" s="302"/>
      <c r="Q121" s="302"/>
      <c r="R121" s="143"/>
      <c r="T121" s="144"/>
      <c r="U121" s="141"/>
      <c r="V121" s="141"/>
      <c r="W121" s="145">
        <f>SUM(W124:W149)</f>
        <v>50.36254</v>
      </c>
      <c r="X121" s="141"/>
      <c r="Y121" s="145">
        <f>SUM(Y124:Y149)</f>
        <v>6.539999999999999</v>
      </c>
      <c r="Z121" s="141"/>
      <c r="AA121" s="146">
        <f>SUM(AA124:AA149)</f>
        <v>0</v>
      </c>
      <c r="AR121" s="147" t="s">
        <v>80</v>
      </c>
      <c r="AT121" s="148" t="s">
        <v>72</v>
      </c>
      <c r="AU121" s="148" t="s">
        <v>80</v>
      </c>
      <c r="AY121" s="147" t="s">
        <v>137</v>
      </c>
      <c r="BK121" s="149">
        <f>SUM(BK124:BK149)</f>
        <v>0</v>
      </c>
    </row>
    <row r="122" spans="2:63" s="9" customFormat="1" ht="34.5" customHeight="1">
      <c r="B122" s="140"/>
      <c r="C122" s="206">
        <f>C120+1</f>
        <v>1</v>
      </c>
      <c r="D122" s="150"/>
      <c r="E122" s="128">
        <v>132101101</v>
      </c>
      <c r="F122" s="323" t="s">
        <v>518</v>
      </c>
      <c r="G122" s="323"/>
      <c r="H122" s="323"/>
      <c r="I122" s="323"/>
      <c r="J122" s="150" t="s">
        <v>141</v>
      </c>
      <c r="K122" s="207">
        <f>K123</f>
        <v>19.295999999999996</v>
      </c>
      <c r="L122" s="233"/>
      <c r="M122" s="150"/>
      <c r="N122" s="307">
        <f>ROUND(L122*K122,2)</f>
        <v>0</v>
      </c>
      <c r="O122" s="307"/>
      <c r="P122" s="307"/>
      <c r="Q122" s="307"/>
      <c r="R122" s="143"/>
      <c r="T122" s="144"/>
      <c r="U122" s="141"/>
      <c r="V122" s="141"/>
      <c r="W122" s="145"/>
      <c r="X122" s="141"/>
      <c r="Y122" s="145"/>
      <c r="Z122" s="141"/>
      <c r="AA122" s="146"/>
      <c r="AR122" s="147"/>
      <c r="AT122" s="148"/>
      <c r="AU122" s="148"/>
      <c r="AY122" s="147"/>
      <c r="BK122" s="149"/>
    </row>
    <row r="123" spans="2:63" s="9" customFormat="1" ht="19.9" customHeight="1">
      <c r="B123" s="140"/>
      <c r="C123" s="206"/>
      <c r="D123" s="150"/>
      <c r="E123" s="128"/>
      <c r="F123" s="323" t="s">
        <v>542</v>
      </c>
      <c r="G123" s="323"/>
      <c r="H123" s="323"/>
      <c r="I123" s="323"/>
      <c r="J123" s="150"/>
      <c r="K123" s="207">
        <f>(3.6*2+3.1*2)*0.6*2.4</f>
        <v>19.295999999999996</v>
      </c>
      <c r="L123" s="233"/>
      <c r="M123" s="150"/>
      <c r="N123" s="199"/>
      <c r="O123" s="200"/>
      <c r="P123" s="200"/>
      <c r="Q123" s="200"/>
      <c r="R123" s="143"/>
      <c r="T123" s="144"/>
      <c r="U123" s="141"/>
      <c r="V123" s="141"/>
      <c r="W123" s="145"/>
      <c r="X123" s="141"/>
      <c r="Y123" s="145"/>
      <c r="Z123" s="141"/>
      <c r="AA123" s="146"/>
      <c r="AR123" s="147"/>
      <c r="AT123" s="148"/>
      <c r="AU123" s="148"/>
      <c r="AY123" s="147"/>
      <c r="BK123" s="149"/>
    </row>
    <row r="124" spans="2:65" s="1" customFormat="1" ht="25.5" customHeight="1">
      <c r="B124" s="33"/>
      <c r="C124" s="151">
        <f>C122+1</f>
        <v>2</v>
      </c>
      <c r="D124" s="151" t="s">
        <v>138</v>
      </c>
      <c r="E124" s="152" t="s">
        <v>270</v>
      </c>
      <c r="F124" s="312" t="s">
        <v>286</v>
      </c>
      <c r="G124" s="312"/>
      <c r="H124" s="312"/>
      <c r="I124" s="312"/>
      <c r="J124" s="153" t="s">
        <v>141</v>
      </c>
      <c r="K124" s="154">
        <v>3.713</v>
      </c>
      <c r="L124" s="233"/>
      <c r="M124" s="220"/>
      <c r="N124" s="307">
        <f>ROUND(L124*K124,2)</f>
        <v>0</v>
      </c>
      <c r="O124" s="307"/>
      <c r="P124" s="307"/>
      <c r="Q124" s="307"/>
      <c r="R124" s="35"/>
      <c r="T124" s="155" t="s">
        <v>19</v>
      </c>
      <c r="U124" s="42" t="s">
        <v>39</v>
      </c>
      <c r="V124" s="156">
        <v>6.062</v>
      </c>
      <c r="W124" s="156">
        <f>V124*K124</f>
        <v>22.508206</v>
      </c>
      <c r="X124" s="156">
        <v>0</v>
      </c>
      <c r="Y124" s="156">
        <f>X124*K124</f>
        <v>0</v>
      </c>
      <c r="Z124" s="156">
        <v>0</v>
      </c>
      <c r="AA124" s="157">
        <f>Z124*K124</f>
        <v>0</v>
      </c>
      <c r="AR124" s="20" t="s">
        <v>142</v>
      </c>
      <c r="AT124" s="20" t="s">
        <v>138</v>
      </c>
      <c r="AU124" s="20" t="s">
        <v>96</v>
      </c>
      <c r="AY124" s="20" t="s">
        <v>137</v>
      </c>
      <c r="BE124" s="158">
        <f>IF(U124="základní",N124,0)</f>
        <v>0</v>
      </c>
      <c r="BF124" s="158">
        <f>IF(U124="snížená",N124,0)</f>
        <v>0</v>
      </c>
      <c r="BG124" s="158">
        <f>IF(U124="zákl. přenesená",N124,0)</f>
        <v>0</v>
      </c>
      <c r="BH124" s="158">
        <f>IF(U124="sníž. přenesená",N124,0)</f>
        <v>0</v>
      </c>
      <c r="BI124" s="158">
        <f>IF(U124="nulová",N124,0)</f>
        <v>0</v>
      </c>
      <c r="BJ124" s="20" t="s">
        <v>80</v>
      </c>
      <c r="BK124" s="158">
        <f>ROUND(L124*K124,2)</f>
        <v>0</v>
      </c>
      <c r="BL124" s="20" t="s">
        <v>142</v>
      </c>
      <c r="BM124" s="20" t="s">
        <v>287</v>
      </c>
    </row>
    <row r="125" spans="2:51" s="10" customFormat="1" ht="16.5" customHeight="1">
      <c r="B125" s="159"/>
      <c r="C125" s="160"/>
      <c r="D125" s="160"/>
      <c r="E125" s="161" t="s">
        <v>19</v>
      </c>
      <c r="F125" s="308" t="s">
        <v>271</v>
      </c>
      <c r="G125" s="309"/>
      <c r="H125" s="309"/>
      <c r="I125" s="309"/>
      <c r="J125" s="160"/>
      <c r="K125" s="162">
        <v>3.713</v>
      </c>
      <c r="L125" s="233"/>
      <c r="M125" s="221"/>
      <c r="N125" s="160"/>
      <c r="O125" s="160"/>
      <c r="P125" s="160"/>
      <c r="Q125" s="160"/>
      <c r="R125" s="163"/>
      <c r="T125" s="164"/>
      <c r="U125" s="160"/>
      <c r="V125" s="160"/>
      <c r="W125" s="160"/>
      <c r="X125" s="160"/>
      <c r="Y125" s="160"/>
      <c r="Z125" s="160"/>
      <c r="AA125" s="165"/>
      <c r="AT125" s="166" t="s">
        <v>145</v>
      </c>
      <c r="AU125" s="166" t="s">
        <v>96</v>
      </c>
      <c r="AV125" s="10" t="s">
        <v>96</v>
      </c>
      <c r="AW125" s="10" t="s">
        <v>33</v>
      </c>
      <c r="AX125" s="10" t="s">
        <v>80</v>
      </c>
      <c r="AY125" s="166" t="s">
        <v>137</v>
      </c>
    </row>
    <row r="126" spans="2:65" s="1" customFormat="1" ht="38.25" customHeight="1">
      <c r="B126" s="33"/>
      <c r="C126" s="151">
        <f>C124+1</f>
        <v>3</v>
      </c>
      <c r="D126" s="151" t="s">
        <v>138</v>
      </c>
      <c r="E126" s="152" t="s">
        <v>272</v>
      </c>
      <c r="F126" s="312" t="s">
        <v>273</v>
      </c>
      <c r="G126" s="312"/>
      <c r="H126" s="312"/>
      <c r="I126" s="312"/>
      <c r="J126" s="153" t="s">
        <v>141</v>
      </c>
      <c r="K126" s="154">
        <f>K127</f>
        <v>10.378</v>
      </c>
      <c r="L126" s="233"/>
      <c r="M126" s="220"/>
      <c r="N126" s="307">
        <f>ROUND(L126*K126,2)</f>
        <v>0</v>
      </c>
      <c r="O126" s="307"/>
      <c r="P126" s="307"/>
      <c r="Q126" s="307"/>
      <c r="R126" s="35"/>
      <c r="T126" s="155" t="s">
        <v>19</v>
      </c>
      <c r="U126" s="42" t="s">
        <v>39</v>
      </c>
      <c r="V126" s="156">
        <v>0.083</v>
      </c>
      <c r="W126" s="156">
        <f>V126*K126</f>
        <v>0.8613740000000001</v>
      </c>
      <c r="X126" s="156">
        <v>0</v>
      </c>
      <c r="Y126" s="156">
        <f>X126*K126</f>
        <v>0</v>
      </c>
      <c r="Z126" s="156">
        <v>0</v>
      </c>
      <c r="AA126" s="157">
        <f>Z126*K126</f>
        <v>0</v>
      </c>
      <c r="AR126" s="20" t="s">
        <v>142</v>
      </c>
      <c r="AT126" s="20" t="s">
        <v>138</v>
      </c>
      <c r="AU126" s="20" t="s">
        <v>96</v>
      </c>
      <c r="AY126" s="20" t="s">
        <v>137</v>
      </c>
      <c r="BE126" s="158">
        <f>IF(U126="základní",N126,0)</f>
        <v>0</v>
      </c>
      <c r="BF126" s="158">
        <f>IF(U126="snížená",N126,0)</f>
        <v>0</v>
      </c>
      <c r="BG126" s="158">
        <f>IF(U126="zákl. přenesená",N126,0)</f>
        <v>0</v>
      </c>
      <c r="BH126" s="158">
        <f>IF(U126="sníž. přenesená",N126,0)</f>
        <v>0</v>
      </c>
      <c r="BI126" s="158">
        <f>IF(U126="nulová",N126,0)</f>
        <v>0</v>
      </c>
      <c r="BJ126" s="20" t="s">
        <v>80</v>
      </c>
      <c r="BK126" s="158">
        <f>ROUND(L126*K126,2)</f>
        <v>0</v>
      </c>
      <c r="BL126" s="20" t="s">
        <v>142</v>
      </c>
      <c r="BM126" s="20" t="s">
        <v>288</v>
      </c>
    </row>
    <row r="127" spans="2:51" s="10" customFormat="1" ht="25.5" customHeight="1">
      <c r="B127" s="159"/>
      <c r="C127" s="160"/>
      <c r="D127" s="160"/>
      <c r="E127" s="161" t="s">
        <v>19</v>
      </c>
      <c r="F127" s="308" t="s">
        <v>552</v>
      </c>
      <c r="G127" s="309"/>
      <c r="H127" s="309"/>
      <c r="I127" s="309"/>
      <c r="J127" s="204"/>
      <c r="K127" s="162">
        <f>45.765-19.296-16.091</f>
        <v>10.378</v>
      </c>
      <c r="L127" s="233"/>
      <c r="M127" s="221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145</v>
      </c>
      <c r="AU127" s="166" t="s">
        <v>96</v>
      </c>
      <c r="AV127" s="10" t="s">
        <v>96</v>
      </c>
      <c r="AW127" s="10" t="s">
        <v>33</v>
      </c>
      <c r="AX127" s="10" t="s">
        <v>80</v>
      </c>
      <c r="AY127" s="166" t="s">
        <v>137</v>
      </c>
    </row>
    <row r="128" spans="2:65" s="1" customFormat="1" ht="51" customHeight="1">
      <c r="B128" s="33"/>
      <c r="C128" s="151">
        <f>C126+1</f>
        <v>4</v>
      </c>
      <c r="D128" s="151" t="s">
        <v>138</v>
      </c>
      <c r="E128" s="152" t="s">
        <v>274</v>
      </c>
      <c r="F128" s="312" t="s">
        <v>275</v>
      </c>
      <c r="G128" s="312"/>
      <c r="H128" s="312"/>
      <c r="I128" s="312"/>
      <c r="J128" s="153" t="s">
        <v>141</v>
      </c>
      <c r="K128" s="154">
        <f>K130</f>
        <v>155.67000000000002</v>
      </c>
      <c r="L128" s="233"/>
      <c r="M128" s="220"/>
      <c r="N128" s="307">
        <f>ROUND(L128*K128,2)</f>
        <v>0</v>
      </c>
      <c r="O128" s="307"/>
      <c r="P128" s="307"/>
      <c r="Q128" s="307"/>
      <c r="R128" s="35"/>
      <c r="T128" s="155" t="s">
        <v>19</v>
      </c>
      <c r="U128" s="42" t="s">
        <v>39</v>
      </c>
      <c r="V128" s="156">
        <v>0.004</v>
      </c>
      <c r="W128" s="156">
        <f>V128*K128</f>
        <v>0.6226800000000001</v>
      </c>
      <c r="X128" s="156">
        <v>0</v>
      </c>
      <c r="Y128" s="156">
        <f>X128*K128</f>
        <v>0</v>
      </c>
      <c r="Z128" s="156">
        <v>0</v>
      </c>
      <c r="AA128" s="157">
        <f>Z128*K128</f>
        <v>0</v>
      </c>
      <c r="AR128" s="20" t="s">
        <v>142</v>
      </c>
      <c r="AT128" s="20" t="s">
        <v>138</v>
      </c>
      <c r="AU128" s="20" t="s">
        <v>96</v>
      </c>
      <c r="AY128" s="20" t="s">
        <v>137</v>
      </c>
      <c r="BE128" s="158">
        <f>IF(U128="základní",N128,0)</f>
        <v>0</v>
      </c>
      <c r="BF128" s="158">
        <f>IF(U128="snížená",N128,0)</f>
        <v>0</v>
      </c>
      <c r="BG128" s="158">
        <f>IF(U128="zákl. přenesená",N128,0)</f>
        <v>0</v>
      </c>
      <c r="BH128" s="158">
        <f>IF(U128="sníž. přenesená",N128,0)</f>
        <v>0</v>
      </c>
      <c r="BI128" s="158">
        <f>IF(U128="nulová",N128,0)</f>
        <v>0</v>
      </c>
      <c r="BJ128" s="20" t="s">
        <v>80</v>
      </c>
      <c r="BK128" s="158">
        <f>ROUND(L128*K128,2)</f>
        <v>0</v>
      </c>
      <c r="BL128" s="20" t="s">
        <v>142</v>
      </c>
      <c r="BM128" s="20" t="s">
        <v>290</v>
      </c>
    </row>
    <row r="129" spans="2:51" s="10" customFormat="1" ht="25.5" customHeight="1">
      <c r="B129" s="159"/>
      <c r="C129" s="160"/>
      <c r="D129" s="160"/>
      <c r="E129" s="161" t="s">
        <v>19</v>
      </c>
      <c r="F129" s="308" t="s">
        <v>552</v>
      </c>
      <c r="G129" s="309"/>
      <c r="H129" s="309"/>
      <c r="I129" s="309"/>
      <c r="J129" s="160"/>
      <c r="K129" s="162">
        <f>45.765-19.296-16.091</f>
        <v>10.378</v>
      </c>
      <c r="L129" s="233"/>
      <c r="M129" s="221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145</v>
      </c>
      <c r="AU129" s="166" t="s">
        <v>96</v>
      </c>
      <c r="AV129" s="10" t="s">
        <v>96</v>
      </c>
      <c r="AW129" s="10" t="s">
        <v>33</v>
      </c>
      <c r="AX129" s="10" t="s">
        <v>73</v>
      </c>
      <c r="AY129" s="166" t="s">
        <v>137</v>
      </c>
    </row>
    <row r="130" spans="2:51" s="10" customFormat="1" ht="25.5" customHeight="1">
      <c r="B130" s="159"/>
      <c r="C130" s="160"/>
      <c r="D130" s="160"/>
      <c r="E130" s="161" t="s">
        <v>19</v>
      </c>
      <c r="F130" s="310" t="s">
        <v>553</v>
      </c>
      <c r="G130" s="311"/>
      <c r="H130" s="311"/>
      <c r="I130" s="311"/>
      <c r="J130" s="160"/>
      <c r="K130" s="162">
        <f>K129*15</f>
        <v>155.67000000000002</v>
      </c>
      <c r="L130" s="233"/>
      <c r="M130" s="221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145</v>
      </c>
      <c r="AU130" s="166" t="s">
        <v>96</v>
      </c>
      <c r="AV130" s="10" t="s">
        <v>96</v>
      </c>
      <c r="AW130" s="10" t="s">
        <v>33</v>
      </c>
      <c r="AX130" s="10" t="s">
        <v>80</v>
      </c>
      <c r="AY130" s="166" t="s">
        <v>137</v>
      </c>
    </row>
    <row r="131" spans="2:51" s="10" customFormat="1" ht="25.5" customHeight="1">
      <c r="B131" s="159"/>
      <c r="C131" s="160"/>
      <c r="D131" s="160"/>
      <c r="E131" s="161" t="s">
        <v>19</v>
      </c>
      <c r="F131" s="308" t="s">
        <v>292</v>
      </c>
      <c r="G131" s="309"/>
      <c r="H131" s="309"/>
      <c r="I131" s="309"/>
      <c r="J131" s="160"/>
      <c r="K131" s="162">
        <v>3.268</v>
      </c>
      <c r="L131" s="233"/>
      <c r="M131" s="221"/>
      <c r="N131" s="160"/>
      <c r="O131" s="160"/>
      <c r="P131" s="160"/>
      <c r="Q131" s="160"/>
      <c r="R131" s="163"/>
      <c r="T131" s="164"/>
      <c r="U131" s="160"/>
      <c r="V131" s="160"/>
      <c r="W131" s="160"/>
      <c r="X131" s="160"/>
      <c r="Y131" s="160"/>
      <c r="Z131" s="160"/>
      <c r="AA131" s="165"/>
      <c r="AT131" s="166" t="s">
        <v>145</v>
      </c>
      <c r="AU131" s="166" t="s">
        <v>96</v>
      </c>
      <c r="AV131" s="10" t="s">
        <v>96</v>
      </c>
      <c r="AW131" s="10" t="s">
        <v>33</v>
      </c>
      <c r="AX131" s="10" t="s">
        <v>73</v>
      </c>
      <c r="AY131" s="166" t="s">
        <v>137</v>
      </c>
    </row>
    <row r="132" spans="2:51" s="11" customFormat="1" ht="16.5" customHeight="1">
      <c r="B132" s="167"/>
      <c r="C132" s="168"/>
      <c r="D132" s="168"/>
      <c r="E132" s="169" t="s">
        <v>19</v>
      </c>
      <c r="F132" s="303" t="s">
        <v>148</v>
      </c>
      <c r="G132" s="304"/>
      <c r="H132" s="304"/>
      <c r="I132" s="304"/>
      <c r="J132" s="168"/>
      <c r="K132" s="170">
        <v>3.268</v>
      </c>
      <c r="L132" s="233"/>
      <c r="M132" s="218"/>
      <c r="N132" s="168"/>
      <c r="O132" s="168"/>
      <c r="P132" s="168"/>
      <c r="Q132" s="168"/>
      <c r="R132" s="171"/>
      <c r="T132" s="172"/>
      <c r="U132" s="168"/>
      <c r="V132" s="168"/>
      <c r="W132" s="168"/>
      <c r="X132" s="168"/>
      <c r="Y132" s="168"/>
      <c r="Z132" s="168"/>
      <c r="AA132" s="173"/>
      <c r="AT132" s="174" t="s">
        <v>145</v>
      </c>
      <c r="AU132" s="174" t="s">
        <v>96</v>
      </c>
      <c r="AV132" s="11" t="s">
        <v>142</v>
      </c>
      <c r="AW132" s="11" t="s">
        <v>33</v>
      </c>
      <c r="AX132" s="11" t="s">
        <v>73</v>
      </c>
      <c r="AY132" s="174" t="s">
        <v>137</v>
      </c>
    </row>
    <row r="133" spans="2:51" s="10" customFormat="1" ht="16.5" customHeight="1">
      <c r="B133" s="159"/>
      <c r="C133" s="160"/>
      <c r="D133" s="160"/>
      <c r="E133" s="161" t="s">
        <v>19</v>
      </c>
      <c r="F133" s="310" t="s">
        <v>293</v>
      </c>
      <c r="G133" s="311"/>
      <c r="H133" s="311"/>
      <c r="I133" s="311"/>
      <c r="J133" s="160"/>
      <c r="K133" s="162">
        <v>7.19</v>
      </c>
      <c r="L133" s="233"/>
      <c r="M133" s="221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145</v>
      </c>
      <c r="AU133" s="166" t="s">
        <v>96</v>
      </c>
      <c r="AV133" s="10" t="s">
        <v>96</v>
      </c>
      <c r="AW133" s="10" t="s">
        <v>33</v>
      </c>
      <c r="AX133" s="10" t="s">
        <v>80</v>
      </c>
      <c r="AY133" s="166" t="s">
        <v>137</v>
      </c>
    </row>
    <row r="134" spans="2:51" s="10" customFormat="1" ht="16.5" customHeight="1">
      <c r="B134" s="159"/>
      <c r="C134" s="192">
        <f>C128+1</f>
        <v>5</v>
      </c>
      <c r="D134" s="193"/>
      <c r="E134" s="194">
        <v>167101101</v>
      </c>
      <c r="F134" s="324" t="s">
        <v>507</v>
      </c>
      <c r="G134" s="324"/>
      <c r="H134" s="324"/>
      <c r="I134" s="324"/>
      <c r="J134" s="153" t="s">
        <v>141</v>
      </c>
      <c r="K134" s="154">
        <f>K126</f>
        <v>10.378</v>
      </c>
      <c r="L134" s="233"/>
      <c r="M134" s="220"/>
      <c r="N134" s="307">
        <f>ROUND(L134*K134,2)</f>
        <v>0</v>
      </c>
      <c r="O134" s="307"/>
      <c r="P134" s="307"/>
      <c r="Q134" s="307"/>
      <c r="R134" s="163"/>
      <c r="T134" s="164"/>
      <c r="U134" s="190"/>
      <c r="V134" s="190"/>
      <c r="W134" s="190"/>
      <c r="X134" s="190"/>
      <c r="Y134" s="190"/>
      <c r="Z134" s="190"/>
      <c r="AA134" s="165"/>
      <c r="AT134" s="166"/>
      <c r="AU134" s="166"/>
      <c r="AY134" s="166"/>
    </row>
    <row r="135" spans="2:65" s="1" customFormat="1" ht="25.5" customHeight="1">
      <c r="B135" s="33"/>
      <c r="C135" s="151">
        <f>C134+1</f>
        <v>6</v>
      </c>
      <c r="D135" s="151" t="s">
        <v>138</v>
      </c>
      <c r="E135" s="152" t="s">
        <v>139</v>
      </c>
      <c r="F135" s="312" t="s">
        <v>140</v>
      </c>
      <c r="G135" s="312"/>
      <c r="H135" s="312"/>
      <c r="I135" s="312"/>
      <c r="J135" s="153" t="s">
        <v>141</v>
      </c>
      <c r="K135" s="154">
        <f>K140</f>
        <v>45.765</v>
      </c>
      <c r="L135" s="233"/>
      <c r="M135" s="220"/>
      <c r="N135" s="307">
        <f>ROUND(L135*K135,2)</f>
        <v>0</v>
      </c>
      <c r="O135" s="307"/>
      <c r="P135" s="307"/>
      <c r="Q135" s="307"/>
      <c r="R135" s="35"/>
      <c r="T135" s="155" t="s">
        <v>19</v>
      </c>
      <c r="U135" s="42" t="s">
        <v>39</v>
      </c>
      <c r="V135" s="156">
        <v>0.299</v>
      </c>
      <c r="W135" s="156">
        <f>V135*K135</f>
        <v>13.683735</v>
      </c>
      <c r="X135" s="156">
        <v>0</v>
      </c>
      <c r="Y135" s="156">
        <f>X135*K135</f>
        <v>0</v>
      </c>
      <c r="Z135" s="156">
        <v>0</v>
      </c>
      <c r="AA135" s="157">
        <f>Z135*K135</f>
        <v>0</v>
      </c>
      <c r="AR135" s="20" t="s">
        <v>142</v>
      </c>
      <c r="AT135" s="20" t="s">
        <v>138</v>
      </c>
      <c r="AU135" s="20" t="s">
        <v>96</v>
      </c>
      <c r="AY135" s="20" t="s">
        <v>137</v>
      </c>
      <c r="BE135" s="158">
        <f>IF(U135="základní",N135,0)</f>
        <v>0</v>
      </c>
      <c r="BF135" s="158">
        <f>IF(U135="snížená",N135,0)</f>
        <v>0</v>
      </c>
      <c r="BG135" s="158">
        <f>IF(U135="zákl. přenesená",N135,0)</f>
        <v>0</v>
      </c>
      <c r="BH135" s="158">
        <f>IF(U135="sníž. přenesená",N135,0)</f>
        <v>0</v>
      </c>
      <c r="BI135" s="158">
        <f>IF(U135="nulová",N135,0)</f>
        <v>0</v>
      </c>
      <c r="BJ135" s="20" t="s">
        <v>80</v>
      </c>
      <c r="BK135" s="158">
        <f>ROUND(L135*K135,2)</f>
        <v>0</v>
      </c>
      <c r="BL135" s="20" t="s">
        <v>142</v>
      </c>
      <c r="BM135" s="20" t="s">
        <v>294</v>
      </c>
    </row>
    <row r="136" spans="2:51" s="10" customFormat="1" ht="25.5" customHeight="1">
      <c r="B136" s="159"/>
      <c r="C136" s="160"/>
      <c r="D136" s="160"/>
      <c r="E136" s="161" t="s">
        <v>19</v>
      </c>
      <c r="F136" s="308" t="s">
        <v>292</v>
      </c>
      <c r="G136" s="309"/>
      <c r="H136" s="309"/>
      <c r="I136" s="309"/>
      <c r="J136" s="160"/>
      <c r="K136" s="162">
        <v>3.268</v>
      </c>
      <c r="L136" s="233"/>
      <c r="M136" s="221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145</v>
      </c>
      <c r="AU136" s="166" t="s">
        <v>96</v>
      </c>
      <c r="AV136" s="10" t="s">
        <v>96</v>
      </c>
      <c r="AW136" s="10" t="s">
        <v>33</v>
      </c>
      <c r="AX136" s="10" t="s">
        <v>73</v>
      </c>
      <c r="AY136" s="166" t="s">
        <v>137</v>
      </c>
    </row>
    <row r="137" spans="2:51" s="10" customFormat="1" ht="25.5" customHeight="1">
      <c r="B137" s="159"/>
      <c r="C137" s="160"/>
      <c r="D137" s="160"/>
      <c r="E137" s="161" t="s">
        <v>19</v>
      </c>
      <c r="F137" s="310" t="s">
        <v>289</v>
      </c>
      <c r="G137" s="311"/>
      <c r="H137" s="311"/>
      <c r="I137" s="311"/>
      <c r="J137" s="160"/>
      <c r="K137" s="162">
        <v>16.163</v>
      </c>
      <c r="L137" s="233"/>
      <c r="M137" s="221"/>
      <c r="N137" s="160"/>
      <c r="O137" s="160"/>
      <c r="P137" s="160"/>
      <c r="Q137" s="160"/>
      <c r="R137" s="163"/>
      <c r="T137" s="164"/>
      <c r="U137" s="160"/>
      <c r="V137" s="160"/>
      <c r="W137" s="160"/>
      <c r="X137" s="160"/>
      <c r="Y137" s="160"/>
      <c r="Z137" s="160"/>
      <c r="AA137" s="165"/>
      <c r="AT137" s="166" t="s">
        <v>145</v>
      </c>
      <c r="AU137" s="166" t="s">
        <v>96</v>
      </c>
      <c r="AV137" s="10" t="s">
        <v>96</v>
      </c>
      <c r="AW137" s="10" t="s">
        <v>33</v>
      </c>
      <c r="AX137" s="10" t="s">
        <v>73</v>
      </c>
      <c r="AY137" s="166" t="s">
        <v>137</v>
      </c>
    </row>
    <row r="138" spans="2:51" s="10" customFormat="1" ht="25.5" customHeight="1">
      <c r="B138" s="159"/>
      <c r="C138" s="204"/>
      <c r="D138" s="204"/>
      <c r="E138" s="161" t="s">
        <v>19</v>
      </c>
      <c r="F138" s="310" t="s">
        <v>548</v>
      </c>
      <c r="G138" s="311"/>
      <c r="H138" s="311"/>
      <c r="I138" s="311"/>
      <c r="J138" s="204"/>
      <c r="K138" s="162">
        <v>19.296</v>
      </c>
      <c r="L138" s="233"/>
      <c r="M138" s="221"/>
      <c r="N138" s="204"/>
      <c r="O138" s="204"/>
      <c r="P138" s="204"/>
      <c r="Q138" s="204"/>
      <c r="R138" s="163"/>
      <c r="T138" s="164"/>
      <c r="U138" s="204"/>
      <c r="V138" s="204"/>
      <c r="W138" s="204"/>
      <c r="X138" s="204"/>
      <c r="Y138" s="204"/>
      <c r="Z138" s="204"/>
      <c r="AA138" s="165"/>
      <c r="AT138" s="166" t="s">
        <v>145</v>
      </c>
      <c r="AU138" s="166" t="s">
        <v>96</v>
      </c>
      <c r="AV138" s="10" t="s">
        <v>96</v>
      </c>
      <c r="AW138" s="10" t="s">
        <v>33</v>
      </c>
      <c r="AX138" s="10" t="s">
        <v>73</v>
      </c>
      <c r="AY138" s="166" t="s">
        <v>137</v>
      </c>
    </row>
    <row r="139" spans="2:51" s="10" customFormat="1" ht="25.5" customHeight="1">
      <c r="B139" s="159"/>
      <c r="C139" s="204"/>
      <c r="D139" s="204"/>
      <c r="E139" s="161" t="s">
        <v>19</v>
      </c>
      <c r="F139" s="310" t="s">
        <v>549</v>
      </c>
      <c r="G139" s="311"/>
      <c r="H139" s="311"/>
      <c r="I139" s="311"/>
      <c r="J139" s="204"/>
      <c r="K139" s="162">
        <v>7.038</v>
      </c>
      <c r="L139" s="233"/>
      <c r="M139" s="221"/>
      <c r="N139" s="204"/>
      <c r="O139" s="204"/>
      <c r="P139" s="204"/>
      <c r="Q139" s="204"/>
      <c r="R139" s="163"/>
      <c r="T139" s="164"/>
      <c r="U139" s="204"/>
      <c r="V139" s="204"/>
      <c r="W139" s="204"/>
      <c r="X139" s="204"/>
      <c r="Y139" s="204"/>
      <c r="Z139" s="204"/>
      <c r="AA139" s="165"/>
      <c r="AT139" s="166" t="s">
        <v>145</v>
      </c>
      <c r="AU139" s="166" t="s">
        <v>96</v>
      </c>
      <c r="AV139" s="10" t="s">
        <v>96</v>
      </c>
      <c r="AW139" s="10" t="s">
        <v>33</v>
      </c>
      <c r="AX139" s="10" t="s">
        <v>73</v>
      </c>
      <c r="AY139" s="166" t="s">
        <v>137</v>
      </c>
    </row>
    <row r="140" spans="2:51" s="11" customFormat="1" ht="16.5" customHeight="1">
      <c r="B140" s="167"/>
      <c r="C140" s="168"/>
      <c r="D140" s="168"/>
      <c r="E140" s="169" t="s">
        <v>19</v>
      </c>
      <c r="F140" s="303" t="s">
        <v>148</v>
      </c>
      <c r="G140" s="304"/>
      <c r="H140" s="304"/>
      <c r="I140" s="304"/>
      <c r="J140" s="168"/>
      <c r="K140" s="170">
        <f>SUM(K136:K139)</f>
        <v>45.765</v>
      </c>
      <c r="L140" s="233"/>
      <c r="M140" s="218"/>
      <c r="N140" s="168"/>
      <c r="O140" s="168"/>
      <c r="P140" s="168"/>
      <c r="Q140" s="168"/>
      <c r="R140" s="171"/>
      <c r="T140" s="172"/>
      <c r="U140" s="168"/>
      <c r="V140" s="168"/>
      <c r="W140" s="168"/>
      <c r="X140" s="168"/>
      <c r="Y140" s="168"/>
      <c r="Z140" s="168"/>
      <c r="AA140" s="173"/>
      <c r="AT140" s="174" t="s">
        <v>145</v>
      </c>
      <c r="AU140" s="174" t="s">
        <v>96</v>
      </c>
      <c r="AV140" s="11" t="s">
        <v>142</v>
      </c>
      <c r="AW140" s="11" t="s">
        <v>33</v>
      </c>
      <c r="AX140" s="11" t="s">
        <v>80</v>
      </c>
      <c r="AY140" s="174" t="s">
        <v>137</v>
      </c>
    </row>
    <row r="141" spans="2:65" s="1" customFormat="1" ht="16.5" customHeight="1">
      <c r="B141" s="33"/>
      <c r="C141" s="175">
        <f>C135+1</f>
        <v>7</v>
      </c>
      <c r="D141" s="175" t="s">
        <v>149</v>
      </c>
      <c r="E141" s="176" t="s">
        <v>156</v>
      </c>
      <c r="F141" s="305" t="s">
        <v>157</v>
      </c>
      <c r="G141" s="305"/>
      <c r="H141" s="305"/>
      <c r="I141" s="305"/>
      <c r="J141" s="177" t="s">
        <v>152</v>
      </c>
      <c r="K141" s="178">
        <f>K142</f>
        <v>6.536</v>
      </c>
      <c r="L141" s="233"/>
      <c r="M141" s="219"/>
      <c r="N141" s="306">
        <f>ROUND(L141*K141,2)</f>
        <v>0</v>
      </c>
      <c r="O141" s="307"/>
      <c r="P141" s="307"/>
      <c r="Q141" s="307"/>
      <c r="R141" s="35"/>
      <c r="T141" s="155" t="s">
        <v>19</v>
      </c>
      <c r="U141" s="42" t="s">
        <v>39</v>
      </c>
      <c r="V141" s="156">
        <v>0</v>
      </c>
      <c r="W141" s="156">
        <f>V141*K141</f>
        <v>0</v>
      </c>
      <c r="X141" s="156">
        <v>1</v>
      </c>
      <c r="Y141" s="156">
        <f>X141*K141</f>
        <v>6.536</v>
      </c>
      <c r="Z141" s="156">
        <v>0</v>
      </c>
      <c r="AA141" s="157">
        <f>Z141*K141</f>
        <v>0</v>
      </c>
      <c r="AR141" s="20" t="s">
        <v>153</v>
      </c>
      <c r="AT141" s="20" t="s">
        <v>149</v>
      </c>
      <c r="AU141" s="20" t="s">
        <v>96</v>
      </c>
      <c r="AY141" s="20" t="s">
        <v>137</v>
      </c>
      <c r="BE141" s="158">
        <f>IF(U141="základní",N141,0)</f>
        <v>0</v>
      </c>
      <c r="BF141" s="158">
        <f>IF(U141="snížená",N141,0)</f>
        <v>0</v>
      </c>
      <c r="BG141" s="158">
        <f>IF(U141="zákl. přenesená",N141,0)</f>
        <v>0</v>
      </c>
      <c r="BH141" s="158">
        <f>IF(U141="sníž. přenesená",N141,0)</f>
        <v>0</v>
      </c>
      <c r="BI141" s="158">
        <f>IF(U141="nulová",N141,0)</f>
        <v>0</v>
      </c>
      <c r="BJ141" s="20" t="s">
        <v>80</v>
      </c>
      <c r="BK141" s="158">
        <f>ROUND(L141*K141,2)</f>
        <v>0</v>
      </c>
      <c r="BL141" s="20" t="s">
        <v>142</v>
      </c>
      <c r="BM141" s="20" t="s">
        <v>291</v>
      </c>
    </row>
    <row r="142" spans="2:51" s="10" customFormat="1" ht="25.5" customHeight="1">
      <c r="B142" s="159"/>
      <c r="C142" s="203"/>
      <c r="D142" s="203"/>
      <c r="E142" s="161" t="s">
        <v>19</v>
      </c>
      <c r="F142" s="308" t="s">
        <v>545</v>
      </c>
      <c r="G142" s="309"/>
      <c r="H142" s="309"/>
      <c r="I142" s="309"/>
      <c r="J142" s="203"/>
      <c r="K142" s="162">
        <f>3.268*2</f>
        <v>6.536</v>
      </c>
      <c r="L142" s="233"/>
      <c r="M142" s="221"/>
      <c r="N142" s="203"/>
      <c r="O142" s="203"/>
      <c r="P142" s="203"/>
      <c r="Q142" s="203"/>
      <c r="R142" s="163"/>
      <c r="T142" s="164"/>
      <c r="U142" s="203"/>
      <c r="V142" s="203"/>
      <c r="W142" s="203"/>
      <c r="X142" s="203"/>
      <c r="Y142" s="203"/>
      <c r="Z142" s="203"/>
      <c r="AA142" s="165"/>
      <c r="AT142" s="166" t="s">
        <v>145</v>
      </c>
      <c r="AU142" s="166" t="s">
        <v>96</v>
      </c>
      <c r="AV142" s="10" t="s">
        <v>96</v>
      </c>
      <c r="AW142" s="10" t="s">
        <v>33</v>
      </c>
      <c r="AX142" s="10" t="s">
        <v>73</v>
      </c>
      <c r="AY142" s="166" t="s">
        <v>137</v>
      </c>
    </row>
    <row r="143" spans="2:65" s="1" customFormat="1" ht="38.25" customHeight="1">
      <c r="B143" s="33"/>
      <c r="C143" s="151">
        <f>C141+1</f>
        <v>8</v>
      </c>
      <c r="D143" s="151" t="s">
        <v>138</v>
      </c>
      <c r="E143" s="152" t="s">
        <v>276</v>
      </c>
      <c r="F143" s="312" t="s">
        <v>277</v>
      </c>
      <c r="G143" s="312"/>
      <c r="H143" s="312"/>
      <c r="I143" s="312"/>
      <c r="J143" s="153" t="s">
        <v>141</v>
      </c>
      <c r="K143" s="154">
        <v>3.713</v>
      </c>
      <c r="L143" s="233"/>
      <c r="M143" s="220"/>
      <c r="N143" s="307">
        <f>ROUND(L143*K143,2)</f>
        <v>0</v>
      </c>
      <c r="O143" s="307"/>
      <c r="P143" s="307"/>
      <c r="Q143" s="307"/>
      <c r="R143" s="35"/>
      <c r="T143" s="155" t="s">
        <v>19</v>
      </c>
      <c r="U143" s="42" t="s">
        <v>39</v>
      </c>
      <c r="V143" s="156">
        <v>0.465</v>
      </c>
      <c r="W143" s="156">
        <f>V143*K143</f>
        <v>1.7265450000000002</v>
      </c>
      <c r="X143" s="156">
        <v>0</v>
      </c>
      <c r="Y143" s="156">
        <f>X143*K143</f>
        <v>0</v>
      </c>
      <c r="Z143" s="156">
        <v>0</v>
      </c>
      <c r="AA143" s="157">
        <f>Z143*K143</f>
        <v>0</v>
      </c>
      <c r="AR143" s="20" t="s">
        <v>142</v>
      </c>
      <c r="AT143" s="20" t="s">
        <v>138</v>
      </c>
      <c r="AU143" s="20" t="s">
        <v>96</v>
      </c>
      <c r="AY143" s="20" t="s">
        <v>137</v>
      </c>
      <c r="BE143" s="158">
        <f>IF(U143="základní",N143,0)</f>
        <v>0</v>
      </c>
      <c r="BF143" s="158">
        <f>IF(U143="snížená",N143,0)</f>
        <v>0</v>
      </c>
      <c r="BG143" s="158">
        <f>IF(U143="zákl. přenesená",N143,0)</f>
        <v>0</v>
      </c>
      <c r="BH143" s="158">
        <f>IF(U143="sníž. přenesená",N143,0)</f>
        <v>0</v>
      </c>
      <c r="BI143" s="158">
        <f>IF(U143="nulová",N143,0)</f>
        <v>0</v>
      </c>
      <c r="BJ143" s="20" t="s">
        <v>80</v>
      </c>
      <c r="BK143" s="158">
        <f>ROUND(L143*K143,2)</f>
        <v>0</v>
      </c>
      <c r="BL143" s="20" t="s">
        <v>142</v>
      </c>
      <c r="BM143" s="20" t="s">
        <v>295</v>
      </c>
    </row>
    <row r="144" spans="2:51" s="10" customFormat="1" ht="25.5" customHeight="1">
      <c r="B144" s="159"/>
      <c r="C144" s="160"/>
      <c r="D144" s="160"/>
      <c r="E144" s="161" t="s">
        <v>19</v>
      </c>
      <c r="F144" s="308" t="s">
        <v>278</v>
      </c>
      <c r="G144" s="309"/>
      <c r="H144" s="309"/>
      <c r="I144" s="309"/>
      <c r="J144" s="160"/>
      <c r="K144" s="162">
        <v>3.713</v>
      </c>
      <c r="L144" s="233"/>
      <c r="M144" s="221"/>
      <c r="N144" s="160"/>
      <c r="O144" s="160"/>
      <c r="P144" s="160"/>
      <c r="Q144" s="160"/>
      <c r="R144" s="163"/>
      <c r="T144" s="164"/>
      <c r="U144" s="160"/>
      <c r="V144" s="160"/>
      <c r="W144" s="160"/>
      <c r="X144" s="160"/>
      <c r="Y144" s="160"/>
      <c r="Z144" s="160"/>
      <c r="AA144" s="165"/>
      <c r="AT144" s="166" t="s">
        <v>145</v>
      </c>
      <c r="AU144" s="166" t="s">
        <v>96</v>
      </c>
      <c r="AV144" s="10" t="s">
        <v>96</v>
      </c>
      <c r="AW144" s="10" t="s">
        <v>33</v>
      </c>
      <c r="AX144" s="10" t="s">
        <v>80</v>
      </c>
      <c r="AY144" s="166" t="s">
        <v>137</v>
      </c>
    </row>
    <row r="145" spans="2:65" s="1" customFormat="1" ht="38.25" customHeight="1">
      <c r="B145" s="33"/>
      <c r="C145" s="151">
        <f>C143+1</f>
        <v>9</v>
      </c>
      <c r="D145" s="151" t="s">
        <v>138</v>
      </c>
      <c r="E145" s="152" t="s">
        <v>160</v>
      </c>
      <c r="F145" s="312" t="s">
        <v>161</v>
      </c>
      <c r="G145" s="312"/>
      <c r="H145" s="312"/>
      <c r="I145" s="312"/>
      <c r="J145" s="153" t="s">
        <v>162</v>
      </c>
      <c r="K145" s="154">
        <v>80</v>
      </c>
      <c r="L145" s="233"/>
      <c r="M145" s="220"/>
      <c r="N145" s="307">
        <f>ROUND(L145*K145,2)</f>
        <v>0</v>
      </c>
      <c r="O145" s="307"/>
      <c r="P145" s="307"/>
      <c r="Q145" s="307"/>
      <c r="R145" s="35"/>
      <c r="T145" s="155" t="s">
        <v>19</v>
      </c>
      <c r="U145" s="42" t="s">
        <v>39</v>
      </c>
      <c r="V145" s="156">
        <v>0.13</v>
      </c>
      <c r="W145" s="156">
        <f>V145*K145</f>
        <v>10.4</v>
      </c>
      <c r="X145" s="156">
        <v>0</v>
      </c>
      <c r="Y145" s="156">
        <f>X145*K145</f>
        <v>0</v>
      </c>
      <c r="Z145" s="156">
        <v>0</v>
      </c>
      <c r="AA145" s="157">
        <f>Z145*K145</f>
        <v>0</v>
      </c>
      <c r="AR145" s="20" t="s">
        <v>142</v>
      </c>
      <c r="AT145" s="20" t="s">
        <v>138</v>
      </c>
      <c r="AU145" s="20" t="s">
        <v>96</v>
      </c>
      <c r="AY145" s="20" t="s">
        <v>137</v>
      </c>
      <c r="BE145" s="158">
        <f>IF(U145="základní",N145,0)</f>
        <v>0</v>
      </c>
      <c r="BF145" s="158">
        <f>IF(U145="snížená",N145,0)</f>
        <v>0</v>
      </c>
      <c r="BG145" s="158">
        <f>IF(U145="zákl. přenesená",N145,0)</f>
        <v>0</v>
      </c>
      <c r="BH145" s="158">
        <f>IF(U145="sníž. přenesená",N145,0)</f>
        <v>0</v>
      </c>
      <c r="BI145" s="158">
        <f>IF(U145="nulová",N145,0)</f>
        <v>0</v>
      </c>
      <c r="BJ145" s="20" t="s">
        <v>80</v>
      </c>
      <c r="BK145" s="158">
        <f>ROUND(L145*K145,2)</f>
        <v>0</v>
      </c>
      <c r="BL145" s="20" t="s">
        <v>142</v>
      </c>
      <c r="BM145" s="20" t="s">
        <v>296</v>
      </c>
    </row>
    <row r="146" spans="2:51" s="10" customFormat="1" ht="16.5" customHeight="1">
      <c r="B146" s="159"/>
      <c r="C146" s="160"/>
      <c r="D146" s="160"/>
      <c r="E146" s="161" t="s">
        <v>19</v>
      </c>
      <c r="F146" s="308" t="s">
        <v>297</v>
      </c>
      <c r="G146" s="309"/>
      <c r="H146" s="309"/>
      <c r="I146" s="309"/>
      <c r="J146" s="160"/>
      <c r="K146" s="162">
        <v>80</v>
      </c>
      <c r="L146" s="233"/>
      <c r="M146" s="221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145</v>
      </c>
      <c r="AU146" s="166" t="s">
        <v>96</v>
      </c>
      <c r="AV146" s="10" t="s">
        <v>96</v>
      </c>
      <c r="AW146" s="10" t="s">
        <v>33</v>
      </c>
      <c r="AX146" s="10" t="s">
        <v>80</v>
      </c>
      <c r="AY146" s="166" t="s">
        <v>137</v>
      </c>
    </row>
    <row r="147" spans="2:65" s="1" customFormat="1" ht="25.5" customHeight="1">
      <c r="B147" s="33"/>
      <c r="C147" s="151">
        <f>C145+1</f>
        <v>10</v>
      </c>
      <c r="D147" s="151" t="s">
        <v>138</v>
      </c>
      <c r="E147" s="152" t="s">
        <v>166</v>
      </c>
      <c r="F147" s="312" t="s">
        <v>167</v>
      </c>
      <c r="G147" s="312"/>
      <c r="H147" s="312"/>
      <c r="I147" s="312"/>
      <c r="J147" s="153" t="s">
        <v>162</v>
      </c>
      <c r="K147" s="154">
        <v>80</v>
      </c>
      <c r="L147" s="233"/>
      <c r="M147" s="220"/>
      <c r="N147" s="307">
        <f>ROUND(L147*K147,2)</f>
        <v>0</v>
      </c>
      <c r="O147" s="307"/>
      <c r="P147" s="307"/>
      <c r="Q147" s="307"/>
      <c r="R147" s="35"/>
      <c r="T147" s="155" t="s">
        <v>19</v>
      </c>
      <c r="U147" s="42" t="s">
        <v>39</v>
      </c>
      <c r="V147" s="156">
        <v>0.007</v>
      </c>
      <c r="W147" s="156">
        <f>V147*K147</f>
        <v>0.56</v>
      </c>
      <c r="X147" s="156">
        <v>0</v>
      </c>
      <c r="Y147" s="156">
        <f>X147*K147</f>
        <v>0</v>
      </c>
      <c r="Z147" s="156">
        <v>0</v>
      </c>
      <c r="AA147" s="157">
        <f>Z147*K147</f>
        <v>0</v>
      </c>
      <c r="AR147" s="20" t="s">
        <v>142</v>
      </c>
      <c r="AT147" s="20" t="s">
        <v>138</v>
      </c>
      <c r="AU147" s="20" t="s">
        <v>96</v>
      </c>
      <c r="AY147" s="20" t="s">
        <v>137</v>
      </c>
      <c r="BE147" s="158">
        <f>IF(U147="základní",N147,0)</f>
        <v>0</v>
      </c>
      <c r="BF147" s="158">
        <f>IF(U147="snížená",N147,0)</f>
        <v>0</v>
      </c>
      <c r="BG147" s="158">
        <f>IF(U147="zákl. přenesená",N147,0)</f>
        <v>0</v>
      </c>
      <c r="BH147" s="158">
        <f>IF(U147="sníž. přenesená",N147,0)</f>
        <v>0</v>
      </c>
      <c r="BI147" s="158">
        <f>IF(U147="nulová",N147,0)</f>
        <v>0</v>
      </c>
      <c r="BJ147" s="20" t="s">
        <v>80</v>
      </c>
      <c r="BK147" s="158">
        <f>ROUND(L147*K147,2)</f>
        <v>0</v>
      </c>
      <c r="BL147" s="20" t="s">
        <v>142</v>
      </c>
      <c r="BM147" s="20" t="s">
        <v>298</v>
      </c>
    </row>
    <row r="148" spans="2:51" s="10" customFormat="1" ht="16.5" customHeight="1">
      <c r="B148" s="159"/>
      <c r="C148" s="160"/>
      <c r="D148" s="160"/>
      <c r="E148" s="161" t="s">
        <v>19</v>
      </c>
      <c r="F148" s="308" t="s">
        <v>297</v>
      </c>
      <c r="G148" s="309"/>
      <c r="H148" s="309"/>
      <c r="I148" s="309"/>
      <c r="J148" s="160"/>
      <c r="K148" s="162">
        <v>80</v>
      </c>
      <c r="L148" s="233"/>
      <c r="M148" s="221"/>
      <c r="N148" s="160"/>
      <c r="O148" s="160"/>
      <c r="P148" s="160"/>
      <c r="Q148" s="160"/>
      <c r="R148" s="163"/>
      <c r="T148" s="164"/>
      <c r="U148" s="160"/>
      <c r="V148" s="160"/>
      <c r="W148" s="160"/>
      <c r="X148" s="160"/>
      <c r="Y148" s="160"/>
      <c r="Z148" s="160"/>
      <c r="AA148" s="165"/>
      <c r="AT148" s="166" t="s">
        <v>145</v>
      </c>
      <c r="AU148" s="166" t="s">
        <v>96</v>
      </c>
      <c r="AV148" s="10" t="s">
        <v>96</v>
      </c>
      <c r="AW148" s="10" t="s">
        <v>33</v>
      </c>
      <c r="AX148" s="10" t="s">
        <v>80</v>
      </c>
      <c r="AY148" s="166" t="s">
        <v>137</v>
      </c>
    </row>
    <row r="149" spans="2:65" s="1" customFormat="1" ht="16.5" customHeight="1">
      <c r="B149" s="33"/>
      <c r="C149" s="151">
        <f>C147+1</f>
        <v>11</v>
      </c>
      <c r="D149" s="175" t="s">
        <v>149</v>
      </c>
      <c r="E149" s="176" t="s">
        <v>170</v>
      </c>
      <c r="F149" s="305" t="s">
        <v>171</v>
      </c>
      <c r="G149" s="305"/>
      <c r="H149" s="305"/>
      <c r="I149" s="305"/>
      <c r="J149" s="177" t="s">
        <v>172</v>
      </c>
      <c r="K149" s="178">
        <v>4</v>
      </c>
      <c r="L149" s="233"/>
      <c r="M149" s="219"/>
      <c r="N149" s="306">
        <f>ROUND(L149*K149,2)</f>
        <v>0</v>
      </c>
      <c r="O149" s="307"/>
      <c r="P149" s="307"/>
      <c r="Q149" s="307"/>
      <c r="R149" s="35"/>
      <c r="T149" s="155" t="s">
        <v>19</v>
      </c>
      <c r="U149" s="42" t="s">
        <v>39</v>
      </c>
      <c r="V149" s="156">
        <v>0</v>
      </c>
      <c r="W149" s="156">
        <f>V149*K149</f>
        <v>0</v>
      </c>
      <c r="X149" s="156">
        <v>0.001</v>
      </c>
      <c r="Y149" s="156">
        <f>X149*K149</f>
        <v>0.004</v>
      </c>
      <c r="Z149" s="156">
        <v>0</v>
      </c>
      <c r="AA149" s="157">
        <f>Z149*K149</f>
        <v>0</v>
      </c>
      <c r="AR149" s="20" t="s">
        <v>153</v>
      </c>
      <c r="AT149" s="20" t="s">
        <v>149</v>
      </c>
      <c r="AU149" s="20" t="s">
        <v>96</v>
      </c>
      <c r="AY149" s="20" t="s">
        <v>137</v>
      </c>
      <c r="BE149" s="158">
        <f>IF(U149="základní",N149,0)</f>
        <v>0</v>
      </c>
      <c r="BF149" s="158">
        <f>IF(U149="snížená",N149,0)</f>
        <v>0</v>
      </c>
      <c r="BG149" s="158">
        <f>IF(U149="zákl. přenesená",N149,0)</f>
        <v>0</v>
      </c>
      <c r="BH149" s="158">
        <f>IF(U149="sníž. přenesená",N149,0)</f>
        <v>0</v>
      </c>
      <c r="BI149" s="158">
        <f>IF(U149="nulová",N149,0)</f>
        <v>0</v>
      </c>
      <c r="BJ149" s="20" t="s">
        <v>80</v>
      </c>
      <c r="BK149" s="158">
        <f>ROUND(L149*K149,2)</f>
        <v>0</v>
      </c>
      <c r="BL149" s="20" t="s">
        <v>142</v>
      </c>
      <c r="BM149" s="20" t="s">
        <v>299</v>
      </c>
    </row>
    <row r="150" spans="2:63" s="9" customFormat="1" ht="29.85" customHeight="1">
      <c r="B150" s="140"/>
      <c r="C150" s="141"/>
      <c r="D150" s="150" t="s">
        <v>109</v>
      </c>
      <c r="E150" s="150"/>
      <c r="F150" s="150"/>
      <c r="G150" s="150"/>
      <c r="H150" s="150"/>
      <c r="I150" s="150"/>
      <c r="J150" s="150"/>
      <c r="K150" s="150"/>
      <c r="L150" s="233"/>
      <c r="M150" s="150"/>
      <c r="N150" s="313">
        <f>N151</f>
        <v>0</v>
      </c>
      <c r="O150" s="314"/>
      <c r="P150" s="314"/>
      <c r="Q150" s="314"/>
      <c r="R150" s="143"/>
      <c r="T150" s="144"/>
      <c r="U150" s="141"/>
      <c r="V150" s="141"/>
      <c r="W150" s="145">
        <f>SUM(W151:W154)</f>
        <v>0.13840799999999998</v>
      </c>
      <c r="X150" s="141"/>
      <c r="Y150" s="145">
        <f>SUM(Y151:Y154)</f>
        <v>0.5347525799999999</v>
      </c>
      <c r="Z150" s="141"/>
      <c r="AA150" s="146">
        <f>SUM(AA151:AA154)</f>
        <v>0</v>
      </c>
      <c r="AR150" s="147" t="s">
        <v>80</v>
      </c>
      <c r="AT150" s="148" t="s">
        <v>72</v>
      </c>
      <c r="AU150" s="148" t="s">
        <v>80</v>
      </c>
      <c r="AY150" s="147" t="s">
        <v>137</v>
      </c>
      <c r="BK150" s="149">
        <f>SUM(BK151:BK154)</f>
        <v>0</v>
      </c>
    </row>
    <row r="151" spans="2:65" s="1" customFormat="1" ht="16.5" customHeight="1">
      <c r="B151" s="33"/>
      <c r="C151" s="151">
        <f>C149+1</f>
        <v>12</v>
      </c>
      <c r="D151" s="151" t="s">
        <v>138</v>
      </c>
      <c r="E151" s="152" t="s">
        <v>174</v>
      </c>
      <c r="F151" s="312" t="s">
        <v>175</v>
      </c>
      <c r="G151" s="312"/>
      <c r="H151" s="312"/>
      <c r="I151" s="312"/>
      <c r="J151" s="153" t="s">
        <v>141</v>
      </c>
      <c r="K151" s="154">
        <v>0.237</v>
      </c>
      <c r="L151" s="233"/>
      <c r="M151" s="220"/>
      <c r="N151" s="307">
        <f>ROUND(L151*K151,2)</f>
        <v>0</v>
      </c>
      <c r="O151" s="307"/>
      <c r="P151" s="307"/>
      <c r="Q151" s="307"/>
      <c r="R151" s="35"/>
      <c r="T151" s="155" t="s">
        <v>19</v>
      </c>
      <c r="U151" s="42" t="s">
        <v>39</v>
      </c>
      <c r="V151" s="156">
        <v>0.584</v>
      </c>
      <c r="W151" s="156">
        <f>V151*K151</f>
        <v>0.13840799999999998</v>
      </c>
      <c r="X151" s="156">
        <v>2.25634</v>
      </c>
      <c r="Y151" s="156">
        <f>X151*K151</f>
        <v>0.5347525799999999</v>
      </c>
      <c r="Z151" s="156">
        <v>0</v>
      </c>
      <c r="AA151" s="157">
        <f>Z151*K151</f>
        <v>0</v>
      </c>
      <c r="AR151" s="20" t="s">
        <v>142</v>
      </c>
      <c r="AT151" s="20" t="s">
        <v>138</v>
      </c>
      <c r="AU151" s="20" t="s">
        <v>96</v>
      </c>
      <c r="AY151" s="20" t="s">
        <v>137</v>
      </c>
      <c r="BE151" s="158">
        <f>IF(U151="základní",N151,0)</f>
        <v>0</v>
      </c>
      <c r="BF151" s="158">
        <f>IF(U151="snížená",N151,0)</f>
        <v>0</v>
      </c>
      <c r="BG151" s="158">
        <f>IF(U151="zákl. přenesená",N151,0)</f>
        <v>0</v>
      </c>
      <c r="BH151" s="158">
        <f>IF(U151="sníž. přenesená",N151,0)</f>
        <v>0</v>
      </c>
      <c r="BI151" s="158">
        <f>IF(U151="nulová",N151,0)</f>
        <v>0</v>
      </c>
      <c r="BJ151" s="20" t="s">
        <v>80</v>
      </c>
      <c r="BK151" s="158">
        <f>ROUND(L151*K151,2)</f>
        <v>0</v>
      </c>
      <c r="BL151" s="20" t="s">
        <v>142</v>
      </c>
      <c r="BM151" s="20" t="s">
        <v>300</v>
      </c>
    </row>
    <row r="152" spans="2:51" s="10" customFormat="1" ht="25.5" customHeight="1">
      <c r="B152" s="159"/>
      <c r="C152" s="160"/>
      <c r="D152" s="160"/>
      <c r="E152" s="161" t="s">
        <v>19</v>
      </c>
      <c r="F152" s="308" t="s">
        <v>301</v>
      </c>
      <c r="G152" s="309"/>
      <c r="H152" s="309"/>
      <c r="I152" s="309"/>
      <c r="J152" s="160"/>
      <c r="K152" s="162">
        <v>0.056</v>
      </c>
      <c r="L152" s="233"/>
      <c r="M152" s="221"/>
      <c r="N152" s="160"/>
      <c r="O152" s="160"/>
      <c r="P152" s="160"/>
      <c r="Q152" s="160"/>
      <c r="R152" s="163"/>
      <c r="T152" s="164"/>
      <c r="U152" s="160"/>
      <c r="V152" s="160"/>
      <c r="W152" s="160"/>
      <c r="X152" s="160"/>
      <c r="Y152" s="160"/>
      <c r="Z152" s="160"/>
      <c r="AA152" s="165"/>
      <c r="AT152" s="166" t="s">
        <v>145</v>
      </c>
      <c r="AU152" s="166" t="s">
        <v>96</v>
      </c>
      <c r="AV152" s="10" t="s">
        <v>96</v>
      </c>
      <c r="AW152" s="10" t="s">
        <v>33</v>
      </c>
      <c r="AX152" s="10" t="s">
        <v>73</v>
      </c>
      <c r="AY152" s="166" t="s">
        <v>137</v>
      </c>
    </row>
    <row r="153" spans="2:51" s="10" customFormat="1" ht="16.5" customHeight="1">
      <c r="B153" s="159"/>
      <c r="C153" s="160"/>
      <c r="D153" s="160"/>
      <c r="E153" s="161" t="s">
        <v>19</v>
      </c>
      <c r="F153" s="310" t="s">
        <v>302</v>
      </c>
      <c r="G153" s="311"/>
      <c r="H153" s="311"/>
      <c r="I153" s="311"/>
      <c r="J153" s="160"/>
      <c r="K153" s="162">
        <v>0.181</v>
      </c>
      <c r="L153" s="233"/>
      <c r="M153" s="221"/>
      <c r="N153" s="160"/>
      <c r="O153" s="160"/>
      <c r="P153" s="160"/>
      <c r="Q153" s="160"/>
      <c r="R153" s="163"/>
      <c r="T153" s="164"/>
      <c r="U153" s="160"/>
      <c r="V153" s="160"/>
      <c r="W153" s="160"/>
      <c r="X153" s="160"/>
      <c r="Y153" s="160"/>
      <c r="Z153" s="160"/>
      <c r="AA153" s="165"/>
      <c r="AT153" s="166" t="s">
        <v>145</v>
      </c>
      <c r="AU153" s="166" t="s">
        <v>96</v>
      </c>
      <c r="AV153" s="10" t="s">
        <v>96</v>
      </c>
      <c r="AW153" s="10" t="s">
        <v>33</v>
      </c>
      <c r="AX153" s="10" t="s">
        <v>73</v>
      </c>
      <c r="AY153" s="166" t="s">
        <v>137</v>
      </c>
    </row>
    <row r="154" spans="2:51" s="11" customFormat="1" ht="16.5" customHeight="1">
      <c r="B154" s="167"/>
      <c r="C154" s="168"/>
      <c r="D154" s="168"/>
      <c r="E154" s="169" t="s">
        <v>19</v>
      </c>
      <c r="F154" s="303" t="s">
        <v>148</v>
      </c>
      <c r="G154" s="304"/>
      <c r="H154" s="304"/>
      <c r="I154" s="304"/>
      <c r="J154" s="168"/>
      <c r="K154" s="170">
        <v>0.237</v>
      </c>
      <c r="L154" s="233"/>
      <c r="M154" s="218"/>
      <c r="N154" s="168"/>
      <c r="O154" s="168"/>
      <c r="P154" s="168"/>
      <c r="Q154" s="168"/>
      <c r="R154" s="171"/>
      <c r="T154" s="172"/>
      <c r="U154" s="168"/>
      <c r="V154" s="168"/>
      <c r="W154" s="168"/>
      <c r="X154" s="168"/>
      <c r="Y154" s="168"/>
      <c r="Z154" s="168"/>
      <c r="AA154" s="173"/>
      <c r="AT154" s="174" t="s">
        <v>145</v>
      </c>
      <c r="AU154" s="174" t="s">
        <v>96</v>
      </c>
      <c r="AV154" s="11" t="s">
        <v>142</v>
      </c>
      <c r="AW154" s="11" t="s">
        <v>33</v>
      </c>
      <c r="AX154" s="11" t="s">
        <v>80</v>
      </c>
      <c r="AY154" s="174" t="s">
        <v>137</v>
      </c>
    </row>
    <row r="155" spans="2:63" s="9" customFormat="1" ht="29.85" customHeight="1">
      <c r="B155" s="140"/>
      <c r="C155" s="141"/>
      <c r="D155" s="150" t="s">
        <v>110</v>
      </c>
      <c r="E155" s="150"/>
      <c r="F155" s="150"/>
      <c r="G155" s="150"/>
      <c r="H155" s="150"/>
      <c r="I155" s="150"/>
      <c r="J155" s="150"/>
      <c r="K155" s="150"/>
      <c r="L155" s="233"/>
      <c r="M155" s="150"/>
      <c r="N155" s="301">
        <f>SUM(N156:N158)</f>
        <v>0</v>
      </c>
      <c r="O155" s="302"/>
      <c r="P155" s="302"/>
      <c r="Q155" s="302"/>
      <c r="R155" s="143"/>
      <c r="T155" s="144"/>
      <c r="U155" s="141"/>
      <c r="V155" s="141"/>
      <c r="W155" s="145">
        <f>SUM(W156:W159)</f>
        <v>5.457375</v>
      </c>
      <c r="X155" s="141"/>
      <c r="Y155" s="145">
        <f>SUM(Y156:Y159)</f>
        <v>0</v>
      </c>
      <c r="Z155" s="141"/>
      <c r="AA155" s="146">
        <f>SUM(AA156:AA159)</f>
        <v>0</v>
      </c>
      <c r="AR155" s="147" t="s">
        <v>80</v>
      </c>
      <c r="AT155" s="148" t="s">
        <v>72</v>
      </c>
      <c r="AU155" s="148" t="s">
        <v>80</v>
      </c>
      <c r="AY155" s="147" t="s">
        <v>137</v>
      </c>
      <c r="BK155" s="149">
        <f>SUM(BK156:BK159)</f>
        <v>0</v>
      </c>
    </row>
    <row r="156" spans="2:65" s="1" customFormat="1" ht="38.25" customHeight="1">
      <c r="B156" s="33"/>
      <c r="C156" s="151">
        <f>C151+1</f>
        <v>13</v>
      </c>
      <c r="D156" s="151" t="s">
        <v>138</v>
      </c>
      <c r="E156" s="152" t="s">
        <v>178</v>
      </c>
      <c r="F156" s="312" t="s">
        <v>179</v>
      </c>
      <c r="G156" s="312"/>
      <c r="H156" s="312"/>
      <c r="I156" s="312"/>
      <c r="J156" s="153" t="s">
        <v>162</v>
      </c>
      <c r="K156" s="154">
        <v>20.25</v>
      </c>
      <c r="L156" s="233"/>
      <c r="M156" s="220"/>
      <c r="N156" s="307">
        <f>ROUND(L156*K156,2)</f>
        <v>0</v>
      </c>
      <c r="O156" s="307"/>
      <c r="P156" s="307"/>
      <c r="Q156" s="307"/>
      <c r="R156" s="35"/>
      <c r="T156" s="155" t="s">
        <v>19</v>
      </c>
      <c r="U156" s="42" t="s">
        <v>39</v>
      </c>
      <c r="V156" s="156">
        <v>0.213</v>
      </c>
      <c r="W156" s="156">
        <f>V156*K156</f>
        <v>4.31325</v>
      </c>
      <c r="X156" s="156">
        <v>0</v>
      </c>
      <c r="Y156" s="156">
        <f>X156*K156</f>
        <v>0</v>
      </c>
      <c r="Z156" s="156">
        <v>0</v>
      </c>
      <c r="AA156" s="157">
        <f>Z156*K156</f>
        <v>0</v>
      </c>
      <c r="AR156" s="20" t="s">
        <v>142</v>
      </c>
      <c r="AT156" s="20" t="s">
        <v>138</v>
      </c>
      <c r="AU156" s="20" t="s">
        <v>96</v>
      </c>
      <c r="AY156" s="20" t="s">
        <v>137</v>
      </c>
      <c r="BE156" s="158">
        <f>IF(U156="základní",N156,0)</f>
        <v>0</v>
      </c>
      <c r="BF156" s="158">
        <f>IF(U156="snížená",N156,0)</f>
        <v>0</v>
      </c>
      <c r="BG156" s="158">
        <f>IF(U156="zákl. přenesená",N156,0)</f>
        <v>0</v>
      </c>
      <c r="BH156" s="158">
        <f>IF(U156="sníž. přenesená",N156,0)</f>
        <v>0</v>
      </c>
      <c r="BI156" s="158">
        <f>IF(U156="nulová",N156,0)</f>
        <v>0</v>
      </c>
      <c r="BJ156" s="20" t="s">
        <v>80</v>
      </c>
      <c r="BK156" s="158">
        <f>ROUND(L156*K156,2)</f>
        <v>0</v>
      </c>
      <c r="BL156" s="20" t="s">
        <v>142</v>
      </c>
      <c r="BM156" s="20" t="s">
        <v>303</v>
      </c>
    </row>
    <row r="157" spans="2:51" s="10" customFormat="1" ht="16.5" customHeight="1">
      <c r="B157" s="159"/>
      <c r="C157" s="160"/>
      <c r="D157" s="160"/>
      <c r="E157" s="161" t="s">
        <v>19</v>
      </c>
      <c r="F157" s="308" t="s">
        <v>304</v>
      </c>
      <c r="G157" s="309"/>
      <c r="H157" s="309"/>
      <c r="I157" s="309"/>
      <c r="J157" s="160"/>
      <c r="K157" s="162">
        <v>20.25</v>
      </c>
      <c r="L157" s="233"/>
      <c r="M157" s="221"/>
      <c r="N157" s="160"/>
      <c r="O157" s="160"/>
      <c r="P157" s="160"/>
      <c r="Q157" s="160"/>
      <c r="R157" s="163"/>
      <c r="T157" s="164"/>
      <c r="U157" s="160"/>
      <c r="V157" s="160"/>
      <c r="W157" s="160"/>
      <c r="X157" s="160"/>
      <c r="Y157" s="160"/>
      <c r="Z157" s="160"/>
      <c r="AA157" s="165"/>
      <c r="AT157" s="166" t="s">
        <v>145</v>
      </c>
      <c r="AU157" s="166" t="s">
        <v>96</v>
      </c>
      <c r="AV157" s="10" t="s">
        <v>96</v>
      </c>
      <c r="AW157" s="10" t="s">
        <v>33</v>
      </c>
      <c r="AX157" s="10" t="s">
        <v>80</v>
      </c>
      <c r="AY157" s="166" t="s">
        <v>137</v>
      </c>
    </row>
    <row r="158" spans="2:65" s="1" customFormat="1" ht="25.5" customHeight="1">
      <c r="B158" s="33"/>
      <c r="C158" s="151">
        <f>C156+1</f>
        <v>14</v>
      </c>
      <c r="D158" s="151" t="s">
        <v>138</v>
      </c>
      <c r="E158" s="152" t="s">
        <v>279</v>
      </c>
      <c r="F158" s="312" t="s">
        <v>305</v>
      </c>
      <c r="G158" s="312"/>
      <c r="H158" s="312"/>
      <c r="I158" s="312"/>
      <c r="J158" s="153" t="s">
        <v>141</v>
      </c>
      <c r="K158" s="154">
        <v>0.675</v>
      </c>
      <c r="L158" s="233"/>
      <c r="M158" s="220"/>
      <c r="N158" s="307">
        <f>ROUND(L158*K158,2)</f>
        <v>0</v>
      </c>
      <c r="O158" s="307"/>
      <c r="P158" s="307"/>
      <c r="Q158" s="307"/>
      <c r="R158" s="35"/>
      <c r="T158" s="155" t="s">
        <v>19</v>
      </c>
      <c r="U158" s="42" t="s">
        <v>39</v>
      </c>
      <c r="V158" s="156">
        <v>1.695</v>
      </c>
      <c r="W158" s="156">
        <f>V158*K158</f>
        <v>1.144125</v>
      </c>
      <c r="X158" s="156">
        <v>0</v>
      </c>
      <c r="Y158" s="156">
        <f>X158*K158</f>
        <v>0</v>
      </c>
      <c r="Z158" s="156">
        <v>0</v>
      </c>
      <c r="AA158" s="157">
        <f>Z158*K158</f>
        <v>0</v>
      </c>
      <c r="AR158" s="20" t="s">
        <v>142</v>
      </c>
      <c r="AT158" s="20" t="s">
        <v>138</v>
      </c>
      <c r="AU158" s="20" t="s">
        <v>96</v>
      </c>
      <c r="AY158" s="20" t="s">
        <v>137</v>
      </c>
      <c r="BE158" s="158">
        <f>IF(U158="základní",N158,0)</f>
        <v>0</v>
      </c>
      <c r="BF158" s="158">
        <f>IF(U158="snížená",N158,0)</f>
        <v>0</v>
      </c>
      <c r="BG158" s="158">
        <f>IF(U158="zákl. přenesená",N158,0)</f>
        <v>0</v>
      </c>
      <c r="BH158" s="158">
        <f>IF(U158="sníž. přenesená",N158,0)</f>
        <v>0</v>
      </c>
      <c r="BI158" s="158">
        <f>IF(U158="nulová",N158,0)</f>
        <v>0</v>
      </c>
      <c r="BJ158" s="20" t="s">
        <v>80</v>
      </c>
      <c r="BK158" s="158">
        <f>ROUND(L158*K158,2)</f>
        <v>0</v>
      </c>
      <c r="BL158" s="20" t="s">
        <v>142</v>
      </c>
      <c r="BM158" s="20" t="s">
        <v>306</v>
      </c>
    </row>
    <row r="159" spans="2:51" s="10" customFormat="1" ht="16.5" customHeight="1">
      <c r="B159" s="159"/>
      <c r="C159" s="160"/>
      <c r="D159" s="160"/>
      <c r="E159" s="161" t="s">
        <v>19</v>
      </c>
      <c r="F159" s="308" t="s">
        <v>307</v>
      </c>
      <c r="G159" s="309"/>
      <c r="H159" s="309"/>
      <c r="I159" s="309"/>
      <c r="J159" s="160"/>
      <c r="K159" s="162">
        <v>0.675</v>
      </c>
      <c r="L159" s="233"/>
      <c r="M159" s="221"/>
      <c r="N159" s="160"/>
      <c r="O159" s="160"/>
      <c r="P159" s="160"/>
      <c r="Q159" s="160"/>
      <c r="R159" s="163"/>
      <c r="T159" s="164"/>
      <c r="U159" s="160"/>
      <c r="V159" s="160"/>
      <c r="W159" s="160"/>
      <c r="X159" s="160"/>
      <c r="Y159" s="160"/>
      <c r="Z159" s="160"/>
      <c r="AA159" s="165"/>
      <c r="AT159" s="166" t="s">
        <v>145</v>
      </c>
      <c r="AU159" s="166" t="s">
        <v>96</v>
      </c>
      <c r="AV159" s="10" t="s">
        <v>96</v>
      </c>
      <c r="AW159" s="10" t="s">
        <v>33</v>
      </c>
      <c r="AX159" s="10" t="s">
        <v>80</v>
      </c>
      <c r="AY159" s="166" t="s">
        <v>137</v>
      </c>
    </row>
    <row r="160" spans="2:63" s="9" customFormat="1" ht="29.85" customHeight="1">
      <c r="B160" s="140"/>
      <c r="C160" s="141"/>
      <c r="D160" s="150" t="s">
        <v>112</v>
      </c>
      <c r="E160" s="150"/>
      <c r="F160" s="150"/>
      <c r="G160" s="150"/>
      <c r="H160" s="150"/>
      <c r="I160" s="150"/>
      <c r="J160" s="150"/>
      <c r="K160" s="150"/>
      <c r="L160" s="233"/>
      <c r="M160" s="150"/>
      <c r="N160" s="301">
        <f>SUM(N161:N175)</f>
        <v>0</v>
      </c>
      <c r="O160" s="302"/>
      <c r="P160" s="302"/>
      <c r="Q160" s="302"/>
      <c r="R160" s="143"/>
      <c r="T160" s="144"/>
      <c r="U160" s="141"/>
      <c r="V160" s="141"/>
      <c r="W160" s="145">
        <f>SUM(W161:W176)</f>
        <v>140.13265199999998</v>
      </c>
      <c r="X160" s="141"/>
      <c r="Y160" s="145">
        <f>SUM(Y161:Y176)</f>
        <v>0</v>
      </c>
      <c r="Z160" s="141"/>
      <c r="AA160" s="146">
        <f>SUM(AA161:AA176)</f>
        <v>113.25102999999999</v>
      </c>
      <c r="AR160" s="147" t="s">
        <v>80</v>
      </c>
      <c r="AT160" s="148" t="s">
        <v>72</v>
      </c>
      <c r="AU160" s="148" t="s">
        <v>80</v>
      </c>
      <c r="AY160" s="147" t="s">
        <v>137</v>
      </c>
      <c r="BK160" s="149">
        <f>SUM(BK161:BK176)</f>
        <v>0</v>
      </c>
    </row>
    <row r="161" spans="2:65" s="1" customFormat="1" ht="25.5" customHeight="1">
      <c r="B161" s="33"/>
      <c r="C161" s="151">
        <f>C158+1</f>
        <v>15</v>
      </c>
      <c r="D161" s="151" t="s">
        <v>138</v>
      </c>
      <c r="E161" s="152" t="s">
        <v>192</v>
      </c>
      <c r="F161" s="312" t="s">
        <v>193</v>
      </c>
      <c r="G161" s="312"/>
      <c r="H161" s="312"/>
      <c r="I161" s="312"/>
      <c r="J161" s="153" t="s">
        <v>141</v>
      </c>
      <c r="K161" s="154">
        <v>22.464</v>
      </c>
      <c r="L161" s="233"/>
      <c r="M161" s="220"/>
      <c r="N161" s="307">
        <f>ROUND(L161*K161,2)</f>
        <v>0</v>
      </c>
      <c r="O161" s="307"/>
      <c r="P161" s="307"/>
      <c r="Q161" s="307"/>
      <c r="R161" s="35"/>
      <c r="T161" s="155" t="s">
        <v>19</v>
      </c>
      <c r="U161" s="42" t="s">
        <v>39</v>
      </c>
      <c r="V161" s="156">
        <v>1.586</v>
      </c>
      <c r="W161" s="156">
        <f>V161*K161</f>
        <v>35.627904</v>
      </c>
      <c r="X161" s="156">
        <v>0</v>
      </c>
      <c r="Y161" s="156">
        <f>X161*K161</f>
        <v>0</v>
      </c>
      <c r="Z161" s="156">
        <v>2.27</v>
      </c>
      <c r="AA161" s="157">
        <f>Z161*K161</f>
        <v>50.99328</v>
      </c>
      <c r="AR161" s="20" t="s">
        <v>142</v>
      </c>
      <c r="AT161" s="20" t="s">
        <v>138</v>
      </c>
      <c r="AU161" s="20" t="s">
        <v>96</v>
      </c>
      <c r="AY161" s="20" t="s">
        <v>137</v>
      </c>
      <c r="BE161" s="158">
        <f>IF(U161="základní",N161,0)</f>
        <v>0</v>
      </c>
      <c r="BF161" s="158">
        <f>IF(U161="snížená",N161,0)</f>
        <v>0</v>
      </c>
      <c r="BG161" s="158">
        <f>IF(U161="zákl. přenesená",N161,0)</f>
        <v>0</v>
      </c>
      <c r="BH161" s="158">
        <f>IF(U161="sníž. přenesená",N161,0)</f>
        <v>0</v>
      </c>
      <c r="BI161" s="158">
        <f>IF(U161="nulová",N161,0)</f>
        <v>0</v>
      </c>
      <c r="BJ161" s="20" t="s">
        <v>80</v>
      </c>
      <c r="BK161" s="158">
        <f>ROUND(L161*K161,2)</f>
        <v>0</v>
      </c>
      <c r="BL161" s="20" t="s">
        <v>142</v>
      </c>
      <c r="BM161" s="20" t="s">
        <v>308</v>
      </c>
    </row>
    <row r="162" spans="2:51" s="10" customFormat="1" ht="16.5" customHeight="1">
      <c r="B162" s="159"/>
      <c r="C162" s="160"/>
      <c r="D162" s="160"/>
      <c r="E162" s="161" t="s">
        <v>19</v>
      </c>
      <c r="F162" s="308" t="s">
        <v>309</v>
      </c>
      <c r="G162" s="309"/>
      <c r="H162" s="309"/>
      <c r="I162" s="309"/>
      <c r="J162" s="160"/>
      <c r="K162" s="162">
        <v>22.464</v>
      </c>
      <c r="L162" s="233"/>
      <c r="M162" s="221"/>
      <c r="N162" s="160"/>
      <c r="O162" s="160"/>
      <c r="P162" s="160"/>
      <c r="Q162" s="160"/>
      <c r="R162" s="163"/>
      <c r="T162" s="164"/>
      <c r="U162" s="160"/>
      <c r="V162" s="160"/>
      <c r="W162" s="160"/>
      <c r="X162" s="160"/>
      <c r="Y162" s="160"/>
      <c r="Z162" s="160"/>
      <c r="AA162" s="165"/>
      <c r="AT162" s="166" t="s">
        <v>145</v>
      </c>
      <c r="AU162" s="166" t="s">
        <v>96</v>
      </c>
      <c r="AV162" s="10" t="s">
        <v>96</v>
      </c>
      <c r="AW162" s="10" t="s">
        <v>33</v>
      </c>
      <c r="AX162" s="10" t="s">
        <v>80</v>
      </c>
      <c r="AY162" s="166" t="s">
        <v>137</v>
      </c>
    </row>
    <row r="163" spans="2:65" s="1" customFormat="1" ht="25.5" customHeight="1">
      <c r="B163" s="33"/>
      <c r="C163" s="151">
        <f>C161+1</f>
        <v>16</v>
      </c>
      <c r="D163" s="151" t="s">
        <v>138</v>
      </c>
      <c r="E163" s="209" t="s">
        <v>546</v>
      </c>
      <c r="F163" s="325" t="s">
        <v>519</v>
      </c>
      <c r="G163" s="325"/>
      <c r="H163" s="325"/>
      <c r="I163" s="325"/>
      <c r="J163" s="153" t="s">
        <v>141</v>
      </c>
      <c r="K163" s="154">
        <f>K164</f>
        <v>7.74</v>
      </c>
      <c r="L163" s="233"/>
      <c r="M163" s="220"/>
      <c r="N163" s="307">
        <f>ROUND(L163*K163,2)</f>
        <v>0</v>
      </c>
      <c r="O163" s="307"/>
      <c r="P163" s="307"/>
      <c r="Q163" s="307"/>
      <c r="R163" s="35"/>
      <c r="T163" s="155" t="s">
        <v>19</v>
      </c>
      <c r="U163" s="42" t="s">
        <v>39</v>
      </c>
      <c r="V163" s="156">
        <v>1.586</v>
      </c>
      <c r="W163" s="156">
        <f>V163*K163</f>
        <v>12.275640000000001</v>
      </c>
      <c r="X163" s="156">
        <v>0</v>
      </c>
      <c r="Y163" s="156">
        <f>X163*K163</f>
        <v>0</v>
      </c>
      <c r="Z163" s="156">
        <v>2.4</v>
      </c>
      <c r="AA163" s="157">
        <f>Z163*K163</f>
        <v>18.576</v>
      </c>
      <c r="AR163" s="20" t="s">
        <v>142</v>
      </c>
      <c r="AT163" s="20" t="s">
        <v>138</v>
      </c>
      <c r="AU163" s="20" t="s">
        <v>96</v>
      </c>
      <c r="AY163" s="20" t="s">
        <v>137</v>
      </c>
      <c r="BE163" s="158">
        <f>IF(U163="základní",N163,0)</f>
        <v>0</v>
      </c>
      <c r="BF163" s="158">
        <f>IF(U163="snížená",N163,0)</f>
        <v>0</v>
      </c>
      <c r="BG163" s="158">
        <f>IF(U163="zákl. přenesená",N163,0)</f>
        <v>0</v>
      </c>
      <c r="BH163" s="158">
        <f>IF(U163="sníž. přenesená",N163,0)</f>
        <v>0</v>
      </c>
      <c r="BI163" s="158">
        <f>IF(U163="nulová",N163,0)</f>
        <v>0</v>
      </c>
      <c r="BJ163" s="20" t="s">
        <v>80</v>
      </c>
      <c r="BK163" s="158">
        <f>ROUND(L163*K163,2)</f>
        <v>0</v>
      </c>
      <c r="BL163" s="20" t="s">
        <v>142</v>
      </c>
      <c r="BM163" s="20" t="s">
        <v>361</v>
      </c>
    </row>
    <row r="164" spans="2:51" s="10" customFormat="1" ht="16.5" customHeight="1">
      <c r="B164" s="159"/>
      <c r="C164" s="203"/>
      <c r="D164" s="203"/>
      <c r="E164" s="210" t="s">
        <v>19</v>
      </c>
      <c r="F164" s="326" t="s">
        <v>537</v>
      </c>
      <c r="G164" s="327"/>
      <c r="H164" s="327"/>
      <c r="I164" s="327"/>
      <c r="J164" s="203"/>
      <c r="K164" s="162">
        <f>(1.9*2+1.75*2+1.25*2+0.95)*0.3*2.4</f>
        <v>7.74</v>
      </c>
      <c r="L164" s="233"/>
      <c r="M164" s="221"/>
      <c r="N164" s="203"/>
      <c r="O164" s="203"/>
      <c r="P164" s="203"/>
      <c r="Q164" s="203"/>
      <c r="R164" s="163"/>
      <c r="T164" s="164"/>
      <c r="U164" s="203"/>
      <c r="V164" s="203"/>
      <c r="W164" s="203"/>
      <c r="X164" s="203"/>
      <c r="Y164" s="203"/>
      <c r="Z164" s="203"/>
      <c r="AA164" s="165"/>
      <c r="AT164" s="166" t="s">
        <v>145</v>
      </c>
      <c r="AU164" s="166" t="s">
        <v>96</v>
      </c>
      <c r="AV164" s="10" t="s">
        <v>96</v>
      </c>
      <c r="AW164" s="10" t="s">
        <v>33</v>
      </c>
      <c r="AX164" s="10" t="s">
        <v>80</v>
      </c>
      <c r="AY164" s="166" t="s">
        <v>137</v>
      </c>
    </row>
    <row r="165" spans="2:65" s="1" customFormat="1" ht="25.5" customHeight="1">
      <c r="B165" s="33"/>
      <c r="C165" s="151">
        <f>C163+1</f>
        <v>17</v>
      </c>
      <c r="D165" s="151" t="s">
        <v>138</v>
      </c>
      <c r="E165" s="209" t="s">
        <v>547</v>
      </c>
      <c r="F165" s="325" t="s">
        <v>538</v>
      </c>
      <c r="G165" s="325"/>
      <c r="H165" s="325"/>
      <c r="I165" s="325"/>
      <c r="J165" s="153" t="s">
        <v>141</v>
      </c>
      <c r="K165" s="154">
        <f>K166</f>
        <v>1.8</v>
      </c>
      <c r="L165" s="233"/>
      <c r="M165" s="220"/>
      <c r="N165" s="307">
        <f>ROUND(L165*K165,2)</f>
        <v>0</v>
      </c>
      <c r="O165" s="307"/>
      <c r="P165" s="307"/>
      <c r="Q165" s="307"/>
      <c r="R165" s="35"/>
      <c r="T165" s="155" t="s">
        <v>19</v>
      </c>
      <c r="U165" s="42" t="s">
        <v>39</v>
      </c>
      <c r="V165" s="156">
        <v>1.586</v>
      </c>
      <c r="W165" s="156">
        <f>V165*K165</f>
        <v>2.8548</v>
      </c>
      <c r="X165" s="156">
        <v>0</v>
      </c>
      <c r="Y165" s="156">
        <f>X165*K165</f>
        <v>0</v>
      </c>
      <c r="Z165" s="156">
        <v>2.3</v>
      </c>
      <c r="AA165" s="157">
        <f>Z165*K165</f>
        <v>4.14</v>
      </c>
      <c r="AR165" s="20" t="s">
        <v>142</v>
      </c>
      <c r="AT165" s="20" t="s">
        <v>138</v>
      </c>
      <c r="AU165" s="20" t="s">
        <v>96</v>
      </c>
      <c r="AY165" s="20" t="s">
        <v>137</v>
      </c>
      <c r="BE165" s="158">
        <f>IF(U165="základní",N165,0)</f>
        <v>0</v>
      </c>
      <c r="BF165" s="158">
        <f>IF(U165="snížená",N165,0)</f>
        <v>0</v>
      </c>
      <c r="BG165" s="158">
        <f>IF(U165="zákl. přenesená",N165,0)</f>
        <v>0</v>
      </c>
      <c r="BH165" s="158">
        <f>IF(U165="sníž. přenesená",N165,0)</f>
        <v>0</v>
      </c>
      <c r="BI165" s="158">
        <f>IF(U165="nulová",N165,0)</f>
        <v>0</v>
      </c>
      <c r="BJ165" s="20" t="s">
        <v>80</v>
      </c>
      <c r="BK165" s="158">
        <f>ROUND(L165*K165,2)</f>
        <v>0</v>
      </c>
      <c r="BL165" s="20" t="s">
        <v>142</v>
      </c>
      <c r="BM165" s="20" t="s">
        <v>361</v>
      </c>
    </row>
    <row r="166" spans="2:51" s="10" customFormat="1" ht="16.5" customHeight="1">
      <c r="B166" s="159"/>
      <c r="C166" s="203"/>
      <c r="D166" s="203"/>
      <c r="E166" s="210" t="s">
        <v>19</v>
      </c>
      <c r="F166" s="326" t="s">
        <v>540</v>
      </c>
      <c r="G166" s="327"/>
      <c r="H166" s="327"/>
      <c r="I166" s="327"/>
      <c r="J166" s="203"/>
      <c r="K166" s="162">
        <f>3*3*0.2</f>
        <v>1.8</v>
      </c>
      <c r="L166" s="233"/>
      <c r="M166" s="221"/>
      <c r="N166" s="203"/>
      <c r="O166" s="203"/>
      <c r="P166" s="203"/>
      <c r="Q166" s="203"/>
      <c r="R166" s="163"/>
      <c r="T166" s="164"/>
      <c r="U166" s="203"/>
      <c r="V166" s="203"/>
      <c r="W166" s="203"/>
      <c r="X166" s="203"/>
      <c r="Y166" s="203"/>
      <c r="Z166" s="203"/>
      <c r="AA166" s="165"/>
      <c r="AT166" s="166" t="s">
        <v>145</v>
      </c>
      <c r="AU166" s="166" t="s">
        <v>96</v>
      </c>
      <c r="AV166" s="10" t="s">
        <v>96</v>
      </c>
      <c r="AW166" s="10" t="s">
        <v>33</v>
      </c>
      <c r="AX166" s="10" t="s">
        <v>80</v>
      </c>
      <c r="AY166" s="166" t="s">
        <v>137</v>
      </c>
    </row>
    <row r="167" spans="2:65" s="1" customFormat="1" ht="25.5" customHeight="1">
      <c r="B167" s="33"/>
      <c r="C167" s="151">
        <f>C165+1</f>
        <v>18</v>
      </c>
      <c r="D167" s="151" t="s">
        <v>138</v>
      </c>
      <c r="E167" s="209" t="s">
        <v>453</v>
      </c>
      <c r="F167" s="325" t="s">
        <v>539</v>
      </c>
      <c r="G167" s="325"/>
      <c r="H167" s="325"/>
      <c r="I167" s="325"/>
      <c r="J167" s="153" t="s">
        <v>141</v>
      </c>
      <c r="K167" s="154">
        <f>K168</f>
        <v>7.037999999999999</v>
      </c>
      <c r="L167" s="233"/>
      <c r="M167" s="220"/>
      <c r="N167" s="307">
        <f>ROUND(L167*K167,2)</f>
        <v>0</v>
      </c>
      <c r="O167" s="307"/>
      <c r="P167" s="307"/>
      <c r="Q167" s="307"/>
      <c r="R167" s="35"/>
      <c r="T167" s="155" t="s">
        <v>19</v>
      </c>
      <c r="U167" s="42" t="s">
        <v>39</v>
      </c>
      <c r="V167" s="156">
        <v>1.586</v>
      </c>
      <c r="W167" s="156">
        <f>V167*K167</f>
        <v>11.162268</v>
      </c>
      <c r="X167" s="156">
        <v>0</v>
      </c>
      <c r="Y167" s="156">
        <f>X167*K167</f>
        <v>0</v>
      </c>
      <c r="Z167" s="156">
        <v>2.3</v>
      </c>
      <c r="AA167" s="157">
        <f>Z167*K167</f>
        <v>16.187399999999997</v>
      </c>
      <c r="AR167" s="20" t="s">
        <v>142</v>
      </c>
      <c r="AT167" s="20" t="s">
        <v>138</v>
      </c>
      <c r="AU167" s="20" t="s">
        <v>96</v>
      </c>
      <c r="AY167" s="20" t="s">
        <v>137</v>
      </c>
      <c r="BE167" s="158">
        <f>IF(U167="základní",N167,0)</f>
        <v>0</v>
      </c>
      <c r="BF167" s="158">
        <f>IF(U167="snížená",N167,0)</f>
        <v>0</v>
      </c>
      <c r="BG167" s="158">
        <f>IF(U167="zákl. přenesená",N167,0)</f>
        <v>0</v>
      </c>
      <c r="BH167" s="158">
        <f>IF(U167="sníž. přenesená",N167,0)</f>
        <v>0</v>
      </c>
      <c r="BI167" s="158">
        <f>IF(U167="nulová",N167,0)</f>
        <v>0</v>
      </c>
      <c r="BJ167" s="20" t="s">
        <v>80</v>
      </c>
      <c r="BK167" s="158">
        <f>ROUND(L167*K167,2)</f>
        <v>0</v>
      </c>
      <c r="BL167" s="20" t="s">
        <v>142</v>
      </c>
      <c r="BM167" s="20" t="s">
        <v>361</v>
      </c>
    </row>
    <row r="168" spans="2:51" s="10" customFormat="1" ht="16.5" customHeight="1">
      <c r="B168" s="159"/>
      <c r="C168" s="203"/>
      <c r="D168" s="203"/>
      <c r="E168" s="161" t="s">
        <v>19</v>
      </c>
      <c r="F168" s="308" t="s">
        <v>541</v>
      </c>
      <c r="G168" s="309"/>
      <c r="H168" s="309"/>
      <c r="I168" s="309"/>
      <c r="J168" s="203"/>
      <c r="K168" s="162">
        <f>(3.9*2+3*2)*0.6*0.85</f>
        <v>7.037999999999999</v>
      </c>
      <c r="L168" s="233"/>
      <c r="M168" s="221"/>
      <c r="N168" s="203"/>
      <c r="O168" s="203"/>
      <c r="P168" s="203"/>
      <c r="Q168" s="203"/>
      <c r="R168" s="163"/>
      <c r="T168" s="164"/>
      <c r="U168" s="203"/>
      <c r="V168" s="203"/>
      <c r="W168" s="203"/>
      <c r="X168" s="203"/>
      <c r="Y168" s="203"/>
      <c r="Z168" s="203"/>
      <c r="AA168" s="165"/>
      <c r="AT168" s="166" t="s">
        <v>145</v>
      </c>
      <c r="AU168" s="166" t="s">
        <v>96</v>
      </c>
      <c r="AV168" s="10" t="s">
        <v>96</v>
      </c>
      <c r="AW168" s="10" t="s">
        <v>33</v>
      </c>
      <c r="AX168" s="10" t="s">
        <v>80</v>
      </c>
      <c r="AY168" s="166" t="s">
        <v>137</v>
      </c>
    </row>
    <row r="169" spans="2:65" s="1" customFormat="1" ht="25.5" customHeight="1">
      <c r="B169" s="33"/>
      <c r="C169" s="151">
        <f>C167+1</f>
        <v>19</v>
      </c>
      <c r="D169" s="151" t="s">
        <v>138</v>
      </c>
      <c r="E169" s="152" t="s">
        <v>280</v>
      </c>
      <c r="F169" s="312" t="s">
        <v>281</v>
      </c>
      <c r="G169" s="312"/>
      <c r="H169" s="312"/>
      <c r="I169" s="312"/>
      <c r="J169" s="153" t="s">
        <v>141</v>
      </c>
      <c r="K169" s="154">
        <v>9.507</v>
      </c>
      <c r="L169" s="233"/>
      <c r="M169" s="220"/>
      <c r="N169" s="307">
        <f>ROUND(L169*K169,2)</f>
        <v>0</v>
      </c>
      <c r="O169" s="307"/>
      <c r="P169" s="307"/>
      <c r="Q169" s="307"/>
      <c r="R169" s="35"/>
      <c r="T169" s="155" t="s">
        <v>19</v>
      </c>
      <c r="U169" s="42" t="s">
        <v>39</v>
      </c>
      <c r="V169" s="156">
        <v>6.72</v>
      </c>
      <c r="W169" s="156">
        <f>V169*K169</f>
        <v>63.88704</v>
      </c>
      <c r="X169" s="156">
        <v>0</v>
      </c>
      <c r="Y169" s="156">
        <f>X169*K169</f>
        <v>0</v>
      </c>
      <c r="Z169" s="156">
        <v>2.4</v>
      </c>
      <c r="AA169" s="157">
        <f>Z169*K169</f>
        <v>22.816799999999997</v>
      </c>
      <c r="AR169" s="20" t="s">
        <v>142</v>
      </c>
      <c r="AT169" s="20" t="s">
        <v>138</v>
      </c>
      <c r="AU169" s="20" t="s">
        <v>96</v>
      </c>
      <c r="AY169" s="20" t="s">
        <v>137</v>
      </c>
      <c r="BE169" s="158">
        <f>IF(U169="základní",N169,0)</f>
        <v>0</v>
      </c>
      <c r="BF169" s="158">
        <f>IF(U169="snížená",N169,0)</f>
        <v>0</v>
      </c>
      <c r="BG169" s="158">
        <f>IF(U169="zákl. přenesená",N169,0)</f>
        <v>0</v>
      </c>
      <c r="BH169" s="158">
        <f>IF(U169="sníž. přenesená",N169,0)</f>
        <v>0</v>
      </c>
      <c r="BI169" s="158">
        <f>IF(U169="nulová",N169,0)</f>
        <v>0</v>
      </c>
      <c r="BJ169" s="20" t="s">
        <v>80</v>
      </c>
      <c r="BK169" s="158">
        <f>ROUND(L169*K169,2)</f>
        <v>0</v>
      </c>
      <c r="BL169" s="20" t="s">
        <v>142</v>
      </c>
      <c r="BM169" s="20" t="s">
        <v>310</v>
      </c>
    </row>
    <row r="170" spans="2:51" s="10" customFormat="1" ht="16.5" customHeight="1">
      <c r="B170" s="159"/>
      <c r="C170" s="160"/>
      <c r="D170" s="160"/>
      <c r="E170" s="161" t="s">
        <v>19</v>
      </c>
      <c r="F170" s="308" t="s">
        <v>311</v>
      </c>
      <c r="G170" s="309"/>
      <c r="H170" s="309"/>
      <c r="I170" s="309"/>
      <c r="J170" s="160"/>
      <c r="K170" s="162">
        <v>3.042</v>
      </c>
      <c r="L170" s="233"/>
      <c r="M170" s="221"/>
      <c r="N170" s="160"/>
      <c r="O170" s="160"/>
      <c r="P170" s="160"/>
      <c r="Q170" s="160"/>
      <c r="R170" s="163"/>
      <c r="T170" s="164"/>
      <c r="U170" s="160"/>
      <c r="V170" s="160"/>
      <c r="W170" s="160"/>
      <c r="X170" s="160"/>
      <c r="Y170" s="160"/>
      <c r="Z170" s="160"/>
      <c r="AA170" s="165"/>
      <c r="AT170" s="166" t="s">
        <v>145</v>
      </c>
      <c r="AU170" s="166" t="s">
        <v>96</v>
      </c>
      <c r="AV170" s="10" t="s">
        <v>96</v>
      </c>
      <c r="AW170" s="10" t="s">
        <v>33</v>
      </c>
      <c r="AX170" s="10" t="s">
        <v>73</v>
      </c>
      <c r="AY170" s="166" t="s">
        <v>137</v>
      </c>
    </row>
    <row r="171" spans="2:51" s="10" customFormat="1" ht="16.5" customHeight="1">
      <c r="B171" s="159"/>
      <c r="C171" s="160"/>
      <c r="D171" s="160"/>
      <c r="E171" s="161" t="s">
        <v>19</v>
      </c>
      <c r="F171" s="310" t="s">
        <v>312</v>
      </c>
      <c r="G171" s="311"/>
      <c r="H171" s="311"/>
      <c r="I171" s="311"/>
      <c r="J171" s="160"/>
      <c r="K171" s="162">
        <v>6.465</v>
      </c>
      <c r="L171" s="233"/>
      <c r="M171" s="221"/>
      <c r="N171" s="160"/>
      <c r="O171" s="160"/>
      <c r="P171" s="160"/>
      <c r="Q171" s="160"/>
      <c r="R171" s="163"/>
      <c r="T171" s="164"/>
      <c r="U171" s="160"/>
      <c r="V171" s="160"/>
      <c r="W171" s="160"/>
      <c r="X171" s="160"/>
      <c r="Y171" s="160"/>
      <c r="Z171" s="160"/>
      <c r="AA171" s="165"/>
      <c r="AT171" s="166" t="s">
        <v>145</v>
      </c>
      <c r="AU171" s="166" t="s">
        <v>96</v>
      </c>
      <c r="AV171" s="10" t="s">
        <v>96</v>
      </c>
      <c r="AW171" s="10" t="s">
        <v>33</v>
      </c>
      <c r="AX171" s="10" t="s">
        <v>73</v>
      </c>
      <c r="AY171" s="166" t="s">
        <v>137</v>
      </c>
    </row>
    <row r="172" spans="2:51" s="11" customFormat="1" ht="16.5" customHeight="1">
      <c r="B172" s="167"/>
      <c r="C172" s="168"/>
      <c r="D172" s="168"/>
      <c r="E172" s="169" t="s">
        <v>19</v>
      </c>
      <c r="F172" s="303" t="s">
        <v>148</v>
      </c>
      <c r="G172" s="304"/>
      <c r="H172" s="304"/>
      <c r="I172" s="304"/>
      <c r="J172" s="168"/>
      <c r="K172" s="170">
        <v>9.507</v>
      </c>
      <c r="L172" s="233"/>
      <c r="M172" s="218"/>
      <c r="N172" s="168"/>
      <c r="O172" s="168"/>
      <c r="P172" s="168"/>
      <c r="Q172" s="168"/>
      <c r="R172" s="171"/>
      <c r="T172" s="172"/>
      <c r="U172" s="168"/>
      <c r="V172" s="168"/>
      <c r="W172" s="168"/>
      <c r="X172" s="168"/>
      <c r="Y172" s="168"/>
      <c r="Z172" s="168"/>
      <c r="AA172" s="173"/>
      <c r="AT172" s="174" t="s">
        <v>145</v>
      </c>
      <c r="AU172" s="174" t="s">
        <v>96</v>
      </c>
      <c r="AV172" s="11" t="s">
        <v>142</v>
      </c>
      <c r="AW172" s="11" t="s">
        <v>33</v>
      </c>
      <c r="AX172" s="11" t="s">
        <v>80</v>
      </c>
      <c r="AY172" s="174" t="s">
        <v>137</v>
      </c>
    </row>
    <row r="173" spans="2:65" s="1" customFormat="1" ht="25.5" customHeight="1">
      <c r="B173" s="33"/>
      <c r="C173" s="151">
        <f>C169+1</f>
        <v>20</v>
      </c>
      <c r="D173" s="151" t="s">
        <v>138</v>
      </c>
      <c r="E173" s="152" t="s">
        <v>214</v>
      </c>
      <c r="F173" s="312" t="s">
        <v>313</v>
      </c>
      <c r="G173" s="312"/>
      <c r="H173" s="312"/>
      <c r="I173" s="312"/>
      <c r="J173" s="153" t="s">
        <v>162</v>
      </c>
      <c r="K173" s="154">
        <v>20.25</v>
      </c>
      <c r="L173" s="233"/>
      <c r="M173" s="220"/>
      <c r="N173" s="307">
        <f>ROUND(L173*K173,2)</f>
        <v>0</v>
      </c>
      <c r="O173" s="307"/>
      <c r="P173" s="307"/>
      <c r="Q173" s="307"/>
      <c r="R173" s="35"/>
      <c r="T173" s="155" t="s">
        <v>19</v>
      </c>
      <c r="U173" s="42" t="s">
        <v>39</v>
      </c>
      <c r="V173" s="156">
        <v>0.63</v>
      </c>
      <c r="W173" s="156">
        <f>V173*K173</f>
        <v>12.7575</v>
      </c>
      <c r="X173" s="156">
        <v>0</v>
      </c>
      <c r="Y173" s="156">
        <f>X173*K173</f>
        <v>0</v>
      </c>
      <c r="Z173" s="156">
        <v>0.009</v>
      </c>
      <c r="AA173" s="157">
        <f>Z173*K173</f>
        <v>0.18225</v>
      </c>
      <c r="AR173" s="20" t="s">
        <v>142</v>
      </c>
      <c r="AT173" s="20" t="s">
        <v>138</v>
      </c>
      <c r="AU173" s="20" t="s">
        <v>96</v>
      </c>
      <c r="AY173" s="20" t="s">
        <v>137</v>
      </c>
      <c r="BE173" s="158">
        <f>IF(U173="základní",N173,0)</f>
        <v>0</v>
      </c>
      <c r="BF173" s="158">
        <f>IF(U173="snížená",N173,0)</f>
        <v>0</v>
      </c>
      <c r="BG173" s="158">
        <f>IF(U173="zákl. přenesená",N173,0)</f>
        <v>0</v>
      </c>
      <c r="BH173" s="158">
        <f>IF(U173="sníž. přenesená",N173,0)</f>
        <v>0</v>
      </c>
      <c r="BI173" s="158">
        <f>IF(U173="nulová",N173,0)</f>
        <v>0</v>
      </c>
      <c r="BJ173" s="20" t="s">
        <v>80</v>
      </c>
      <c r="BK173" s="158">
        <f>ROUND(L173*K173,2)</f>
        <v>0</v>
      </c>
      <c r="BL173" s="20" t="s">
        <v>142</v>
      </c>
      <c r="BM173" s="20" t="s">
        <v>314</v>
      </c>
    </row>
    <row r="174" spans="2:51" s="10" customFormat="1" ht="16.5" customHeight="1">
      <c r="B174" s="159"/>
      <c r="C174" s="160"/>
      <c r="D174" s="160"/>
      <c r="E174" s="161" t="s">
        <v>19</v>
      </c>
      <c r="F174" s="308" t="s">
        <v>304</v>
      </c>
      <c r="G174" s="309"/>
      <c r="H174" s="309"/>
      <c r="I174" s="309"/>
      <c r="J174" s="160"/>
      <c r="K174" s="162">
        <v>20.25</v>
      </c>
      <c r="L174" s="233"/>
      <c r="M174" s="221"/>
      <c r="N174" s="160"/>
      <c r="O174" s="160"/>
      <c r="P174" s="160"/>
      <c r="Q174" s="160"/>
      <c r="R174" s="163"/>
      <c r="T174" s="164"/>
      <c r="U174" s="160"/>
      <c r="V174" s="160"/>
      <c r="W174" s="160"/>
      <c r="X174" s="160"/>
      <c r="Y174" s="160"/>
      <c r="Z174" s="160"/>
      <c r="AA174" s="165"/>
      <c r="AT174" s="166" t="s">
        <v>145</v>
      </c>
      <c r="AU174" s="166" t="s">
        <v>96</v>
      </c>
      <c r="AV174" s="10" t="s">
        <v>96</v>
      </c>
      <c r="AW174" s="10" t="s">
        <v>33</v>
      </c>
      <c r="AX174" s="10" t="s">
        <v>80</v>
      </c>
      <c r="AY174" s="166" t="s">
        <v>137</v>
      </c>
    </row>
    <row r="175" spans="2:65" s="1" customFormat="1" ht="25.5" customHeight="1">
      <c r="B175" s="33"/>
      <c r="C175" s="151">
        <f>C173+1</f>
        <v>21</v>
      </c>
      <c r="D175" s="151" t="s">
        <v>138</v>
      </c>
      <c r="E175" s="152" t="s">
        <v>315</v>
      </c>
      <c r="F175" s="312" t="s">
        <v>316</v>
      </c>
      <c r="G175" s="312"/>
      <c r="H175" s="312"/>
      <c r="I175" s="312"/>
      <c r="J175" s="153" t="s">
        <v>162</v>
      </c>
      <c r="K175" s="154">
        <v>5.225</v>
      </c>
      <c r="L175" s="233"/>
      <c r="M175" s="220"/>
      <c r="N175" s="307">
        <f>ROUND(L175*K175,2)</f>
        <v>0</v>
      </c>
      <c r="O175" s="307"/>
      <c r="P175" s="307"/>
      <c r="Q175" s="307"/>
      <c r="R175" s="35"/>
      <c r="T175" s="155" t="s">
        <v>19</v>
      </c>
      <c r="U175" s="42" t="s">
        <v>39</v>
      </c>
      <c r="V175" s="156">
        <v>0.3</v>
      </c>
      <c r="W175" s="156">
        <f>V175*K175</f>
        <v>1.5675</v>
      </c>
      <c r="X175" s="156">
        <v>0</v>
      </c>
      <c r="Y175" s="156">
        <f>X175*K175</f>
        <v>0</v>
      </c>
      <c r="Z175" s="156">
        <v>0.068</v>
      </c>
      <c r="AA175" s="157">
        <f>Z175*K175</f>
        <v>0.3553</v>
      </c>
      <c r="AR175" s="20" t="s">
        <v>142</v>
      </c>
      <c r="AT175" s="20" t="s">
        <v>138</v>
      </c>
      <c r="AU175" s="20" t="s">
        <v>96</v>
      </c>
      <c r="AY175" s="20" t="s">
        <v>137</v>
      </c>
      <c r="BE175" s="158">
        <f>IF(U175="základní",N175,0)</f>
        <v>0</v>
      </c>
      <c r="BF175" s="158">
        <f>IF(U175="snížená",N175,0)</f>
        <v>0</v>
      </c>
      <c r="BG175" s="158">
        <f>IF(U175="zákl. přenesená",N175,0)</f>
        <v>0</v>
      </c>
      <c r="BH175" s="158">
        <f>IF(U175="sníž. přenesená",N175,0)</f>
        <v>0</v>
      </c>
      <c r="BI175" s="158">
        <f>IF(U175="nulová",N175,0)</f>
        <v>0</v>
      </c>
      <c r="BJ175" s="20" t="s">
        <v>80</v>
      </c>
      <c r="BK175" s="158">
        <f>ROUND(L175*K175,2)</f>
        <v>0</v>
      </c>
      <c r="BL175" s="20" t="s">
        <v>142</v>
      </c>
      <c r="BM175" s="20" t="s">
        <v>317</v>
      </c>
    </row>
    <row r="176" spans="2:51" s="10" customFormat="1" ht="16.5" customHeight="1">
      <c r="B176" s="159"/>
      <c r="C176" s="160"/>
      <c r="D176" s="160"/>
      <c r="E176" s="161" t="s">
        <v>19</v>
      </c>
      <c r="F176" s="308" t="s">
        <v>318</v>
      </c>
      <c r="G176" s="309"/>
      <c r="H176" s="309"/>
      <c r="I176" s="309"/>
      <c r="J176" s="160"/>
      <c r="K176" s="162">
        <v>5.225</v>
      </c>
      <c r="L176" s="233"/>
      <c r="M176" s="221"/>
      <c r="N176" s="160"/>
      <c r="O176" s="160"/>
      <c r="P176" s="160"/>
      <c r="Q176" s="160"/>
      <c r="R176" s="163"/>
      <c r="T176" s="164"/>
      <c r="U176" s="160"/>
      <c r="V176" s="160"/>
      <c r="W176" s="160"/>
      <c r="X176" s="160"/>
      <c r="Y176" s="160"/>
      <c r="Z176" s="160"/>
      <c r="AA176" s="165"/>
      <c r="AT176" s="166" t="s">
        <v>145</v>
      </c>
      <c r="AU176" s="166" t="s">
        <v>96</v>
      </c>
      <c r="AV176" s="10" t="s">
        <v>96</v>
      </c>
      <c r="AW176" s="10" t="s">
        <v>33</v>
      </c>
      <c r="AX176" s="10" t="s">
        <v>80</v>
      </c>
      <c r="AY176" s="166" t="s">
        <v>137</v>
      </c>
    </row>
    <row r="177" spans="2:63" s="9" customFormat="1" ht="29.85" customHeight="1">
      <c r="B177" s="140"/>
      <c r="C177" s="141"/>
      <c r="D177" s="150" t="s">
        <v>113</v>
      </c>
      <c r="E177" s="150"/>
      <c r="F177" s="150"/>
      <c r="G177" s="150"/>
      <c r="H177" s="150"/>
      <c r="I177" s="150"/>
      <c r="J177" s="150"/>
      <c r="K177" s="150"/>
      <c r="L177" s="233"/>
      <c r="M177" s="150"/>
      <c r="N177" s="301">
        <f>SUM(N178:N181)</f>
        <v>0</v>
      </c>
      <c r="O177" s="302"/>
      <c r="P177" s="302"/>
      <c r="Q177" s="302"/>
      <c r="R177" s="143"/>
      <c r="T177" s="144"/>
      <c r="U177" s="141"/>
      <c r="V177" s="141"/>
      <c r="W177" s="145">
        <f>SUM(W178:W181)</f>
        <v>218.147</v>
      </c>
      <c r="X177" s="141"/>
      <c r="Y177" s="145">
        <f>SUM(Y178:Y181)</f>
        <v>0</v>
      </c>
      <c r="Z177" s="141"/>
      <c r="AA177" s="146">
        <f>SUM(AA178:AA181)</f>
        <v>0</v>
      </c>
      <c r="AR177" s="147" t="s">
        <v>80</v>
      </c>
      <c r="AT177" s="148" t="s">
        <v>72</v>
      </c>
      <c r="AU177" s="148" t="s">
        <v>80</v>
      </c>
      <c r="AY177" s="147" t="s">
        <v>137</v>
      </c>
      <c r="BK177" s="149">
        <f>SUM(BK178:BK181)</f>
        <v>0</v>
      </c>
    </row>
    <row r="178" spans="2:65" s="1" customFormat="1" ht="25.5" customHeight="1">
      <c r="B178" s="33"/>
      <c r="C178" s="151">
        <f>C175+1</f>
        <v>22</v>
      </c>
      <c r="D178" s="151" t="s">
        <v>138</v>
      </c>
      <c r="E178" s="152" t="s">
        <v>217</v>
      </c>
      <c r="F178" s="312" t="s">
        <v>218</v>
      </c>
      <c r="G178" s="312"/>
      <c r="H178" s="312"/>
      <c r="I178" s="312"/>
      <c r="J178" s="153" t="s">
        <v>152</v>
      </c>
      <c r="K178" s="154">
        <f>K179+K180</f>
        <v>113.5</v>
      </c>
      <c r="L178" s="233"/>
      <c r="M178" s="220"/>
      <c r="N178" s="307">
        <f>ROUND(L178*K178,2)</f>
        <v>0</v>
      </c>
      <c r="O178" s="307"/>
      <c r="P178" s="307"/>
      <c r="Q178" s="307"/>
      <c r="R178" s="35"/>
      <c r="T178" s="155" t="s">
        <v>19</v>
      </c>
      <c r="U178" s="42" t="s">
        <v>39</v>
      </c>
      <c r="V178" s="156">
        <v>0.125</v>
      </c>
      <c r="W178" s="156">
        <f>V178*K178</f>
        <v>14.1875</v>
      </c>
      <c r="X178" s="156">
        <v>0</v>
      </c>
      <c r="Y178" s="156">
        <f>X178*K178</f>
        <v>0</v>
      </c>
      <c r="Z178" s="156">
        <v>0</v>
      </c>
      <c r="AA178" s="157">
        <f>Z178*K178</f>
        <v>0</v>
      </c>
      <c r="AR178" s="20" t="s">
        <v>142</v>
      </c>
      <c r="AT178" s="20" t="s">
        <v>138</v>
      </c>
      <c r="AU178" s="20" t="s">
        <v>96</v>
      </c>
      <c r="AY178" s="20" t="s">
        <v>137</v>
      </c>
      <c r="BE178" s="158">
        <f>IF(U178="základní",N178,0)</f>
        <v>0</v>
      </c>
      <c r="BF178" s="158">
        <f>IF(U178="snížená",N178,0)</f>
        <v>0</v>
      </c>
      <c r="BG178" s="158">
        <f>IF(U178="zákl. přenesená",N178,0)</f>
        <v>0</v>
      </c>
      <c r="BH178" s="158">
        <f>IF(U178="sníž. přenesená",N178,0)</f>
        <v>0</v>
      </c>
      <c r="BI178" s="158">
        <f>IF(U178="nulová",N178,0)</f>
        <v>0</v>
      </c>
      <c r="BJ178" s="20" t="s">
        <v>80</v>
      </c>
      <c r="BK178" s="158">
        <f>ROUND(L178*K178,2)</f>
        <v>0</v>
      </c>
      <c r="BL178" s="20" t="s">
        <v>142</v>
      </c>
      <c r="BM178" s="20" t="s">
        <v>319</v>
      </c>
    </row>
    <row r="179" spans="2:65" s="1" customFormat="1" ht="25.5" customHeight="1">
      <c r="B179" s="33"/>
      <c r="C179" s="151">
        <f>C178+1</f>
        <v>23</v>
      </c>
      <c r="D179" s="151" t="s">
        <v>138</v>
      </c>
      <c r="E179" s="152" t="s">
        <v>220</v>
      </c>
      <c r="F179" s="312" t="s">
        <v>502</v>
      </c>
      <c r="G179" s="312"/>
      <c r="H179" s="312"/>
      <c r="I179" s="312"/>
      <c r="J179" s="153" t="s">
        <v>152</v>
      </c>
      <c r="K179" s="154">
        <v>113.25</v>
      </c>
      <c r="L179" s="233"/>
      <c r="M179" s="220"/>
      <c r="N179" s="307">
        <f>ROUND(L179*K179,2)</f>
        <v>0</v>
      </c>
      <c r="O179" s="307"/>
      <c r="P179" s="307"/>
      <c r="Q179" s="307"/>
      <c r="R179" s="35"/>
      <c r="T179" s="155" t="s">
        <v>19</v>
      </c>
      <c r="U179" s="42" t="s">
        <v>39</v>
      </c>
      <c r="V179" s="156">
        <v>0</v>
      </c>
      <c r="W179" s="156">
        <f>V179*K179</f>
        <v>0</v>
      </c>
      <c r="X179" s="156">
        <v>0</v>
      </c>
      <c r="Y179" s="156">
        <f>X179*K179</f>
        <v>0</v>
      </c>
      <c r="Z179" s="156">
        <v>0</v>
      </c>
      <c r="AA179" s="157">
        <f>Z179*K179</f>
        <v>0</v>
      </c>
      <c r="AR179" s="20" t="s">
        <v>142</v>
      </c>
      <c r="AT179" s="20" t="s">
        <v>138</v>
      </c>
      <c r="AU179" s="20" t="s">
        <v>96</v>
      </c>
      <c r="AY179" s="20" t="s">
        <v>137</v>
      </c>
      <c r="BE179" s="158">
        <f>IF(U179="základní",N179,0)</f>
        <v>0</v>
      </c>
      <c r="BF179" s="158">
        <f>IF(U179="snížená",N179,0)</f>
        <v>0</v>
      </c>
      <c r="BG179" s="158">
        <f>IF(U179="zákl. přenesená",N179,0)</f>
        <v>0</v>
      </c>
      <c r="BH179" s="158">
        <f>IF(U179="sníž. přenesená",N179,0)</f>
        <v>0</v>
      </c>
      <c r="BI179" s="158">
        <f>IF(U179="nulová",N179,0)</f>
        <v>0</v>
      </c>
      <c r="BJ179" s="20" t="s">
        <v>80</v>
      </c>
      <c r="BK179" s="158">
        <f>ROUND(L179*K179,2)</f>
        <v>0</v>
      </c>
      <c r="BL179" s="20" t="s">
        <v>142</v>
      </c>
      <c r="BM179" s="20" t="s">
        <v>320</v>
      </c>
    </row>
    <row r="180" spans="2:65" s="1" customFormat="1" ht="25.5" customHeight="1">
      <c r="B180" s="33"/>
      <c r="C180" s="151">
        <f>C179+1</f>
        <v>24</v>
      </c>
      <c r="D180" s="151" t="s">
        <v>138</v>
      </c>
      <c r="E180" s="152"/>
      <c r="F180" s="312" t="s">
        <v>501</v>
      </c>
      <c r="G180" s="312"/>
      <c r="H180" s="312"/>
      <c r="I180" s="312"/>
      <c r="J180" s="153" t="s">
        <v>152</v>
      </c>
      <c r="K180" s="154">
        <v>0.25</v>
      </c>
      <c r="L180" s="233"/>
      <c r="M180" s="220"/>
      <c r="N180" s="307">
        <f>ROUND(L180*K180,2)</f>
        <v>0</v>
      </c>
      <c r="O180" s="307"/>
      <c r="P180" s="307"/>
      <c r="Q180" s="307"/>
      <c r="R180" s="35"/>
      <c r="T180" s="155" t="s">
        <v>19</v>
      </c>
      <c r="U180" s="42" t="s">
        <v>39</v>
      </c>
      <c r="V180" s="156">
        <v>0</v>
      </c>
      <c r="W180" s="156">
        <f>V180*K180</f>
        <v>0</v>
      </c>
      <c r="X180" s="156">
        <v>0</v>
      </c>
      <c r="Y180" s="156">
        <f>X180*K180</f>
        <v>0</v>
      </c>
      <c r="Z180" s="156">
        <v>0</v>
      </c>
      <c r="AA180" s="157">
        <f>Z180*K180</f>
        <v>0</v>
      </c>
      <c r="AR180" s="20" t="s">
        <v>142</v>
      </c>
      <c r="AT180" s="20" t="s">
        <v>138</v>
      </c>
      <c r="AU180" s="20" t="s">
        <v>96</v>
      </c>
      <c r="AY180" s="20" t="s">
        <v>137</v>
      </c>
      <c r="BE180" s="158">
        <f>IF(U180="základní",N180,0)</f>
        <v>0</v>
      </c>
      <c r="BF180" s="158">
        <f>IF(U180="snížená",N180,0)</f>
        <v>0</v>
      </c>
      <c r="BG180" s="158">
        <f>IF(U180="zákl. přenesená",N180,0)</f>
        <v>0</v>
      </c>
      <c r="BH180" s="158">
        <f>IF(U180="sníž. přenesená",N180,0)</f>
        <v>0</v>
      </c>
      <c r="BI180" s="158">
        <f>IF(U180="nulová",N180,0)</f>
        <v>0</v>
      </c>
      <c r="BJ180" s="20" t="s">
        <v>80</v>
      </c>
      <c r="BK180" s="158">
        <f>ROUND(L180*K180,2)</f>
        <v>0</v>
      </c>
      <c r="BL180" s="20" t="s">
        <v>142</v>
      </c>
      <c r="BM180" s="20" t="s">
        <v>320</v>
      </c>
    </row>
    <row r="181" spans="2:65" s="1" customFormat="1" ht="25.5" customHeight="1">
      <c r="B181" s="33"/>
      <c r="C181" s="151">
        <f>C180+1</f>
        <v>25</v>
      </c>
      <c r="D181" s="151" t="s">
        <v>138</v>
      </c>
      <c r="E181" s="152" t="s">
        <v>223</v>
      </c>
      <c r="F181" s="312" t="s">
        <v>500</v>
      </c>
      <c r="G181" s="312"/>
      <c r="H181" s="312"/>
      <c r="I181" s="312"/>
      <c r="J181" s="153" t="s">
        <v>152</v>
      </c>
      <c r="K181" s="154">
        <f>K178</f>
        <v>113.5</v>
      </c>
      <c r="L181" s="233"/>
      <c r="M181" s="220"/>
      <c r="N181" s="307">
        <f>ROUND(L181*K181,2)</f>
        <v>0</v>
      </c>
      <c r="O181" s="307"/>
      <c r="P181" s="307"/>
      <c r="Q181" s="307"/>
      <c r="R181" s="35"/>
      <c r="T181" s="155" t="s">
        <v>19</v>
      </c>
      <c r="U181" s="42" t="s">
        <v>39</v>
      </c>
      <c r="V181" s="156">
        <v>1.797</v>
      </c>
      <c r="W181" s="156">
        <f>V181*K181</f>
        <v>203.9595</v>
      </c>
      <c r="X181" s="156">
        <v>0</v>
      </c>
      <c r="Y181" s="156">
        <f>X181*K181</f>
        <v>0</v>
      </c>
      <c r="Z181" s="156">
        <v>0</v>
      </c>
      <c r="AA181" s="157">
        <f>Z181*K181</f>
        <v>0</v>
      </c>
      <c r="AR181" s="20" t="s">
        <v>142</v>
      </c>
      <c r="AT181" s="20" t="s">
        <v>138</v>
      </c>
      <c r="AU181" s="20" t="s">
        <v>96</v>
      </c>
      <c r="AY181" s="20" t="s">
        <v>137</v>
      </c>
      <c r="BE181" s="158">
        <f>IF(U181="základní",N181,0)</f>
        <v>0</v>
      </c>
      <c r="BF181" s="158">
        <f>IF(U181="snížená",N181,0)</f>
        <v>0</v>
      </c>
      <c r="BG181" s="158">
        <f>IF(U181="zákl. přenesená",N181,0)</f>
        <v>0</v>
      </c>
      <c r="BH181" s="158">
        <f>IF(U181="sníž. přenesená",N181,0)</f>
        <v>0</v>
      </c>
      <c r="BI181" s="158">
        <f>IF(U181="nulová",N181,0)</f>
        <v>0</v>
      </c>
      <c r="BJ181" s="20" t="s">
        <v>80</v>
      </c>
      <c r="BK181" s="158">
        <f>ROUND(L181*K181,2)</f>
        <v>0</v>
      </c>
      <c r="BL181" s="20" t="s">
        <v>142</v>
      </c>
      <c r="BM181" s="20" t="s">
        <v>321</v>
      </c>
    </row>
    <row r="182" spans="2:63" s="9" customFormat="1" ht="37.35" customHeight="1">
      <c r="B182" s="140"/>
      <c r="C182" s="141"/>
      <c r="D182" s="142" t="s">
        <v>114</v>
      </c>
      <c r="E182" s="142"/>
      <c r="F182" s="142"/>
      <c r="G182" s="142"/>
      <c r="H182" s="142"/>
      <c r="I182" s="142"/>
      <c r="J182" s="142"/>
      <c r="K182" s="142"/>
      <c r="L182" s="233"/>
      <c r="M182" s="142"/>
      <c r="N182" s="315">
        <f>N183+N185+N190+N192+N194</f>
        <v>0</v>
      </c>
      <c r="O182" s="316"/>
      <c r="P182" s="316"/>
      <c r="Q182" s="316"/>
      <c r="R182" s="143"/>
      <c r="T182" s="144"/>
      <c r="U182" s="141"/>
      <c r="V182" s="141"/>
      <c r="W182" s="145">
        <f>W183+W185+W190+W192+W194</f>
        <v>5.8682</v>
      </c>
      <c r="X182" s="141"/>
      <c r="Y182" s="145">
        <f>Y183+Y185+Y190+Y192+Y194</f>
        <v>0</v>
      </c>
      <c r="Z182" s="141"/>
      <c r="AA182" s="146">
        <f>AA183+AA185+AA190+AA192+AA194</f>
        <v>0.12287599999999999</v>
      </c>
      <c r="AR182" s="147" t="s">
        <v>96</v>
      </c>
      <c r="AT182" s="148" t="s">
        <v>72</v>
      </c>
      <c r="AU182" s="148" t="s">
        <v>73</v>
      </c>
      <c r="AY182" s="147" t="s">
        <v>137</v>
      </c>
      <c r="BK182" s="149">
        <f>BK183+BK185+BK190+BK192+BK194</f>
        <v>0</v>
      </c>
    </row>
    <row r="183" spans="2:63" s="9" customFormat="1" ht="19.9" customHeight="1">
      <c r="B183" s="140"/>
      <c r="C183" s="141"/>
      <c r="D183" s="150" t="s">
        <v>269</v>
      </c>
      <c r="E183" s="150"/>
      <c r="F183" s="150"/>
      <c r="G183" s="150"/>
      <c r="H183" s="150"/>
      <c r="I183" s="150"/>
      <c r="J183" s="150"/>
      <c r="K183" s="150"/>
      <c r="L183" s="233"/>
      <c r="M183" s="150"/>
      <c r="N183" s="301">
        <f>N184</f>
        <v>0</v>
      </c>
      <c r="O183" s="302"/>
      <c r="P183" s="302"/>
      <c r="Q183" s="302"/>
      <c r="R183" s="143"/>
      <c r="T183" s="144"/>
      <c r="U183" s="141"/>
      <c r="V183" s="141"/>
      <c r="W183" s="145">
        <f>W184</f>
        <v>0.492</v>
      </c>
      <c r="X183" s="141"/>
      <c r="Y183" s="145">
        <f>Y184</f>
        <v>0</v>
      </c>
      <c r="Z183" s="141"/>
      <c r="AA183" s="146">
        <f>AA184</f>
        <v>0</v>
      </c>
      <c r="AR183" s="147" t="s">
        <v>96</v>
      </c>
      <c r="AT183" s="148" t="s">
        <v>72</v>
      </c>
      <c r="AU183" s="148" t="s">
        <v>80</v>
      </c>
      <c r="AY183" s="147" t="s">
        <v>137</v>
      </c>
      <c r="BK183" s="149">
        <f>BK184</f>
        <v>0</v>
      </c>
    </row>
    <row r="184" spans="2:65" s="1" customFormat="1" ht="38.25" customHeight="1">
      <c r="B184" s="151">
        <f aca="true" t="shared" si="0" ref="B184:C184">B181+1</f>
        <v>1</v>
      </c>
      <c r="C184" s="151">
        <f t="shared" si="0"/>
        <v>26</v>
      </c>
      <c r="D184" s="151" t="s">
        <v>138</v>
      </c>
      <c r="E184" s="152" t="s">
        <v>322</v>
      </c>
      <c r="F184" s="312" t="s">
        <v>323</v>
      </c>
      <c r="G184" s="312"/>
      <c r="H184" s="312"/>
      <c r="I184" s="312"/>
      <c r="J184" s="153" t="s">
        <v>184</v>
      </c>
      <c r="K184" s="154">
        <v>4</v>
      </c>
      <c r="L184" s="233"/>
      <c r="M184" s="220"/>
      <c r="N184" s="307">
        <f>ROUND(L184*K184,2)</f>
        <v>0</v>
      </c>
      <c r="O184" s="307"/>
      <c r="P184" s="307"/>
      <c r="Q184" s="307"/>
      <c r="R184" s="35"/>
      <c r="T184" s="155" t="s">
        <v>19</v>
      </c>
      <c r="U184" s="42" t="s">
        <v>39</v>
      </c>
      <c r="V184" s="156">
        <v>0.123</v>
      </c>
      <c r="W184" s="156">
        <f>V184*K184</f>
        <v>0.492</v>
      </c>
      <c r="X184" s="156">
        <v>0</v>
      </c>
      <c r="Y184" s="156">
        <f>X184*K184</f>
        <v>0</v>
      </c>
      <c r="Z184" s="156">
        <v>0</v>
      </c>
      <c r="AA184" s="157">
        <f>Z184*K184</f>
        <v>0</v>
      </c>
      <c r="AR184" s="20" t="s">
        <v>169</v>
      </c>
      <c r="AT184" s="20" t="s">
        <v>138</v>
      </c>
      <c r="AU184" s="20" t="s">
        <v>96</v>
      </c>
      <c r="AY184" s="20" t="s">
        <v>137</v>
      </c>
      <c r="BE184" s="158">
        <f>IF(U184="základní",N184,0)</f>
        <v>0</v>
      </c>
      <c r="BF184" s="158">
        <f>IF(U184="snížená",N184,0)</f>
        <v>0</v>
      </c>
      <c r="BG184" s="158">
        <f>IF(U184="zákl. přenesená",N184,0)</f>
        <v>0</v>
      </c>
      <c r="BH184" s="158">
        <f>IF(U184="sníž. přenesená",N184,0)</f>
        <v>0</v>
      </c>
      <c r="BI184" s="158">
        <f>IF(U184="nulová",N184,0)</f>
        <v>0</v>
      </c>
      <c r="BJ184" s="20" t="s">
        <v>80</v>
      </c>
      <c r="BK184" s="158">
        <f>ROUND(L184*K184,2)</f>
        <v>0</v>
      </c>
      <c r="BL184" s="20" t="s">
        <v>169</v>
      </c>
      <c r="BM184" s="20" t="s">
        <v>324</v>
      </c>
    </row>
    <row r="185" spans="2:63" s="9" customFormat="1" ht="29.85" customHeight="1">
      <c r="B185" s="140"/>
      <c r="C185" s="141"/>
      <c r="D185" s="150" t="s">
        <v>119</v>
      </c>
      <c r="E185" s="150"/>
      <c r="F185" s="150"/>
      <c r="G185" s="150"/>
      <c r="H185" s="150"/>
      <c r="I185" s="150"/>
      <c r="J185" s="150"/>
      <c r="K185" s="150"/>
      <c r="L185" s="233"/>
      <c r="M185" s="150"/>
      <c r="N185" s="313">
        <f>SUM(N186:N188)</f>
        <v>0</v>
      </c>
      <c r="O185" s="314"/>
      <c r="P185" s="314"/>
      <c r="Q185" s="314"/>
      <c r="R185" s="143"/>
      <c r="T185" s="144"/>
      <c r="U185" s="141"/>
      <c r="V185" s="141"/>
      <c r="W185" s="145">
        <f>SUM(W186:W189)</f>
        <v>4.3428</v>
      </c>
      <c r="X185" s="141"/>
      <c r="Y185" s="145">
        <f>SUM(Y186:Y189)</f>
        <v>0</v>
      </c>
      <c r="Z185" s="141"/>
      <c r="AA185" s="146">
        <f>SUM(AA186:AA189)</f>
        <v>0.072016</v>
      </c>
      <c r="AR185" s="147" t="s">
        <v>96</v>
      </c>
      <c r="AT185" s="148" t="s">
        <v>72</v>
      </c>
      <c r="AU185" s="148" t="s">
        <v>80</v>
      </c>
      <c r="AY185" s="147" t="s">
        <v>137</v>
      </c>
      <c r="BK185" s="149">
        <f>SUM(BK186:BK189)</f>
        <v>0</v>
      </c>
    </row>
    <row r="186" spans="2:65" s="1" customFormat="1" ht="16.5" customHeight="1">
      <c r="B186" s="33"/>
      <c r="C186" s="151">
        <f>C184+1</f>
        <v>27</v>
      </c>
      <c r="D186" s="151" t="s">
        <v>138</v>
      </c>
      <c r="E186" s="152" t="s">
        <v>254</v>
      </c>
      <c r="F186" s="312" t="s">
        <v>255</v>
      </c>
      <c r="G186" s="312"/>
      <c r="H186" s="312"/>
      <c r="I186" s="312"/>
      <c r="J186" s="153" t="s">
        <v>256</v>
      </c>
      <c r="K186" s="154">
        <v>18</v>
      </c>
      <c r="L186" s="233"/>
      <c r="M186" s="220"/>
      <c r="N186" s="307">
        <f>ROUND(L186*K186,2)</f>
        <v>0</v>
      </c>
      <c r="O186" s="307"/>
      <c r="P186" s="307"/>
      <c r="Q186" s="307"/>
      <c r="R186" s="35"/>
      <c r="T186" s="155" t="s">
        <v>19</v>
      </c>
      <c r="U186" s="42" t="s">
        <v>39</v>
      </c>
      <c r="V186" s="156">
        <v>0.189</v>
      </c>
      <c r="W186" s="156">
        <f>V186*K186</f>
        <v>3.402</v>
      </c>
      <c r="X186" s="156">
        <v>0</v>
      </c>
      <c r="Y186" s="156">
        <f>X186*K186</f>
        <v>0</v>
      </c>
      <c r="Z186" s="156">
        <v>0.0026</v>
      </c>
      <c r="AA186" s="157">
        <f>Z186*K186</f>
        <v>0.046799999999999994</v>
      </c>
      <c r="AR186" s="20" t="s">
        <v>169</v>
      </c>
      <c r="AT186" s="20" t="s">
        <v>138</v>
      </c>
      <c r="AU186" s="20" t="s">
        <v>96</v>
      </c>
      <c r="AY186" s="20" t="s">
        <v>137</v>
      </c>
      <c r="BE186" s="158">
        <f>IF(U186="základní",N186,0)</f>
        <v>0</v>
      </c>
      <c r="BF186" s="158">
        <f>IF(U186="snížená",N186,0)</f>
        <v>0</v>
      </c>
      <c r="BG186" s="158">
        <f>IF(U186="zákl. přenesená",N186,0)</f>
        <v>0</v>
      </c>
      <c r="BH186" s="158">
        <f>IF(U186="sníž. přenesená",N186,0)</f>
        <v>0</v>
      </c>
      <c r="BI186" s="158">
        <f>IF(U186="nulová",N186,0)</f>
        <v>0</v>
      </c>
      <c r="BJ186" s="20" t="s">
        <v>80</v>
      </c>
      <c r="BK186" s="158">
        <f>ROUND(L186*K186,2)</f>
        <v>0</v>
      </c>
      <c r="BL186" s="20" t="s">
        <v>169</v>
      </c>
      <c r="BM186" s="20" t="s">
        <v>325</v>
      </c>
    </row>
    <row r="187" spans="2:51" s="10" customFormat="1" ht="16.5" customHeight="1">
      <c r="B187" s="159"/>
      <c r="C187" s="160"/>
      <c r="D187" s="160"/>
      <c r="E187" s="161" t="s">
        <v>19</v>
      </c>
      <c r="F187" s="308" t="s">
        <v>326</v>
      </c>
      <c r="G187" s="309"/>
      <c r="H187" s="309"/>
      <c r="I187" s="309"/>
      <c r="J187" s="160"/>
      <c r="K187" s="162">
        <v>18</v>
      </c>
      <c r="L187" s="233"/>
      <c r="M187" s="221"/>
      <c r="N187" s="160"/>
      <c r="O187" s="160"/>
      <c r="P187" s="160"/>
      <c r="Q187" s="160"/>
      <c r="R187" s="163"/>
      <c r="T187" s="164"/>
      <c r="U187" s="160"/>
      <c r="V187" s="160"/>
      <c r="W187" s="160"/>
      <c r="X187" s="160"/>
      <c r="Y187" s="160"/>
      <c r="Z187" s="160"/>
      <c r="AA187" s="165"/>
      <c r="AT187" s="166" t="s">
        <v>145</v>
      </c>
      <c r="AU187" s="166" t="s">
        <v>96</v>
      </c>
      <c r="AV187" s="10" t="s">
        <v>96</v>
      </c>
      <c r="AW187" s="10" t="s">
        <v>33</v>
      </c>
      <c r="AX187" s="10" t="s">
        <v>80</v>
      </c>
      <c r="AY187" s="166" t="s">
        <v>137</v>
      </c>
    </row>
    <row r="188" spans="2:65" s="1" customFormat="1" ht="16.5" customHeight="1">
      <c r="B188" s="33"/>
      <c r="C188" s="151">
        <f>C186+1</f>
        <v>28</v>
      </c>
      <c r="D188" s="151" t="s">
        <v>138</v>
      </c>
      <c r="E188" s="152" t="s">
        <v>259</v>
      </c>
      <c r="F188" s="312" t="s">
        <v>260</v>
      </c>
      <c r="G188" s="312"/>
      <c r="H188" s="312"/>
      <c r="I188" s="312"/>
      <c r="J188" s="153" t="s">
        <v>256</v>
      </c>
      <c r="K188" s="154">
        <v>6.4</v>
      </c>
      <c r="L188" s="233"/>
      <c r="M188" s="220"/>
      <c r="N188" s="307">
        <f>ROUND(L188*K188,2)</f>
        <v>0</v>
      </c>
      <c r="O188" s="307"/>
      <c r="P188" s="307"/>
      <c r="Q188" s="307"/>
      <c r="R188" s="35"/>
      <c r="T188" s="155" t="s">
        <v>19</v>
      </c>
      <c r="U188" s="42" t="s">
        <v>39</v>
      </c>
      <c r="V188" s="156">
        <v>0.147</v>
      </c>
      <c r="W188" s="156">
        <f>V188*K188</f>
        <v>0.9408</v>
      </c>
      <c r="X188" s="156">
        <v>0</v>
      </c>
      <c r="Y188" s="156">
        <f>X188*K188</f>
        <v>0</v>
      </c>
      <c r="Z188" s="156">
        <v>0.00394</v>
      </c>
      <c r="AA188" s="157">
        <f>Z188*K188</f>
        <v>0.025216000000000002</v>
      </c>
      <c r="AR188" s="20" t="s">
        <v>169</v>
      </c>
      <c r="AT188" s="20" t="s">
        <v>138</v>
      </c>
      <c r="AU188" s="20" t="s">
        <v>96</v>
      </c>
      <c r="AY188" s="20" t="s">
        <v>137</v>
      </c>
      <c r="BE188" s="158">
        <f>IF(U188="základní",N188,0)</f>
        <v>0</v>
      </c>
      <c r="BF188" s="158">
        <f>IF(U188="snížená",N188,0)</f>
        <v>0</v>
      </c>
      <c r="BG188" s="158">
        <f>IF(U188="zákl. přenesená",N188,0)</f>
        <v>0</v>
      </c>
      <c r="BH188" s="158">
        <f>IF(U188="sníž. přenesená",N188,0)</f>
        <v>0</v>
      </c>
      <c r="BI188" s="158">
        <f>IF(U188="nulová",N188,0)</f>
        <v>0</v>
      </c>
      <c r="BJ188" s="20" t="s">
        <v>80</v>
      </c>
      <c r="BK188" s="158">
        <f>ROUND(L188*K188,2)</f>
        <v>0</v>
      </c>
      <c r="BL188" s="20" t="s">
        <v>169</v>
      </c>
      <c r="BM188" s="20" t="s">
        <v>327</v>
      </c>
    </row>
    <row r="189" spans="2:51" s="10" customFormat="1" ht="16.5" customHeight="1">
      <c r="B189" s="159"/>
      <c r="C189" s="160"/>
      <c r="D189" s="160"/>
      <c r="E189" s="161" t="s">
        <v>19</v>
      </c>
      <c r="F189" s="308" t="s">
        <v>328</v>
      </c>
      <c r="G189" s="309"/>
      <c r="H189" s="309"/>
      <c r="I189" s="309"/>
      <c r="J189" s="160"/>
      <c r="K189" s="162">
        <v>6.4</v>
      </c>
      <c r="L189" s="233"/>
      <c r="M189" s="221"/>
      <c r="N189" s="160"/>
      <c r="O189" s="160"/>
      <c r="P189" s="160"/>
      <c r="Q189" s="160"/>
      <c r="R189" s="163"/>
      <c r="T189" s="164"/>
      <c r="U189" s="160"/>
      <c r="V189" s="160"/>
      <c r="W189" s="160"/>
      <c r="X189" s="160"/>
      <c r="Y189" s="160"/>
      <c r="Z189" s="160"/>
      <c r="AA189" s="165"/>
      <c r="AT189" s="166" t="s">
        <v>145</v>
      </c>
      <c r="AU189" s="166" t="s">
        <v>96</v>
      </c>
      <c r="AV189" s="10" t="s">
        <v>96</v>
      </c>
      <c r="AW189" s="10" t="s">
        <v>33</v>
      </c>
      <c r="AX189" s="10" t="s">
        <v>80</v>
      </c>
      <c r="AY189" s="166" t="s">
        <v>137</v>
      </c>
    </row>
    <row r="190" spans="2:63" s="9" customFormat="1" ht="29.85" customHeight="1">
      <c r="B190" s="140"/>
      <c r="C190" s="141"/>
      <c r="D190" s="150" t="s">
        <v>120</v>
      </c>
      <c r="E190" s="150"/>
      <c r="F190" s="150"/>
      <c r="G190" s="150"/>
      <c r="H190" s="150"/>
      <c r="I190" s="150"/>
      <c r="J190" s="150"/>
      <c r="K190" s="150"/>
      <c r="L190" s="233"/>
      <c r="M190" s="150"/>
      <c r="N190" s="301">
        <f>N191</f>
        <v>0</v>
      </c>
      <c r="O190" s="302"/>
      <c r="P190" s="302"/>
      <c r="Q190" s="302"/>
      <c r="R190" s="143"/>
      <c r="T190" s="144"/>
      <c r="U190" s="141"/>
      <c r="V190" s="141"/>
      <c r="W190" s="145">
        <f>W191</f>
        <v>0.095</v>
      </c>
      <c r="X190" s="141"/>
      <c r="Y190" s="145">
        <f>Y191</f>
        <v>0</v>
      </c>
      <c r="Z190" s="141"/>
      <c r="AA190" s="146">
        <f>AA191</f>
        <v>0.00042</v>
      </c>
      <c r="AR190" s="147" t="s">
        <v>96</v>
      </c>
      <c r="AT190" s="148" t="s">
        <v>72</v>
      </c>
      <c r="AU190" s="148" t="s">
        <v>80</v>
      </c>
      <c r="AY190" s="147" t="s">
        <v>137</v>
      </c>
      <c r="BK190" s="149">
        <f>BK191</f>
        <v>0</v>
      </c>
    </row>
    <row r="191" spans="2:65" s="1" customFormat="1" ht="16.5" customHeight="1">
      <c r="B191" s="33"/>
      <c r="C191" s="151">
        <f>C188+1</f>
        <v>29</v>
      </c>
      <c r="D191" s="151" t="s">
        <v>138</v>
      </c>
      <c r="E191" s="152" t="s">
        <v>263</v>
      </c>
      <c r="F191" s="312" t="s">
        <v>283</v>
      </c>
      <c r="G191" s="312"/>
      <c r="H191" s="312"/>
      <c r="I191" s="312"/>
      <c r="J191" s="153" t="s">
        <v>184</v>
      </c>
      <c r="K191" s="154">
        <v>1</v>
      </c>
      <c r="L191" s="233"/>
      <c r="M191" s="220"/>
      <c r="N191" s="307">
        <f>ROUND(L191*K191,2)</f>
        <v>0</v>
      </c>
      <c r="O191" s="307"/>
      <c r="P191" s="307"/>
      <c r="Q191" s="307"/>
      <c r="R191" s="35"/>
      <c r="T191" s="155" t="s">
        <v>19</v>
      </c>
      <c r="U191" s="42" t="s">
        <v>39</v>
      </c>
      <c r="V191" s="156">
        <v>0.095</v>
      </c>
      <c r="W191" s="156">
        <f>V191*K191</f>
        <v>0.095</v>
      </c>
      <c r="X191" s="156">
        <v>0</v>
      </c>
      <c r="Y191" s="156">
        <f>X191*K191</f>
        <v>0</v>
      </c>
      <c r="Z191" s="156">
        <v>0.00042</v>
      </c>
      <c r="AA191" s="157">
        <f>Z191*K191</f>
        <v>0.00042</v>
      </c>
      <c r="AR191" s="20" t="s">
        <v>169</v>
      </c>
      <c r="AT191" s="20" t="s">
        <v>138</v>
      </c>
      <c r="AU191" s="20" t="s">
        <v>96</v>
      </c>
      <c r="AY191" s="20" t="s">
        <v>137</v>
      </c>
      <c r="BE191" s="158">
        <f>IF(U191="základní",N191,0)</f>
        <v>0</v>
      </c>
      <c r="BF191" s="158">
        <f>IF(U191="snížená",N191,0)</f>
        <v>0</v>
      </c>
      <c r="BG191" s="158">
        <f>IF(U191="zákl. přenesená",N191,0)</f>
        <v>0</v>
      </c>
      <c r="BH191" s="158">
        <f>IF(U191="sníž. přenesená",N191,0)</f>
        <v>0</v>
      </c>
      <c r="BI191" s="158">
        <f>IF(U191="nulová",N191,0)</f>
        <v>0</v>
      </c>
      <c r="BJ191" s="20" t="s">
        <v>80</v>
      </c>
      <c r="BK191" s="158">
        <f>ROUND(L191*K191,2)</f>
        <v>0</v>
      </c>
      <c r="BL191" s="20" t="s">
        <v>169</v>
      </c>
      <c r="BM191" s="20" t="s">
        <v>329</v>
      </c>
    </row>
    <row r="192" spans="2:63" s="9" customFormat="1" ht="29.85" customHeight="1">
      <c r="B192" s="140"/>
      <c r="C192" s="141"/>
      <c r="D192" s="150" t="s">
        <v>121</v>
      </c>
      <c r="E192" s="150"/>
      <c r="F192" s="150"/>
      <c r="G192" s="150"/>
      <c r="H192" s="150"/>
      <c r="I192" s="150"/>
      <c r="J192" s="150"/>
      <c r="K192" s="150"/>
      <c r="L192" s="233"/>
      <c r="M192" s="150"/>
      <c r="N192" s="313">
        <f>N193</f>
        <v>0</v>
      </c>
      <c r="O192" s="314"/>
      <c r="P192" s="314"/>
      <c r="Q192" s="314"/>
      <c r="R192" s="143"/>
      <c r="T192" s="144"/>
      <c r="U192" s="141"/>
      <c r="V192" s="141"/>
      <c r="W192" s="145">
        <f>W193</f>
        <v>0.6</v>
      </c>
      <c r="X192" s="141"/>
      <c r="Y192" s="145">
        <f>Y193</f>
        <v>0</v>
      </c>
      <c r="Z192" s="141"/>
      <c r="AA192" s="146">
        <f>AA193</f>
        <v>0.013</v>
      </c>
      <c r="AR192" s="147" t="s">
        <v>96</v>
      </c>
      <c r="AT192" s="148" t="s">
        <v>72</v>
      </c>
      <c r="AU192" s="148" t="s">
        <v>80</v>
      </c>
      <c r="AY192" s="147" t="s">
        <v>137</v>
      </c>
      <c r="BK192" s="149">
        <f>BK193</f>
        <v>0</v>
      </c>
    </row>
    <row r="193" spans="2:65" s="1" customFormat="1" ht="25.5" customHeight="1">
      <c r="B193" s="33"/>
      <c r="C193" s="151">
        <f>C191+1</f>
        <v>30</v>
      </c>
      <c r="D193" s="151" t="s">
        <v>138</v>
      </c>
      <c r="E193" s="152" t="s">
        <v>266</v>
      </c>
      <c r="F193" s="312" t="s">
        <v>267</v>
      </c>
      <c r="G193" s="312"/>
      <c r="H193" s="312"/>
      <c r="I193" s="312"/>
      <c r="J193" s="153" t="s">
        <v>184</v>
      </c>
      <c r="K193" s="154">
        <v>1</v>
      </c>
      <c r="L193" s="233"/>
      <c r="M193" s="220"/>
      <c r="N193" s="307">
        <f>ROUND(L193*K193,2)</f>
        <v>0</v>
      </c>
      <c r="O193" s="307"/>
      <c r="P193" s="307"/>
      <c r="Q193" s="307"/>
      <c r="R193" s="35"/>
      <c r="T193" s="155" t="s">
        <v>19</v>
      </c>
      <c r="U193" s="42" t="s">
        <v>39</v>
      </c>
      <c r="V193" s="156">
        <v>0.6</v>
      </c>
      <c r="W193" s="156">
        <f>V193*K193</f>
        <v>0.6</v>
      </c>
      <c r="X193" s="156">
        <v>0</v>
      </c>
      <c r="Y193" s="156">
        <f>X193*K193</f>
        <v>0</v>
      </c>
      <c r="Z193" s="156">
        <v>0.013</v>
      </c>
      <c r="AA193" s="157">
        <f>Z193*K193</f>
        <v>0.013</v>
      </c>
      <c r="AR193" s="20" t="s">
        <v>169</v>
      </c>
      <c r="AT193" s="20" t="s">
        <v>138</v>
      </c>
      <c r="AU193" s="20" t="s">
        <v>96</v>
      </c>
      <c r="AY193" s="20" t="s">
        <v>137</v>
      </c>
      <c r="BE193" s="158">
        <f>IF(U193="základní",N193,0)</f>
        <v>0</v>
      </c>
      <c r="BF193" s="158">
        <f>IF(U193="snížená",N193,0)</f>
        <v>0</v>
      </c>
      <c r="BG193" s="158">
        <f>IF(U193="zákl. přenesená",N193,0)</f>
        <v>0</v>
      </c>
      <c r="BH193" s="158">
        <f>IF(U193="sníž. přenesená",N193,0)</f>
        <v>0</v>
      </c>
      <c r="BI193" s="158">
        <f>IF(U193="nulová",N193,0)</f>
        <v>0</v>
      </c>
      <c r="BJ193" s="20" t="s">
        <v>80</v>
      </c>
      <c r="BK193" s="158">
        <f>ROUND(L193*K193,2)</f>
        <v>0</v>
      </c>
      <c r="BL193" s="20" t="s">
        <v>169</v>
      </c>
      <c r="BM193" s="20" t="s">
        <v>330</v>
      </c>
    </row>
    <row r="194" spans="2:63" s="9" customFormat="1" ht="29.85" customHeight="1">
      <c r="B194" s="140"/>
      <c r="C194" s="141"/>
      <c r="D194" s="150" t="s">
        <v>285</v>
      </c>
      <c r="E194" s="150"/>
      <c r="F194" s="150"/>
      <c r="G194" s="150"/>
      <c r="H194" s="150"/>
      <c r="I194" s="150"/>
      <c r="J194" s="150"/>
      <c r="K194" s="150"/>
      <c r="L194" s="233"/>
      <c r="M194" s="150"/>
      <c r="N194" s="313">
        <f>N195</f>
        <v>0</v>
      </c>
      <c r="O194" s="314"/>
      <c r="P194" s="314"/>
      <c r="Q194" s="314"/>
      <c r="R194" s="143"/>
      <c r="T194" s="144"/>
      <c r="U194" s="141"/>
      <c r="V194" s="141"/>
      <c r="W194" s="145">
        <f>SUM(W195:W196)</f>
        <v>0.3384</v>
      </c>
      <c r="X194" s="141"/>
      <c r="Y194" s="145">
        <f>SUM(Y195:Y196)</f>
        <v>0</v>
      </c>
      <c r="Z194" s="141"/>
      <c r="AA194" s="146">
        <f>SUM(AA195:AA196)</f>
        <v>0.037439999999999994</v>
      </c>
      <c r="AR194" s="147" t="s">
        <v>96</v>
      </c>
      <c r="AT194" s="148" t="s">
        <v>72</v>
      </c>
      <c r="AU194" s="148" t="s">
        <v>80</v>
      </c>
      <c r="AY194" s="147" t="s">
        <v>137</v>
      </c>
      <c r="BK194" s="149">
        <f>SUM(BK195:BK196)</f>
        <v>0</v>
      </c>
    </row>
    <row r="195" spans="2:65" s="1" customFormat="1" ht="25.5" customHeight="1">
      <c r="B195" s="33"/>
      <c r="C195" s="151">
        <f>C193+1</f>
        <v>31</v>
      </c>
      <c r="D195" s="151" t="s">
        <v>138</v>
      </c>
      <c r="E195" s="152" t="s">
        <v>331</v>
      </c>
      <c r="F195" s="312" t="s">
        <v>332</v>
      </c>
      <c r="G195" s="312"/>
      <c r="H195" s="312"/>
      <c r="I195" s="312"/>
      <c r="J195" s="153" t="s">
        <v>162</v>
      </c>
      <c r="K195" s="154">
        <v>1.44</v>
      </c>
      <c r="L195" s="233"/>
      <c r="M195" s="220"/>
      <c r="N195" s="307">
        <f>ROUND(L195*K195,2)</f>
        <v>0</v>
      </c>
      <c r="O195" s="307"/>
      <c r="P195" s="307"/>
      <c r="Q195" s="307"/>
      <c r="R195" s="35"/>
      <c r="T195" s="155" t="s">
        <v>19</v>
      </c>
      <c r="U195" s="42" t="s">
        <v>39</v>
      </c>
      <c r="V195" s="156">
        <v>0.235</v>
      </c>
      <c r="W195" s="156">
        <f>V195*K195</f>
        <v>0.3384</v>
      </c>
      <c r="X195" s="156">
        <v>0</v>
      </c>
      <c r="Y195" s="156">
        <f>X195*K195</f>
        <v>0</v>
      </c>
      <c r="Z195" s="156">
        <v>0.026</v>
      </c>
      <c r="AA195" s="157">
        <f>Z195*K195</f>
        <v>0.037439999999999994</v>
      </c>
      <c r="AR195" s="20" t="s">
        <v>169</v>
      </c>
      <c r="AT195" s="20" t="s">
        <v>138</v>
      </c>
      <c r="AU195" s="20" t="s">
        <v>96</v>
      </c>
      <c r="AY195" s="20" t="s">
        <v>137</v>
      </c>
      <c r="BE195" s="158">
        <f>IF(U195="základní",N195,0)</f>
        <v>0</v>
      </c>
      <c r="BF195" s="158">
        <f>IF(U195="snížená",N195,0)</f>
        <v>0</v>
      </c>
      <c r="BG195" s="158">
        <f>IF(U195="zákl. přenesená",N195,0)</f>
        <v>0</v>
      </c>
      <c r="BH195" s="158">
        <f>IF(U195="sníž. přenesená",N195,0)</f>
        <v>0</v>
      </c>
      <c r="BI195" s="158">
        <f>IF(U195="nulová",N195,0)</f>
        <v>0</v>
      </c>
      <c r="BJ195" s="20" t="s">
        <v>80</v>
      </c>
      <c r="BK195" s="158">
        <f>ROUND(L195*K195,2)</f>
        <v>0</v>
      </c>
      <c r="BL195" s="20" t="s">
        <v>169</v>
      </c>
      <c r="BM195" s="20" t="s">
        <v>333</v>
      </c>
    </row>
    <row r="196" spans="2:51" s="10" customFormat="1" ht="16.5" customHeight="1">
      <c r="B196" s="159"/>
      <c r="C196" s="160"/>
      <c r="D196" s="160"/>
      <c r="E196" s="161" t="s">
        <v>19</v>
      </c>
      <c r="F196" s="308" t="s">
        <v>334</v>
      </c>
      <c r="G196" s="309"/>
      <c r="H196" s="309"/>
      <c r="I196" s="309"/>
      <c r="J196" s="160"/>
      <c r="K196" s="162">
        <v>1.44</v>
      </c>
      <c r="L196" s="233"/>
      <c r="M196" s="221"/>
      <c r="N196" s="160"/>
      <c r="O196" s="160"/>
      <c r="P196" s="160"/>
      <c r="Q196" s="160"/>
      <c r="R196" s="163"/>
      <c r="T196" s="182"/>
      <c r="U196" s="183"/>
      <c r="V196" s="183"/>
      <c r="W196" s="183"/>
      <c r="X196" s="183"/>
      <c r="Y196" s="183"/>
      <c r="Z196" s="183"/>
      <c r="AA196" s="184"/>
      <c r="AT196" s="166" t="s">
        <v>145</v>
      </c>
      <c r="AU196" s="166" t="s">
        <v>96</v>
      </c>
      <c r="AV196" s="10" t="s">
        <v>96</v>
      </c>
      <c r="AW196" s="10" t="s">
        <v>33</v>
      </c>
      <c r="AX196" s="10" t="s">
        <v>80</v>
      </c>
      <c r="AY196" s="166" t="s">
        <v>137</v>
      </c>
    </row>
    <row r="197" spans="2:18" s="1" customFormat="1" ht="6.95" customHeight="1">
      <c r="B197" s="57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9"/>
    </row>
  </sheetData>
  <sheetProtection algorithmName="SHA-512" hashValue="Yl18fD/q6OrcGFxAgkOiADys0aNMZhshmfPDnXT3tk+jSpvOkiyej0P0bCbPGuQAiIufd44LUVQui000v3rzXg==" saltValue="2neXDIWVqt3rJDxk+GK9iA==" spinCount="100000" sheet="1" objects="1" scenarios="1"/>
  <mergeCells count="171">
    <mergeCell ref="F187:I187"/>
    <mergeCell ref="F188:I188"/>
    <mergeCell ref="N188:Q188"/>
    <mergeCell ref="N182:Q182"/>
    <mergeCell ref="N183:Q183"/>
    <mergeCell ref="F184:I184"/>
    <mergeCell ref="N184:Q184"/>
    <mergeCell ref="N185:Q185"/>
    <mergeCell ref="F196:I196"/>
    <mergeCell ref="F193:I193"/>
    <mergeCell ref="N193:Q193"/>
    <mergeCell ref="N194:Q194"/>
    <mergeCell ref="F195:I195"/>
    <mergeCell ref="N195:Q195"/>
    <mergeCell ref="F189:I189"/>
    <mergeCell ref="N190:Q190"/>
    <mergeCell ref="F191:I191"/>
    <mergeCell ref="N191:Q191"/>
    <mergeCell ref="N192:Q192"/>
    <mergeCell ref="F181:I181"/>
    <mergeCell ref="N181:Q181"/>
    <mergeCell ref="F178:I178"/>
    <mergeCell ref="N178:Q178"/>
    <mergeCell ref="F179:I179"/>
    <mergeCell ref="N179:Q179"/>
    <mergeCell ref="F180:I180"/>
    <mergeCell ref="N180:Q180"/>
    <mergeCell ref="F186:I186"/>
    <mergeCell ref="N186:Q186"/>
    <mergeCell ref="F174:I174"/>
    <mergeCell ref="F175:I175"/>
    <mergeCell ref="N175:Q175"/>
    <mergeCell ref="F176:I176"/>
    <mergeCell ref="N177:Q177"/>
    <mergeCell ref="F170:I170"/>
    <mergeCell ref="F171:I171"/>
    <mergeCell ref="F172:I172"/>
    <mergeCell ref="F173:I173"/>
    <mergeCell ref="N173:Q173"/>
    <mergeCell ref="F161:I161"/>
    <mergeCell ref="N161:Q161"/>
    <mergeCell ref="F162:I162"/>
    <mergeCell ref="F169:I169"/>
    <mergeCell ref="N169:Q169"/>
    <mergeCell ref="F157:I157"/>
    <mergeCell ref="F158:I158"/>
    <mergeCell ref="N158:Q158"/>
    <mergeCell ref="F159:I159"/>
    <mergeCell ref="N160:Q160"/>
    <mergeCell ref="F163:I163"/>
    <mergeCell ref="N163:Q163"/>
    <mergeCell ref="F164:I164"/>
    <mergeCell ref="F165:I165"/>
    <mergeCell ref="N165:Q165"/>
    <mergeCell ref="F166:I166"/>
    <mergeCell ref="F167:I167"/>
    <mergeCell ref="N167:Q167"/>
    <mergeCell ref="F168:I168"/>
    <mergeCell ref="F152:I152"/>
    <mergeCell ref="F153:I153"/>
    <mergeCell ref="F154:I154"/>
    <mergeCell ref="N155:Q155"/>
    <mergeCell ref="F156:I156"/>
    <mergeCell ref="N156:Q156"/>
    <mergeCell ref="F148:I148"/>
    <mergeCell ref="F149:I149"/>
    <mergeCell ref="N149:Q149"/>
    <mergeCell ref="N150:Q150"/>
    <mergeCell ref="F151:I151"/>
    <mergeCell ref="N151:Q151"/>
    <mergeCell ref="F145:I145"/>
    <mergeCell ref="N145:Q145"/>
    <mergeCell ref="F146:I146"/>
    <mergeCell ref="F147:I147"/>
    <mergeCell ref="N147:Q147"/>
    <mergeCell ref="F137:I137"/>
    <mergeCell ref="F140:I140"/>
    <mergeCell ref="F143:I143"/>
    <mergeCell ref="N143:Q143"/>
    <mergeCell ref="F144:I144"/>
    <mergeCell ref="F138:I138"/>
    <mergeCell ref="F139:I139"/>
    <mergeCell ref="F142:I142"/>
    <mergeCell ref="F132:I132"/>
    <mergeCell ref="F133:I133"/>
    <mergeCell ref="F135:I135"/>
    <mergeCell ref="N135:Q135"/>
    <mergeCell ref="F136:I136"/>
    <mergeCell ref="F129:I129"/>
    <mergeCell ref="F130:I130"/>
    <mergeCell ref="F141:I141"/>
    <mergeCell ref="N141:Q141"/>
    <mergeCell ref="F131:I131"/>
    <mergeCell ref="F134:I134"/>
    <mergeCell ref="N134:Q134"/>
    <mergeCell ref="F125:I125"/>
    <mergeCell ref="F126:I126"/>
    <mergeCell ref="N126:Q126"/>
    <mergeCell ref="F127:I127"/>
    <mergeCell ref="F128:I128"/>
    <mergeCell ref="N128:Q128"/>
    <mergeCell ref="N119:Q119"/>
    <mergeCell ref="N120:Q120"/>
    <mergeCell ref="N121:Q121"/>
    <mergeCell ref="F124:I124"/>
    <mergeCell ref="N124:Q124"/>
    <mergeCell ref="N122:Q122"/>
    <mergeCell ref="F122:I122"/>
    <mergeCell ref="F123:I123"/>
    <mergeCell ref="C86:G86"/>
    <mergeCell ref="N86:Q86"/>
    <mergeCell ref="M113:P113"/>
    <mergeCell ref="M115:Q115"/>
    <mergeCell ref="M116:Q116"/>
    <mergeCell ref="F118:I118"/>
    <mergeCell ref="L118:M118"/>
    <mergeCell ref="N118:Q118"/>
    <mergeCell ref="N100:Q100"/>
    <mergeCell ref="N102:Q102"/>
    <mergeCell ref="L104:Q104"/>
    <mergeCell ref="C108:Q108"/>
    <mergeCell ref="F110:P110"/>
    <mergeCell ref="F111:P111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H1:K1"/>
    <mergeCell ref="C2:Q2"/>
    <mergeCell ref="S2:AC2"/>
    <mergeCell ref="C4:Q4"/>
    <mergeCell ref="F6:P6"/>
    <mergeCell ref="F7:P7"/>
    <mergeCell ref="M30:P30"/>
    <mergeCell ref="H32:J32"/>
    <mergeCell ref="M32:P32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33:J33"/>
    <mergeCell ref="M33:P33"/>
    <mergeCell ref="H34:J34"/>
    <mergeCell ref="M34:P34"/>
    <mergeCell ref="F78:P78"/>
    <mergeCell ref="F79:P79"/>
    <mergeCell ref="M81:P81"/>
    <mergeCell ref="M83:Q83"/>
    <mergeCell ref="M84:Q84"/>
    <mergeCell ref="H35:J35"/>
    <mergeCell ref="M35:P35"/>
    <mergeCell ref="H36:J36"/>
    <mergeCell ref="M36:P36"/>
    <mergeCell ref="L38:P38"/>
    <mergeCell ref="C76:Q76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rowBreaks count="1" manualBreakCount="1"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2"/>
  <sheetViews>
    <sheetView workbookViewId="0" topLeftCell="A73">
      <selection activeCell="AB79" sqref="AB7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6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</cols>
  <sheetData>
    <row r="1" spans="1:66" ht="21.75" customHeight="1">
      <c r="A1" s="109"/>
      <c r="B1" s="13"/>
      <c r="C1" s="13"/>
      <c r="D1" s="14" t="s">
        <v>1</v>
      </c>
      <c r="E1" s="13"/>
      <c r="F1" s="15" t="s">
        <v>91</v>
      </c>
      <c r="G1" s="15"/>
      <c r="H1" s="277" t="s">
        <v>92</v>
      </c>
      <c r="I1" s="277"/>
      <c r="J1" s="277"/>
      <c r="K1" s="277"/>
      <c r="L1" s="15" t="s">
        <v>93</v>
      </c>
      <c r="M1" s="13"/>
      <c r="N1" s="13"/>
      <c r="O1" s="14" t="s">
        <v>94</v>
      </c>
      <c r="P1" s="13"/>
      <c r="Q1" s="13"/>
      <c r="R1" s="13"/>
      <c r="S1" s="15" t="s">
        <v>95</v>
      </c>
      <c r="T1" s="15"/>
      <c r="U1" s="109"/>
      <c r="V1" s="10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239" t="s">
        <v>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S2" s="241" t="s">
        <v>8</v>
      </c>
      <c r="T2" s="242"/>
      <c r="U2" s="242"/>
      <c r="V2" s="242"/>
      <c r="W2" s="242"/>
      <c r="X2" s="242"/>
      <c r="Y2" s="242"/>
      <c r="Z2" s="242"/>
      <c r="AA2" s="242"/>
      <c r="AB2" s="242"/>
      <c r="AC2" s="242"/>
      <c r="AT2" s="20" t="s">
        <v>85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96</v>
      </c>
    </row>
    <row r="4" spans="2:46" ht="36.95" customHeight="1">
      <c r="B4" s="24"/>
      <c r="C4" s="243" t="s">
        <v>97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78" t="e">
        <f>#REF!</f>
        <v>#REF!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6"/>
      <c r="R6" s="25"/>
    </row>
    <row r="7" spans="2:18" s="1" customFormat="1" ht="32.85" customHeight="1">
      <c r="B7" s="33"/>
      <c r="C7" s="34"/>
      <c r="D7" s="29" t="s">
        <v>98</v>
      </c>
      <c r="E7" s="34"/>
      <c r="F7" s="247" t="s">
        <v>335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19</v>
      </c>
      <c r="G8" s="34"/>
      <c r="H8" s="34"/>
      <c r="I8" s="34"/>
      <c r="J8" s="34"/>
      <c r="K8" s="34"/>
      <c r="L8" s="34"/>
      <c r="M8" s="30" t="s">
        <v>20</v>
      </c>
      <c r="N8" s="34"/>
      <c r="O8" s="28" t="s">
        <v>19</v>
      </c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34"/>
      <c r="M9" s="30" t="s">
        <v>23</v>
      </c>
      <c r="N9" s="34"/>
      <c r="O9" s="281" t="e">
        <f>#REF!</f>
        <v>#REF!</v>
      </c>
      <c r="P9" s="281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25</v>
      </c>
      <c r="E11" s="34"/>
      <c r="F11" s="34"/>
      <c r="G11" s="34"/>
      <c r="H11" s="34"/>
      <c r="I11" s="34"/>
      <c r="J11" s="34"/>
      <c r="K11" s="34"/>
      <c r="L11" s="34"/>
      <c r="M11" s="30" t="s">
        <v>26</v>
      </c>
      <c r="N11" s="34"/>
      <c r="O11" s="245" t="s">
        <v>19</v>
      </c>
      <c r="P11" s="245"/>
      <c r="Q11" s="34"/>
      <c r="R11" s="35"/>
    </row>
    <row r="12" spans="2:18" s="1" customFormat="1" ht="18" customHeight="1">
      <c r="B12" s="33"/>
      <c r="C12" s="34"/>
      <c r="D12" s="34"/>
      <c r="E12" s="28" t="s">
        <v>27</v>
      </c>
      <c r="F12" s="34"/>
      <c r="G12" s="34"/>
      <c r="H12" s="34"/>
      <c r="I12" s="34"/>
      <c r="J12" s="34"/>
      <c r="K12" s="34"/>
      <c r="L12" s="34"/>
      <c r="M12" s="30" t="s">
        <v>28</v>
      </c>
      <c r="N12" s="34"/>
      <c r="O12" s="245" t="s">
        <v>19</v>
      </c>
      <c r="P12" s="245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29</v>
      </c>
      <c r="E14" s="34"/>
      <c r="F14" s="34"/>
      <c r="G14" s="34"/>
      <c r="H14" s="34"/>
      <c r="I14" s="34"/>
      <c r="J14" s="34"/>
      <c r="K14" s="34"/>
      <c r="L14" s="34"/>
      <c r="M14" s="30" t="s">
        <v>26</v>
      </c>
      <c r="N14" s="34"/>
      <c r="O14" s="245" t="s">
        <v>19</v>
      </c>
      <c r="P14" s="245"/>
      <c r="Q14" s="34"/>
      <c r="R14" s="35"/>
    </row>
    <row r="15" spans="2:18" s="1" customFormat="1" ht="18" customHeight="1">
      <c r="B15" s="33"/>
      <c r="C15" s="34"/>
      <c r="D15" s="34"/>
      <c r="E15" s="28" t="s">
        <v>30</v>
      </c>
      <c r="F15" s="34"/>
      <c r="G15" s="34"/>
      <c r="H15" s="34"/>
      <c r="I15" s="34"/>
      <c r="J15" s="34"/>
      <c r="K15" s="34"/>
      <c r="L15" s="34"/>
      <c r="M15" s="30" t="s">
        <v>28</v>
      </c>
      <c r="N15" s="34"/>
      <c r="O15" s="245" t="s">
        <v>19</v>
      </c>
      <c r="P15" s="245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31</v>
      </c>
      <c r="E17" s="34"/>
      <c r="F17" s="34"/>
      <c r="G17" s="34"/>
      <c r="H17" s="34"/>
      <c r="I17" s="34"/>
      <c r="J17" s="34"/>
      <c r="K17" s="34"/>
      <c r="L17" s="34"/>
      <c r="M17" s="30" t="s">
        <v>26</v>
      </c>
      <c r="N17" s="34"/>
      <c r="O17" s="245" t="s">
        <v>19</v>
      </c>
      <c r="P17" s="245"/>
      <c r="Q17" s="34"/>
      <c r="R17" s="35"/>
    </row>
    <row r="18" spans="2:18" s="1" customFormat="1" ht="18" customHeight="1">
      <c r="B18" s="33"/>
      <c r="C18" s="34"/>
      <c r="D18" s="34"/>
      <c r="E18" s="28" t="s">
        <v>32</v>
      </c>
      <c r="F18" s="34"/>
      <c r="G18" s="34"/>
      <c r="H18" s="34"/>
      <c r="I18" s="34"/>
      <c r="J18" s="34"/>
      <c r="K18" s="34"/>
      <c r="L18" s="34"/>
      <c r="M18" s="30" t="s">
        <v>28</v>
      </c>
      <c r="N18" s="34"/>
      <c r="O18" s="245" t="s">
        <v>19</v>
      </c>
      <c r="P18" s="245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34"/>
      <c r="M20" s="30" t="s">
        <v>26</v>
      </c>
      <c r="N20" s="34"/>
      <c r="O20" s="245" t="s">
        <v>19</v>
      </c>
      <c r="P20" s="245"/>
      <c r="Q20" s="34"/>
      <c r="R20" s="35"/>
    </row>
    <row r="21" spans="2:18" s="1" customFormat="1" ht="18" customHeight="1">
      <c r="B21" s="33"/>
      <c r="C21" s="34"/>
      <c r="D21" s="34"/>
      <c r="E21" s="28" t="s">
        <v>35</v>
      </c>
      <c r="F21" s="34"/>
      <c r="G21" s="34"/>
      <c r="H21" s="34"/>
      <c r="I21" s="34"/>
      <c r="J21" s="34"/>
      <c r="K21" s="34"/>
      <c r="L21" s="34"/>
      <c r="M21" s="30" t="s">
        <v>28</v>
      </c>
      <c r="N21" s="34"/>
      <c r="O21" s="245" t="s">
        <v>19</v>
      </c>
      <c r="P21" s="245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38" t="s">
        <v>19</v>
      </c>
      <c r="F24" s="238"/>
      <c r="G24" s="238"/>
      <c r="H24" s="238"/>
      <c r="I24" s="238"/>
      <c r="J24" s="238"/>
      <c r="K24" s="238"/>
      <c r="L24" s="238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0" t="s">
        <v>100</v>
      </c>
      <c r="E27" s="34"/>
      <c r="F27" s="34"/>
      <c r="G27" s="34"/>
      <c r="H27" s="34"/>
      <c r="I27" s="34"/>
      <c r="J27" s="34"/>
      <c r="K27" s="34"/>
      <c r="L27" s="34"/>
      <c r="M27" s="248">
        <f>N88</f>
        <v>0</v>
      </c>
      <c r="N27" s="248"/>
      <c r="O27" s="248"/>
      <c r="P27" s="248"/>
      <c r="Q27" s="34"/>
      <c r="R27" s="35"/>
    </row>
    <row r="28" spans="2:18" s="1" customFormat="1" ht="14.45" customHeight="1">
      <c r="B28" s="33"/>
      <c r="C28" s="34"/>
      <c r="D28" s="32" t="s">
        <v>101</v>
      </c>
      <c r="E28" s="34"/>
      <c r="F28" s="34"/>
      <c r="G28" s="34"/>
      <c r="H28" s="34"/>
      <c r="I28" s="34"/>
      <c r="J28" s="34"/>
      <c r="K28" s="34"/>
      <c r="L28" s="34"/>
      <c r="M28" s="248">
        <f>N102</f>
        <v>0</v>
      </c>
      <c r="N28" s="248"/>
      <c r="O28" s="248"/>
      <c r="P28" s="248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1" t="s">
        <v>37</v>
      </c>
      <c r="E30" s="34"/>
      <c r="F30" s="34"/>
      <c r="G30" s="34"/>
      <c r="H30" s="34"/>
      <c r="I30" s="34"/>
      <c r="J30" s="34"/>
      <c r="K30" s="34"/>
      <c r="L30" s="34"/>
      <c r="M30" s="285">
        <f>ROUND(M27+M28,2)</f>
        <v>0</v>
      </c>
      <c r="N30" s="280"/>
      <c r="O30" s="280"/>
      <c r="P30" s="280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38</v>
      </c>
      <c r="E32" s="40" t="s">
        <v>39</v>
      </c>
      <c r="F32" s="41">
        <v>0.21</v>
      </c>
      <c r="G32" s="112" t="s">
        <v>40</v>
      </c>
      <c r="H32" s="282">
        <f>ROUND((SUM(BE102:BE103)+SUM(BE119:BE201)),2)</f>
        <v>0</v>
      </c>
      <c r="I32" s="280"/>
      <c r="J32" s="280"/>
      <c r="K32" s="34"/>
      <c r="L32" s="34"/>
      <c r="M32" s="282">
        <f>ROUND(ROUND((SUM(BE102:BE103)+SUM(BE119:BE201)),2)*F32,2)</f>
        <v>0</v>
      </c>
      <c r="N32" s="280"/>
      <c r="O32" s="280"/>
      <c r="P32" s="280"/>
      <c r="Q32" s="34"/>
      <c r="R32" s="35"/>
    </row>
    <row r="33" spans="2:18" s="1" customFormat="1" ht="14.45" customHeight="1">
      <c r="B33" s="33"/>
      <c r="C33" s="34"/>
      <c r="D33" s="34"/>
      <c r="E33" s="40" t="s">
        <v>41</v>
      </c>
      <c r="F33" s="41">
        <v>0.15</v>
      </c>
      <c r="G33" s="112" t="s">
        <v>40</v>
      </c>
      <c r="H33" s="282">
        <f>ROUND((SUM(BF102:BF103)+SUM(BF119:BF201)),2)</f>
        <v>0</v>
      </c>
      <c r="I33" s="280"/>
      <c r="J33" s="280"/>
      <c r="K33" s="34"/>
      <c r="L33" s="34"/>
      <c r="M33" s="282">
        <f>ROUND(ROUND((SUM(BF102:BF103)+SUM(BF119:BF201)),2)*F33,2)</f>
        <v>0</v>
      </c>
      <c r="N33" s="280"/>
      <c r="O33" s="280"/>
      <c r="P33" s="280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42</v>
      </c>
      <c r="F34" s="41">
        <v>0.21</v>
      </c>
      <c r="G34" s="112" t="s">
        <v>40</v>
      </c>
      <c r="H34" s="282">
        <f>ROUND((SUM(BG102:BG103)+SUM(BG119:BG201)),2)</f>
        <v>0</v>
      </c>
      <c r="I34" s="280"/>
      <c r="J34" s="280"/>
      <c r="K34" s="34"/>
      <c r="L34" s="34"/>
      <c r="M34" s="282">
        <v>0</v>
      </c>
      <c r="N34" s="280"/>
      <c r="O34" s="280"/>
      <c r="P34" s="280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43</v>
      </c>
      <c r="F35" s="41">
        <v>0.15</v>
      </c>
      <c r="G35" s="112" t="s">
        <v>40</v>
      </c>
      <c r="H35" s="282">
        <f>ROUND((SUM(BH102:BH103)+SUM(BH119:BH201)),2)</f>
        <v>0</v>
      </c>
      <c r="I35" s="280"/>
      <c r="J35" s="280"/>
      <c r="K35" s="34"/>
      <c r="L35" s="34"/>
      <c r="M35" s="282">
        <v>0</v>
      </c>
      <c r="N35" s="280"/>
      <c r="O35" s="280"/>
      <c r="P35" s="280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44</v>
      </c>
      <c r="F36" s="41">
        <v>0</v>
      </c>
      <c r="G36" s="112" t="s">
        <v>40</v>
      </c>
      <c r="H36" s="282">
        <f>ROUND((SUM(BI102:BI103)+SUM(BI119:BI201)),2)</f>
        <v>0</v>
      </c>
      <c r="I36" s="280"/>
      <c r="J36" s="280"/>
      <c r="K36" s="34"/>
      <c r="L36" s="34"/>
      <c r="M36" s="282">
        <v>0</v>
      </c>
      <c r="N36" s="280"/>
      <c r="O36" s="280"/>
      <c r="P36" s="280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3" t="s">
        <v>45</v>
      </c>
      <c r="E38" s="77"/>
      <c r="F38" s="77"/>
      <c r="G38" s="114" t="s">
        <v>46</v>
      </c>
      <c r="H38" s="115" t="s">
        <v>47</v>
      </c>
      <c r="I38" s="77"/>
      <c r="J38" s="77"/>
      <c r="K38" s="77"/>
      <c r="L38" s="283">
        <f>SUM(M30:M36)</f>
        <v>0</v>
      </c>
      <c r="M38" s="283"/>
      <c r="N38" s="283"/>
      <c r="O38" s="283"/>
      <c r="P38" s="284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48</v>
      </c>
      <c r="E50" s="49"/>
      <c r="F50" s="49"/>
      <c r="G50" s="49"/>
      <c r="H50" s="50"/>
      <c r="I50" s="34"/>
      <c r="J50" s="48" t="s">
        <v>49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50</v>
      </c>
      <c r="E59" s="54"/>
      <c r="F59" s="54"/>
      <c r="G59" s="55" t="s">
        <v>51</v>
      </c>
      <c r="H59" s="56"/>
      <c r="I59" s="34"/>
      <c r="J59" s="53" t="s">
        <v>50</v>
      </c>
      <c r="K59" s="54"/>
      <c r="L59" s="54"/>
      <c r="M59" s="54"/>
      <c r="N59" s="55" t="s">
        <v>51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52</v>
      </c>
      <c r="E61" s="49"/>
      <c r="F61" s="49"/>
      <c r="G61" s="49"/>
      <c r="H61" s="50"/>
      <c r="I61" s="34"/>
      <c r="J61" s="48" t="s">
        <v>53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50</v>
      </c>
      <c r="E70" s="54"/>
      <c r="F70" s="54"/>
      <c r="G70" s="55" t="s">
        <v>51</v>
      </c>
      <c r="H70" s="56"/>
      <c r="I70" s="34"/>
      <c r="J70" s="53" t="s">
        <v>50</v>
      </c>
      <c r="K70" s="54"/>
      <c r="L70" s="54"/>
      <c r="M70" s="54"/>
      <c r="N70" s="55" t="s">
        <v>51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</row>
    <row r="76" spans="2:21" s="1" customFormat="1" ht="36.95" customHeight="1">
      <c r="B76" s="33"/>
      <c r="C76" s="243" t="s">
        <v>102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35"/>
      <c r="T76" s="119"/>
      <c r="U76" s="119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19"/>
      <c r="U77" s="119"/>
    </row>
    <row r="78" spans="2:21" s="1" customFormat="1" ht="30" customHeight="1">
      <c r="B78" s="33"/>
      <c r="C78" s="234" t="s">
        <v>17</v>
      </c>
      <c r="D78" s="235"/>
      <c r="E78" s="235"/>
      <c r="F78" s="291" t="str">
        <f>Rekapitulace!L78</f>
        <v>LIKVIDACE NEVYUŽÍVANÝCH VODOHOSPODÁŘSKÝCH OBJEKTŮ</v>
      </c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34"/>
      <c r="R78" s="35"/>
      <c r="T78" s="119"/>
      <c r="U78" s="119"/>
    </row>
    <row r="79" spans="2:21" s="1" customFormat="1" ht="36.95" customHeight="1">
      <c r="B79" s="33"/>
      <c r="C79" s="67" t="s">
        <v>98</v>
      </c>
      <c r="D79" s="34"/>
      <c r="E79" s="34"/>
      <c r="F79" s="265" t="str">
        <f>F7</f>
        <v>2017082-SÝČINA - SÝČINA-LIKVIDACE VODOJEMU</v>
      </c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34"/>
      <c r="R79" s="35"/>
      <c r="T79" s="119"/>
      <c r="U79" s="119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19"/>
      <c r="U80" s="119"/>
    </row>
    <row r="81" spans="2:21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34"/>
      <c r="M81" s="281"/>
      <c r="N81" s="281"/>
      <c r="O81" s="281"/>
      <c r="P81" s="281"/>
      <c r="Q81" s="34"/>
      <c r="R81" s="35"/>
      <c r="T81" s="119"/>
      <c r="U81" s="119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19"/>
      <c r="U82" s="119"/>
    </row>
    <row r="83" spans="2:21" s="1" customFormat="1" ht="15">
      <c r="B83" s="33"/>
      <c r="C83" s="30" t="s">
        <v>25</v>
      </c>
      <c r="D83" s="34"/>
      <c r="E83" s="34"/>
      <c r="F83" s="28" t="str">
        <f>E12</f>
        <v>VODOVODY A KANALIZACE MLADÁ BOLESLAV A.S.</v>
      </c>
      <c r="G83" s="34"/>
      <c r="H83" s="34"/>
      <c r="I83" s="34"/>
      <c r="J83" s="34"/>
      <c r="K83" s="30" t="s">
        <v>31</v>
      </c>
      <c r="L83" s="34"/>
      <c r="M83" s="245" t="str">
        <f>E18</f>
        <v>ING.EVŽEN KOZÁK S.R.O.</v>
      </c>
      <c r="N83" s="245"/>
      <c r="O83" s="245"/>
      <c r="P83" s="245"/>
      <c r="Q83" s="245"/>
      <c r="R83" s="35"/>
      <c r="T83" s="119"/>
      <c r="U83" s="119"/>
    </row>
    <row r="84" spans="2:21" s="1" customFormat="1" ht="14.45" customHeight="1">
      <c r="B84" s="33"/>
      <c r="C84" s="30" t="s">
        <v>29</v>
      </c>
      <c r="D84" s="34"/>
      <c r="E84" s="34"/>
      <c r="F84" s="28" t="str">
        <f>IF(E15="","",E15)</f>
        <v>DLE VÝBĚROVÉHO ŘÍZENÍ</v>
      </c>
      <c r="G84" s="34"/>
      <c r="H84" s="34"/>
      <c r="I84" s="34"/>
      <c r="J84" s="34"/>
      <c r="K84" s="30" t="s">
        <v>34</v>
      </c>
      <c r="L84" s="34"/>
      <c r="M84" s="245" t="str">
        <f>E21</f>
        <v>ING.EVŽEN KOZÁK</v>
      </c>
      <c r="N84" s="245"/>
      <c r="O84" s="245"/>
      <c r="P84" s="245"/>
      <c r="Q84" s="245"/>
      <c r="R84" s="35"/>
      <c r="T84" s="119"/>
      <c r="U84" s="119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19"/>
      <c r="U85" s="119"/>
    </row>
    <row r="86" spans="2:21" s="1" customFormat="1" ht="29.25" customHeight="1">
      <c r="B86" s="33"/>
      <c r="C86" s="293" t="s">
        <v>103</v>
      </c>
      <c r="D86" s="294"/>
      <c r="E86" s="294"/>
      <c r="F86" s="294"/>
      <c r="G86" s="294"/>
      <c r="H86" s="108"/>
      <c r="I86" s="108"/>
      <c r="J86" s="108"/>
      <c r="K86" s="108"/>
      <c r="L86" s="108"/>
      <c r="M86" s="108"/>
      <c r="N86" s="293" t="s">
        <v>104</v>
      </c>
      <c r="O86" s="294"/>
      <c r="P86" s="294"/>
      <c r="Q86" s="294"/>
      <c r="R86" s="35"/>
      <c r="T86" s="119"/>
      <c r="U86" s="119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19"/>
      <c r="U87" s="119"/>
    </row>
    <row r="88" spans="2:47" s="1" customFormat="1" ht="29.25" customHeight="1">
      <c r="B88" s="33"/>
      <c r="C88" s="120" t="s">
        <v>105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70">
        <f>N89+N96</f>
        <v>0</v>
      </c>
      <c r="O88" s="286"/>
      <c r="P88" s="286"/>
      <c r="Q88" s="286"/>
      <c r="R88" s="35"/>
      <c r="T88" s="119"/>
      <c r="U88" s="119"/>
      <c r="AU88" s="20" t="s">
        <v>106</v>
      </c>
    </row>
    <row r="89" spans="2:21" s="6" customFormat="1" ht="24.95" customHeight="1">
      <c r="B89" s="121"/>
      <c r="C89" s="122"/>
      <c r="D89" s="123" t="s">
        <v>107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87">
        <f>N120</f>
        <v>0</v>
      </c>
      <c r="O89" s="288"/>
      <c r="P89" s="288"/>
      <c r="Q89" s="288"/>
      <c r="R89" s="124"/>
      <c r="T89" s="125"/>
      <c r="U89" s="125"/>
    </row>
    <row r="90" spans="2:21" s="7" customFormat="1" ht="19.9" customHeight="1">
      <c r="B90" s="126"/>
      <c r="C90" s="127"/>
      <c r="D90" s="128" t="s">
        <v>108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89">
        <f>N121</f>
        <v>0</v>
      </c>
      <c r="O90" s="290"/>
      <c r="P90" s="290"/>
      <c r="Q90" s="290"/>
      <c r="R90" s="129"/>
      <c r="T90" s="130"/>
      <c r="U90" s="130"/>
    </row>
    <row r="91" spans="2:21" s="7" customFormat="1" ht="19.9" customHeight="1">
      <c r="B91" s="126"/>
      <c r="C91" s="127"/>
      <c r="D91" s="128" t="s">
        <v>336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89">
        <f>N148</f>
        <v>0</v>
      </c>
      <c r="O91" s="290"/>
      <c r="P91" s="290"/>
      <c r="Q91" s="290"/>
      <c r="R91" s="129"/>
      <c r="T91" s="130"/>
      <c r="U91" s="130"/>
    </row>
    <row r="92" spans="2:21" s="7" customFormat="1" ht="19.9" customHeight="1">
      <c r="B92" s="126"/>
      <c r="C92" s="127"/>
      <c r="D92" s="128" t="s">
        <v>110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89">
        <f>N154</f>
        <v>0</v>
      </c>
      <c r="O92" s="290"/>
      <c r="P92" s="290"/>
      <c r="Q92" s="290"/>
      <c r="R92" s="129"/>
      <c r="T92" s="130"/>
      <c r="U92" s="130"/>
    </row>
    <row r="93" spans="2:21" s="7" customFormat="1" ht="19.9" customHeight="1">
      <c r="B93" s="126"/>
      <c r="C93" s="127"/>
      <c r="D93" s="128" t="s">
        <v>111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89">
        <f>N158</f>
        <v>0</v>
      </c>
      <c r="O93" s="290"/>
      <c r="P93" s="290"/>
      <c r="Q93" s="290"/>
      <c r="R93" s="129"/>
      <c r="T93" s="130"/>
      <c r="U93" s="130"/>
    </row>
    <row r="94" spans="2:21" s="7" customFormat="1" ht="19.9" customHeight="1">
      <c r="B94" s="126"/>
      <c r="C94" s="127"/>
      <c r="D94" s="128" t="s">
        <v>112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89">
        <f>N161</f>
        <v>0</v>
      </c>
      <c r="O94" s="290"/>
      <c r="P94" s="290"/>
      <c r="Q94" s="290"/>
      <c r="R94" s="129"/>
      <c r="T94" s="130"/>
      <c r="U94" s="130"/>
    </row>
    <row r="95" spans="2:21" s="7" customFormat="1" ht="19.9" customHeight="1">
      <c r="B95" s="126"/>
      <c r="C95" s="127"/>
      <c r="D95" s="128" t="s">
        <v>113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89">
        <f>N175</f>
        <v>0</v>
      </c>
      <c r="O95" s="290"/>
      <c r="P95" s="290"/>
      <c r="Q95" s="290"/>
      <c r="R95" s="129"/>
      <c r="T95" s="130"/>
      <c r="U95" s="130"/>
    </row>
    <row r="96" spans="2:21" s="6" customFormat="1" ht="24.95" customHeight="1">
      <c r="B96" s="121"/>
      <c r="C96" s="122"/>
      <c r="D96" s="123" t="s">
        <v>114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87">
        <f>N179</f>
        <v>0</v>
      </c>
      <c r="O96" s="288"/>
      <c r="P96" s="288"/>
      <c r="Q96" s="288"/>
      <c r="R96" s="124"/>
      <c r="T96" s="125"/>
      <c r="U96" s="125"/>
    </row>
    <row r="97" spans="2:21" s="7" customFormat="1" ht="19.9" customHeight="1">
      <c r="B97" s="126"/>
      <c r="C97" s="127"/>
      <c r="D97" s="128" t="s">
        <v>115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89">
        <f>N180</f>
        <v>0</v>
      </c>
      <c r="O97" s="290"/>
      <c r="P97" s="290"/>
      <c r="Q97" s="290"/>
      <c r="R97" s="129"/>
      <c r="T97" s="130"/>
      <c r="U97" s="130"/>
    </row>
    <row r="98" spans="2:21" s="7" customFormat="1" ht="19.9" customHeight="1">
      <c r="B98" s="126"/>
      <c r="C98" s="222"/>
      <c r="D98" s="128" t="s">
        <v>555</v>
      </c>
      <c r="E98" s="222"/>
      <c r="F98" s="222"/>
      <c r="G98" s="222"/>
      <c r="H98" s="222"/>
      <c r="I98" s="222"/>
      <c r="J98" s="222"/>
      <c r="K98" s="222"/>
      <c r="L98" s="222"/>
      <c r="M98" s="222"/>
      <c r="N98" s="289">
        <f>N194</f>
        <v>0</v>
      </c>
      <c r="O98" s="290"/>
      <c r="P98" s="290"/>
      <c r="Q98" s="290"/>
      <c r="R98" s="129"/>
      <c r="T98" s="130"/>
      <c r="U98" s="130"/>
    </row>
    <row r="99" spans="2:21" s="7" customFormat="1" ht="19.9" customHeight="1">
      <c r="B99" s="126"/>
      <c r="C99" s="127"/>
      <c r="D99" s="128" t="s">
        <v>120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89">
        <f>N198</f>
        <v>0</v>
      </c>
      <c r="O99" s="290"/>
      <c r="P99" s="290"/>
      <c r="Q99" s="290"/>
      <c r="R99" s="129"/>
      <c r="T99" s="130"/>
      <c r="U99" s="130"/>
    </row>
    <row r="100" spans="2:21" s="7" customFormat="1" ht="19.9" customHeight="1">
      <c r="B100" s="126"/>
      <c r="C100" s="127"/>
      <c r="D100" s="128" t="s">
        <v>121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89">
        <f>N200</f>
        <v>0</v>
      </c>
      <c r="O100" s="290"/>
      <c r="P100" s="290"/>
      <c r="Q100" s="290"/>
      <c r="R100" s="129"/>
      <c r="T100" s="130"/>
      <c r="U100" s="130"/>
    </row>
    <row r="101" spans="2:21" s="1" customFormat="1" ht="14.2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T101" s="119"/>
      <c r="U101" s="119"/>
    </row>
    <row r="102" spans="2:21" s="1" customFormat="1" ht="29.25" customHeight="1">
      <c r="B102" s="33"/>
      <c r="C102" s="120" t="s">
        <v>122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286">
        <v>0</v>
      </c>
      <c r="O102" s="295"/>
      <c r="P102" s="295"/>
      <c r="Q102" s="295"/>
      <c r="R102" s="35"/>
      <c r="T102" s="131"/>
      <c r="U102" s="132" t="s">
        <v>38</v>
      </c>
    </row>
    <row r="103" spans="2:21" s="1" customFormat="1" ht="11.25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T103" s="119"/>
      <c r="U103" s="119"/>
    </row>
    <row r="104" spans="2:21" s="1" customFormat="1" ht="29.25" customHeight="1">
      <c r="B104" s="33"/>
      <c r="C104" s="107" t="s">
        <v>90</v>
      </c>
      <c r="D104" s="108"/>
      <c r="E104" s="108"/>
      <c r="F104" s="108"/>
      <c r="G104" s="108"/>
      <c r="H104" s="108"/>
      <c r="I104" s="108"/>
      <c r="J104" s="108"/>
      <c r="K104" s="108"/>
      <c r="L104" s="276">
        <f>ROUND(SUM(N88+N102),2)</f>
        <v>0</v>
      </c>
      <c r="M104" s="276"/>
      <c r="N104" s="276"/>
      <c r="O104" s="276"/>
      <c r="P104" s="276"/>
      <c r="Q104" s="276"/>
      <c r="R104" s="35"/>
      <c r="T104" s="119"/>
      <c r="U104" s="119"/>
    </row>
    <row r="105" spans="2:21" s="1" customFormat="1" ht="6.95" customHeight="1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  <c r="T105" s="119"/>
      <c r="U105" s="119"/>
    </row>
    <row r="107" spans="2:18" s="1" customFormat="1" ht="6.9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</row>
    <row r="108" spans="2:18" s="1" customFormat="1" ht="36.95" customHeight="1">
      <c r="B108" s="33"/>
      <c r="C108" s="243" t="s">
        <v>123</v>
      </c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35"/>
    </row>
    <row r="109" spans="2:18" s="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30" customHeight="1">
      <c r="B110" s="33"/>
      <c r="C110" s="236" t="s">
        <v>17</v>
      </c>
      <c r="D110" s="235"/>
      <c r="E110" s="235"/>
      <c r="F110" s="291" t="str">
        <f>F78</f>
        <v>LIKVIDACE NEVYUŽÍVANÝCH VODOHOSPODÁŘSKÝCH OBJEKTŮ</v>
      </c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34"/>
      <c r="R110" s="35"/>
    </row>
    <row r="111" spans="2:18" s="1" customFormat="1" ht="36.95" customHeight="1">
      <c r="B111" s="33"/>
      <c r="C111" s="67" t="s">
        <v>98</v>
      </c>
      <c r="D111" s="34"/>
      <c r="E111" s="34"/>
      <c r="F111" s="265" t="str">
        <f>F7</f>
        <v>2017082-SÝČINA - SÝČINA-LIKVIDACE VODOJEMU</v>
      </c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34"/>
      <c r="R111" s="35"/>
    </row>
    <row r="112" spans="2:18" s="1" customFormat="1" ht="6.95" customHeight="1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18" s="1" customFormat="1" ht="18" customHeight="1">
      <c r="B113" s="33"/>
      <c r="C113" s="30" t="s">
        <v>21</v>
      </c>
      <c r="D113" s="34"/>
      <c r="E113" s="34"/>
      <c r="F113" s="28" t="str">
        <f>F9</f>
        <v xml:space="preserve"> </v>
      </c>
      <c r="G113" s="34"/>
      <c r="H113" s="34"/>
      <c r="I113" s="34"/>
      <c r="J113" s="34"/>
      <c r="K113" s="30" t="s">
        <v>23</v>
      </c>
      <c r="L113" s="34"/>
      <c r="M113" s="281"/>
      <c r="N113" s="281"/>
      <c r="O113" s="281"/>
      <c r="P113" s="281"/>
      <c r="Q113" s="34"/>
      <c r="R113" s="35"/>
    </row>
    <row r="114" spans="2:18" s="1" customFormat="1" ht="6.9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15">
      <c r="B115" s="33"/>
      <c r="C115" s="30" t="s">
        <v>25</v>
      </c>
      <c r="D115" s="34"/>
      <c r="E115" s="34"/>
      <c r="F115" s="28" t="str">
        <f>E12</f>
        <v>VODOVODY A KANALIZACE MLADÁ BOLESLAV A.S.</v>
      </c>
      <c r="G115" s="34"/>
      <c r="H115" s="34"/>
      <c r="I115" s="34"/>
      <c r="J115" s="34"/>
      <c r="K115" s="30" t="s">
        <v>31</v>
      </c>
      <c r="L115" s="34"/>
      <c r="M115" s="245" t="str">
        <f>E18</f>
        <v>ING.EVŽEN KOZÁK S.R.O.</v>
      </c>
      <c r="N115" s="245"/>
      <c r="O115" s="245"/>
      <c r="P115" s="245"/>
      <c r="Q115" s="245"/>
      <c r="R115" s="35"/>
    </row>
    <row r="116" spans="2:18" s="1" customFormat="1" ht="14.45" customHeight="1">
      <c r="B116" s="33"/>
      <c r="C116" s="30" t="s">
        <v>29</v>
      </c>
      <c r="D116" s="34"/>
      <c r="E116" s="34"/>
      <c r="F116" s="28" t="str">
        <f>IF(E15="","",E15)</f>
        <v>DLE VÝBĚROVÉHO ŘÍZENÍ</v>
      </c>
      <c r="G116" s="34"/>
      <c r="H116" s="34"/>
      <c r="I116" s="34"/>
      <c r="J116" s="34"/>
      <c r="K116" s="30" t="s">
        <v>34</v>
      </c>
      <c r="L116" s="34"/>
      <c r="M116" s="245" t="str">
        <f>E21</f>
        <v>ING.EVŽEN KOZÁK</v>
      </c>
      <c r="N116" s="245"/>
      <c r="O116" s="245"/>
      <c r="P116" s="245"/>
      <c r="Q116" s="245"/>
      <c r="R116" s="35"/>
    </row>
    <row r="117" spans="2:18" s="1" customFormat="1" ht="10.3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28" s="8" customFormat="1" ht="29.25" customHeight="1">
      <c r="B118" s="133"/>
      <c r="C118" s="134" t="s">
        <v>124</v>
      </c>
      <c r="D118" s="135" t="s">
        <v>125</v>
      </c>
      <c r="E118" s="135" t="s">
        <v>56</v>
      </c>
      <c r="F118" s="296" t="s">
        <v>126</v>
      </c>
      <c r="G118" s="296"/>
      <c r="H118" s="296"/>
      <c r="I118" s="296"/>
      <c r="J118" s="135" t="s">
        <v>127</v>
      </c>
      <c r="K118" s="135" t="s">
        <v>128</v>
      </c>
      <c r="L118" s="296" t="s">
        <v>129</v>
      </c>
      <c r="M118" s="296"/>
      <c r="N118" s="296" t="s">
        <v>104</v>
      </c>
      <c r="O118" s="296"/>
      <c r="P118" s="296"/>
      <c r="Q118" s="297"/>
      <c r="R118" s="136"/>
      <c r="T118" s="78" t="s">
        <v>130</v>
      </c>
      <c r="U118" s="79" t="s">
        <v>38</v>
      </c>
      <c r="V118" s="79" t="s">
        <v>131</v>
      </c>
      <c r="W118" s="79" t="s">
        <v>132</v>
      </c>
      <c r="X118" s="79" t="s">
        <v>133</v>
      </c>
      <c r="Y118" s="79" t="s">
        <v>134</v>
      </c>
      <c r="Z118" s="79" t="s">
        <v>135</v>
      </c>
      <c r="AA118" s="80" t="s">
        <v>136</v>
      </c>
      <c r="AB118" s="1"/>
    </row>
    <row r="119" spans="2:63" s="1" customFormat="1" ht="29.25" customHeight="1">
      <c r="B119" s="33"/>
      <c r="C119" s="82" t="s">
        <v>100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298">
        <f>N120+N179</f>
        <v>0</v>
      </c>
      <c r="O119" s="299"/>
      <c r="P119" s="299"/>
      <c r="Q119" s="299"/>
      <c r="R119" s="35"/>
      <c r="T119" s="81"/>
      <c r="U119" s="49"/>
      <c r="V119" s="49"/>
      <c r="W119" s="137">
        <f>W120+W179</f>
        <v>310.243885</v>
      </c>
      <c r="X119" s="49"/>
      <c r="Y119" s="137">
        <f>Y120+Y179</f>
        <v>2.3253085</v>
      </c>
      <c r="Z119" s="49"/>
      <c r="AA119" s="138">
        <f>AA120+AA179</f>
        <v>78.3422</v>
      </c>
      <c r="AT119" s="20" t="s">
        <v>72</v>
      </c>
      <c r="AU119" s="20" t="s">
        <v>106</v>
      </c>
      <c r="BK119" s="139">
        <f>BK120+BK179</f>
        <v>0</v>
      </c>
    </row>
    <row r="120" spans="2:63" s="9" customFormat="1" ht="37.35" customHeight="1">
      <c r="B120" s="140"/>
      <c r="C120" s="141"/>
      <c r="D120" s="142" t="s">
        <v>107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300">
        <f>N121+N148+N154+N158+N161+N175</f>
        <v>0</v>
      </c>
      <c r="O120" s="287"/>
      <c r="P120" s="287"/>
      <c r="Q120" s="287"/>
      <c r="R120" s="143"/>
      <c r="T120" s="144"/>
      <c r="U120" s="141"/>
      <c r="V120" s="141"/>
      <c r="W120" s="145">
        <f>W121+W148+W154+W158+W161+W175</f>
        <v>306.12461299999995</v>
      </c>
      <c r="X120" s="141"/>
      <c r="Y120" s="145">
        <f>Y121+Y148+Y154+Y158+Y161+Y175</f>
        <v>2.2788641</v>
      </c>
      <c r="Z120" s="141"/>
      <c r="AA120" s="146">
        <f>AA121+AA148+AA154+AA158+AA161+AA175</f>
        <v>78.31536</v>
      </c>
      <c r="AR120" s="147" t="s">
        <v>80</v>
      </c>
      <c r="AT120" s="148" t="s">
        <v>72</v>
      </c>
      <c r="AU120" s="148" t="s">
        <v>73</v>
      </c>
      <c r="AY120" s="147" t="s">
        <v>137</v>
      </c>
      <c r="BK120" s="149">
        <f>BK121+BK148+BK154+BK158+BK161+BK175</f>
        <v>0</v>
      </c>
    </row>
    <row r="121" spans="2:63" s="9" customFormat="1" ht="19.9" customHeight="1">
      <c r="B121" s="140"/>
      <c r="C121" s="141"/>
      <c r="D121" s="150" t="s">
        <v>108</v>
      </c>
      <c r="E121" s="150"/>
      <c r="F121" s="150"/>
      <c r="G121" s="150"/>
      <c r="H121" s="150"/>
      <c r="I121" s="150"/>
      <c r="J121" s="150"/>
      <c r="K121" s="150"/>
      <c r="L121" s="150"/>
      <c r="M121" s="150"/>
      <c r="N121" s="301">
        <f>SUM(N122:N147)</f>
        <v>0</v>
      </c>
      <c r="O121" s="302"/>
      <c r="P121" s="302"/>
      <c r="Q121" s="302"/>
      <c r="R121" s="143"/>
      <c r="T121" s="144"/>
      <c r="U121" s="141"/>
      <c r="V121" s="141"/>
      <c r="W121" s="145">
        <f>SUM(W133:W147)</f>
        <v>33.746895</v>
      </c>
      <c r="X121" s="141"/>
      <c r="Y121" s="145">
        <f>SUM(Y133:Y147)</f>
        <v>0.005</v>
      </c>
      <c r="Z121" s="141"/>
      <c r="AA121" s="146">
        <f>SUM(AA133:AA147)</f>
        <v>0</v>
      </c>
      <c r="AR121" s="147" t="s">
        <v>80</v>
      </c>
      <c r="AT121" s="148" t="s">
        <v>72</v>
      </c>
      <c r="AU121" s="148" t="s">
        <v>80</v>
      </c>
      <c r="AY121" s="147" t="s">
        <v>137</v>
      </c>
      <c r="BK121" s="149">
        <f>SUM(BK133:BK147)</f>
        <v>0</v>
      </c>
    </row>
    <row r="122" spans="2:63" s="9" customFormat="1" ht="35.25" customHeight="1">
      <c r="B122" s="140"/>
      <c r="C122" s="206">
        <v>1</v>
      </c>
      <c r="D122" s="150"/>
      <c r="E122" s="128">
        <v>121101101</v>
      </c>
      <c r="F122" s="323" t="s">
        <v>514</v>
      </c>
      <c r="G122" s="323"/>
      <c r="H122" s="323"/>
      <c r="I122" s="323"/>
      <c r="J122" s="150" t="s">
        <v>141</v>
      </c>
      <c r="K122" s="207">
        <f>K123</f>
        <v>28.595999999999997</v>
      </c>
      <c r="L122" s="233"/>
      <c r="M122" s="150"/>
      <c r="N122" s="307">
        <f>ROUND(L122*K122,2)</f>
        <v>0</v>
      </c>
      <c r="O122" s="307"/>
      <c r="P122" s="307"/>
      <c r="Q122" s="307"/>
      <c r="R122" s="143"/>
      <c r="T122" s="144"/>
      <c r="U122" s="141"/>
      <c r="V122" s="141"/>
      <c r="W122" s="145"/>
      <c r="X122" s="141"/>
      <c r="Y122" s="145"/>
      <c r="Z122" s="141"/>
      <c r="AA122" s="146"/>
      <c r="AR122" s="147"/>
      <c r="AT122" s="148"/>
      <c r="AU122" s="148"/>
      <c r="AY122" s="147"/>
      <c r="BK122" s="149"/>
    </row>
    <row r="123" spans="2:63" s="9" customFormat="1" ht="19.9" customHeight="1">
      <c r="B123" s="140"/>
      <c r="C123" s="206"/>
      <c r="D123" s="150"/>
      <c r="E123" s="128"/>
      <c r="F123" s="323" t="s">
        <v>523</v>
      </c>
      <c r="G123" s="323"/>
      <c r="H123" s="323"/>
      <c r="I123" s="323"/>
      <c r="J123" s="205"/>
      <c r="K123" s="207">
        <f>(10*10-2.6*1.8)*0.3</f>
        <v>28.595999999999997</v>
      </c>
      <c r="L123" s="233"/>
      <c r="M123" s="150"/>
      <c r="N123" s="199"/>
      <c r="O123" s="200"/>
      <c r="P123" s="200"/>
      <c r="Q123" s="200"/>
      <c r="R123" s="143"/>
      <c r="T123" s="144"/>
      <c r="U123" s="141"/>
      <c r="V123" s="141"/>
      <c r="W123" s="145"/>
      <c r="X123" s="141"/>
      <c r="Y123" s="145"/>
      <c r="Z123" s="141"/>
      <c r="AA123" s="146"/>
      <c r="AR123" s="147"/>
      <c r="AT123" s="148"/>
      <c r="AU123" s="148"/>
      <c r="AY123" s="147"/>
      <c r="BK123" s="149"/>
    </row>
    <row r="124" spans="2:63" s="9" customFormat="1" ht="34.5" customHeight="1">
      <c r="B124" s="140"/>
      <c r="C124" s="206">
        <f>C122+1</f>
        <v>2</v>
      </c>
      <c r="D124" s="150"/>
      <c r="E124" s="128">
        <v>122101101</v>
      </c>
      <c r="F124" s="323" t="s">
        <v>515</v>
      </c>
      <c r="G124" s="323"/>
      <c r="H124" s="323"/>
      <c r="I124" s="323"/>
      <c r="J124" s="150" t="s">
        <v>141</v>
      </c>
      <c r="K124" s="207">
        <f>J125</f>
        <v>59.19199999999999</v>
      </c>
      <c r="L124" s="233"/>
      <c r="M124" s="150"/>
      <c r="N124" s="307">
        <f>ROUND(L124*K124,2)</f>
        <v>0</v>
      </c>
      <c r="O124" s="307"/>
      <c r="P124" s="307"/>
      <c r="Q124" s="307"/>
      <c r="R124" s="143"/>
      <c r="T124" s="144"/>
      <c r="U124" s="141"/>
      <c r="V124" s="141"/>
      <c r="W124" s="145"/>
      <c r="X124" s="141"/>
      <c r="Y124" s="145"/>
      <c r="Z124" s="141"/>
      <c r="AA124" s="146"/>
      <c r="AR124" s="147"/>
      <c r="AT124" s="148"/>
      <c r="AU124" s="148"/>
      <c r="AY124" s="147"/>
      <c r="BK124" s="149"/>
    </row>
    <row r="125" spans="2:63" s="9" customFormat="1" ht="19.9" customHeight="1">
      <c r="B125" s="140"/>
      <c r="C125" s="206"/>
      <c r="D125" s="150"/>
      <c r="E125" s="128"/>
      <c r="F125" s="323" t="s">
        <v>521</v>
      </c>
      <c r="G125" s="323"/>
      <c r="H125" s="323"/>
      <c r="I125" s="323"/>
      <c r="J125" s="150">
        <f>5.6*5.6*0.7+(2+1.8)/2*(5.6+7*2)</f>
        <v>59.19199999999999</v>
      </c>
      <c r="K125" s="207"/>
      <c r="L125" s="233"/>
      <c r="M125" s="150"/>
      <c r="N125" s="199"/>
      <c r="O125" s="200"/>
      <c r="P125" s="200"/>
      <c r="Q125" s="200"/>
      <c r="R125" s="143"/>
      <c r="T125" s="144"/>
      <c r="U125" s="141"/>
      <c r="V125" s="141"/>
      <c r="W125" s="145"/>
      <c r="X125" s="141"/>
      <c r="Y125" s="145"/>
      <c r="Z125" s="141"/>
      <c r="AA125" s="146"/>
      <c r="AR125" s="147"/>
      <c r="AT125" s="148"/>
      <c r="AU125" s="148"/>
      <c r="AY125" s="147"/>
      <c r="BK125" s="149"/>
    </row>
    <row r="126" spans="2:63" s="9" customFormat="1" ht="34.5" customHeight="1">
      <c r="B126" s="140"/>
      <c r="C126" s="206">
        <f>C124+1</f>
        <v>3</v>
      </c>
      <c r="D126" s="150"/>
      <c r="E126" s="128">
        <v>132101101</v>
      </c>
      <c r="F126" s="323" t="s">
        <v>518</v>
      </c>
      <c r="G126" s="323"/>
      <c r="H126" s="323"/>
      <c r="I126" s="323"/>
      <c r="J126" s="150" t="s">
        <v>141</v>
      </c>
      <c r="K126" s="207">
        <f>J127</f>
        <v>21.383999999999997</v>
      </c>
      <c r="L126" s="233"/>
      <c r="M126" s="150"/>
      <c r="N126" s="307">
        <f>ROUND(L126*K126,2)</f>
        <v>0</v>
      </c>
      <c r="O126" s="307"/>
      <c r="P126" s="307"/>
      <c r="Q126" s="307"/>
      <c r="R126" s="143"/>
      <c r="T126" s="144"/>
      <c r="U126" s="141"/>
      <c r="V126" s="141"/>
      <c r="W126" s="145"/>
      <c r="X126" s="141"/>
      <c r="Y126" s="145"/>
      <c r="Z126" s="141"/>
      <c r="AA126" s="146"/>
      <c r="AR126" s="147"/>
      <c r="AT126" s="148"/>
      <c r="AU126" s="148"/>
      <c r="AY126" s="147"/>
      <c r="BK126" s="149"/>
    </row>
    <row r="127" spans="2:63" s="9" customFormat="1" ht="19.9" customHeight="1">
      <c r="B127" s="140"/>
      <c r="C127" s="206"/>
      <c r="D127" s="150"/>
      <c r="E127" s="128"/>
      <c r="F127" s="323" t="s">
        <v>522</v>
      </c>
      <c r="G127" s="323"/>
      <c r="H127" s="323"/>
      <c r="I127" s="323"/>
      <c r="J127" s="150">
        <f>(5.6*3+1.5*2)*0.6*1.8</f>
        <v>21.383999999999997</v>
      </c>
      <c r="K127" s="207"/>
      <c r="L127" s="233"/>
      <c r="M127" s="150"/>
      <c r="N127" s="199"/>
      <c r="O127" s="200"/>
      <c r="P127" s="200"/>
      <c r="Q127" s="200"/>
      <c r="R127" s="143"/>
      <c r="T127" s="144"/>
      <c r="U127" s="141"/>
      <c r="V127" s="141"/>
      <c r="W127" s="145"/>
      <c r="X127" s="141"/>
      <c r="Y127" s="145"/>
      <c r="Z127" s="141"/>
      <c r="AA127" s="146"/>
      <c r="AR127" s="147"/>
      <c r="AT127" s="148"/>
      <c r="AU127" s="148"/>
      <c r="AY127" s="147"/>
      <c r="BK127" s="149"/>
    </row>
    <row r="128" spans="2:63" s="9" customFormat="1" ht="33" customHeight="1">
      <c r="B128" s="140"/>
      <c r="C128" s="206">
        <f>C126+1</f>
        <v>4</v>
      </c>
      <c r="D128" s="150"/>
      <c r="E128" s="128">
        <v>162201102</v>
      </c>
      <c r="F128" s="328" t="s">
        <v>516</v>
      </c>
      <c r="G128" s="328"/>
      <c r="H128" s="328"/>
      <c r="I128" s="328"/>
      <c r="J128" s="150" t="s">
        <v>141</v>
      </c>
      <c r="K128" s="208">
        <f>K129+K130</f>
        <v>145.10875</v>
      </c>
      <c r="L128" s="233"/>
      <c r="M128" s="150"/>
      <c r="N128" s="307">
        <f>ROUND(L128*K128,2)</f>
        <v>0</v>
      </c>
      <c r="O128" s="307"/>
      <c r="P128" s="307"/>
      <c r="Q128" s="307"/>
      <c r="R128" s="143"/>
      <c r="T128" s="144"/>
      <c r="U128" s="141"/>
      <c r="V128" s="141"/>
      <c r="W128" s="145"/>
      <c r="X128" s="141"/>
      <c r="Y128" s="145"/>
      <c r="Z128" s="141"/>
      <c r="AA128" s="146"/>
      <c r="AR128" s="147"/>
      <c r="AT128" s="148"/>
      <c r="AU128" s="148"/>
      <c r="AY128" s="147"/>
      <c r="BK128" s="149"/>
    </row>
    <row r="129" spans="2:63" s="9" customFormat="1" ht="19.9" customHeight="1">
      <c r="B129" s="140"/>
      <c r="C129" s="206"/>
      <c r="D129" s="150"/>
      <c r="E129" s="128"/>
      <c r="F129" s="328" t="s">
        <v>529</v>
      </c>
      <c r="G129" s="328"/>
      <c r="H129" s="328"/>
      <c r="I129" s="328"/>
      <c r="J129" s="150"/>
      <c r="K129" s="207">
        <f>59.2+21.4</f>
        <v>80.6</v>
      </c>
      <c r="L129" s="233"/>
      <c r="M129" s="150"/>
      <c r="N129" s="199"/>
      <c r="O129" s="200"/>
      <c r="P129" s="200"/>
      <c r="Q129" s="200"/>
      <c r="R129" s="143"/>
      <c r="T129" s="144"/>
      <c r="U129" s="141"/>
      <c r="V129" s="141"/>
      <c r="W129" s="145"/>
      <c r="X129" s="141"/>
      <c r="Y129" s="145"/>
      <c r="Z129" s="141"/>
      <c r="AA129" s="146"/>
      <c r="AR129" s="147"/>
      <c r="AT129" s="148"/>
      <c r="AU129" s="148"/>
      <c r="AY129" s="147"/>
      <c r="BK129" s="149"/>
    </row>
    <row r="130" spans="2:63" s="9" customFormat="1" ht="19.9" customHeight="1">
      <c r="B130" s="140"/>
      <c r="C130" s="206"/>
      <c r="D130" s="150"/>
      <c r="E130" s="128"/>
      <c r="F130" s="328" t="s">
        <v>528</v>
      </c>
      <c r="G130" s="328"/>
      <c r="H130" s="328"/>
      <c r="I130" s="328"/>
      <c r="J130" s="150"/>
      <c r="K130" s="208">
        <f>K141</f>
        <v>64.50874999999999</v>
      </c>
      <c r="L130" s="233"/>
      <c r="M130" s="150"/>
      <c r="N130" s="199"/>
      <c r="O130" s="200"/>
      <c r="P130" s="200"/>
      <c r="Q130" s="200"/>
      <c r="R130" s="143"/>
      <c r="T130" s="144"/>
      <c r="U130" s="141"/>
      <c r="V130" s="141"/>
      <c r="W130" s="145"/>
      <c r="X130" s="141"/>
      <c r="Y130" s="145"/>
      <c r="Z130" s="141"/>
      <c r="AA130" s="146"/>
      <c r="AR130" s="147"/>
      <c r="AT130" s="148"/>
      <c r="AU130" s="148"/>
      <c r="AY130" s="147"/>
      <c r="BK130" s="149"/>
    </row>
    <row r="131" spans="2:63" s="9" customFormat="1" ht="38.25" customHeight="1">
      <c r="B131" s="140"/>
      <c r="C131" s="206">
        <f>C128+1</f>
        <v>5</v>
      </c>
      <c r="D131" s="150"/>
      <c r="E131" s="128">
        <v>167101101</v>
      </c>
      <c r="F131" s="328" t="s">
        <v>530</v>
      </c>
      <c r="G131" s="328"/>
      <c r="H131" s="328"/>
      <c r="I131" s="328"/>
      <c r="J131" s="150" t="s">
        <v>141</v>
      </c>
      <c r="K131" s="208">
        <f>K132</f>
        <v>16.090999999999994</v>
      </c>
      <c r="L131" s="233"/>
      <c r="M131" s="150"/>
      <c r="N131" s="307">
        <f>ROUND(L131*K131,2)</f>
        <v>0</v>
      </c>
      <c r="O131" s="307"/>
      <c r="P131" s="307"/>
      <c r="Q131" s="307"/>
      <c r="R131" s="143"/>
      <c r="T131" s="144"/>
      <c r="U131" s="141"/>
      <c r="V131" s="141"/>
      <c r="W131" s="145"/>
      <c r="X131" s="141"/>
      <c r="Y131" s="145"/>
      <c r="Z131" s="141"/>
      <c r="AA131" s="146"/>
      <c r="AR131" s="147"/>
      <c r="AT131" s="148"/>
      <c r="AU131" s="148"/>
      <c r="AY131" s="147"/>
      <c r="BK131" s="149"/>
    </row>
    <row r="132" spans="2:51" s="10" customFormat="1" ht="25.5" customHeight="1">
      <c r="B132" s="159"/>
      <c r="C132" s="203"/>
      <c r="D132" s="203"/>
      <c r="E132" s="161" t="s">
        <v>19</v>
      </c>
      <c r="F132" s="308" t="s">
        <v>527</v>
      </c>
      <c r="G132" s="309"/>
      <c r="H132" s="309"/>
      <c r="I132" s="309"/>
      <c r="J132" s="203"/>
      <c r="K132" s="162">
        <f>80.6-64.509</f>
        <v>16.090999999999994</v>
      </c>
      <c r="L132" s="233"/>
      <c r="M132" s="221"/>
      <c r="N132" s="203"/>
      <c r="O132" s="203"/>
      <c r="P132" s="203"/>
      <c r="Q132" s="203"/>
      <c r="R132" s="163"/>
      <c r="T132" s="164"/>
      <c r="U132" s="203"/>
      <c r="V132" s="203"/>
      <c r="W132" s="203"/>
      <c r="X132" s="203"/>
      <c r="Y132" s="203"/>
      <c r="Z132" s="203"/>
      <c r="AA132" s="165"/>
      <c r="AT132" s="166" t="s">
        <v>145</v>
      </c>
      <c r="AU132" s="166" t="s">
        <v>96</v>
      </c>
      <c r="AV132" s="10" t="s">
        <v>96</v>
      </c>
      <c r="AW132" s="10" t="s">
        <v>33</v>
      </c>
      <c r="AX132" s="10" t="s">
        <v>80</v>
      </c>
      <c r="AY132" s="166" t="s">
        <v>137</v>
      </c>
    </row>
    <row r="133" spans="2:65" s="1" customFormat="1" ht="38.25" customHeight="1">
      <c r="B133" s="33"/>
      <c r="C133" s="206">
        <f>C131+1</f>
        <v>6</v>
      </c>
      <c r="D133" s="151" t="s">
        <v>138</v>
      </c>
      <c r="E133" s="152" t="s">
        <v>272</v>
      </c>
      <c r="F133" s="312" t="s">
        <v>550</v>
      </c>
      <c r="G133" s="312"/>
      <c r="H133" s="312"/>
      <c r="I133" s="312"/>
      <c r="J133" s="153" t="s">
        <v>141</v>
      </c>
      <c r="K133" s="154">
        <f>K134</f>
        <v>16.091250000000002</v>
      </c>
      <c r="L133" s="233"/>
      <c r="M133" s="220"/>
      <c r="N133" s="307">
        <f>ROUND(L133*K133,2)</f>
        <v>0</v>
      </c>
      <c r="O133" s="307"/>
      <c r="P133" s="307"/>
      <c r="Q133" s="307"/>
      <c r="R133" s="35"/>
      <c r="T133" s="155" t="s">
        <v>19</v>
      </c>
      <c r="U133" s="42" t="s">
        <v>39</v>
      </c>
      <c r="V133" s="156">
        <v>0.083</v>
      </c>
      <c r="W133" s="156">
        <f>V133*K133</f>
        <v>1.3355737500000002</v>
      </c>
      <c r="X133" s="156">
        <v>0</v>
      </c>
      <c r="Y133" s="156">
        <f>X133*K133</f>
        <v>0</v>
      </c>
      <c r="Z133" s="156">
        <v>0</v>
      </c>
      <c r="AA133" s="157">
        <f>Z133*K133</f>
        <v>0</v>
      </c>
      <c r="AR133" s="20" t="s">
        <v>142</v>
      </c>
      <c r="AT133" s="20" t="s">
        <v>138</v>
      </c>
      <c r="AU133" s="20" t="s">
        <v>96</v>
      </c>
      <c r="AY133" s="20" t="s">
        <v>137</v>
      </c>
      <c r="BE133" s="158">
        <f>IF(U133="základní",N133,0)</f>
        <v>0</v>
      </c>
      <c r="BF133" s="158">
        <f>IF(U133="snížená",N133,0)</f>
        <v>0</v>
      </c>
      <c r="BG133" s="158">
        <f>IF(U133="zákl. přenesená",N133,0)</f>
        <v>0</v>
      </c>
      <c r="BH133" s="158">
        <f>IF(U133="sníž. přenesená",N133,0)</f>
        <v>0</v>
      </c>
      <c r="BI133" s="158">
        <f>IF(U133="nulová",N133,0)</f>
        <v>0</v>
      </c>
      <c r="BJ133" s="20" t="s">
        <v>80</v>
      </c>
      <c r="BK133" s="158">
        <f>ROUND(L133*K133,2)</f>
        <v>0</v>
      </c>
      <c r="BL133" s="20" t="s">
        <v>142</v>
      </c>
      <c r="BM133" s="20" t="s">
        <v>337</v>
      </c>
    </row>
    <row r="134" spans="2:51" s="10" customFormat="1" ht="25.5" customHeight="1">
      <c r="B134" s="159"/>
      <c r="C134" s="160"/>
      <c r="D134" s="160"/>
      <c r="E134" s="161" t="s">
        <v>19</v>
      </c>
      <c r="F134" s="308" t="s">
        <v>551</v>
      </c>
      <c r="G134" s="309"/>
      <c r="H134" s="309"/>
      <c r="I134" s="309"/>
      <c r="J134" s="160"/>
      <c r="K134" s="162">
        <f>K129-K130</f>
        <v>16.091250000000002</v>
      </c>
      <c r="L134" s="233"/>
      <c r="M134" s="221"/>
      <c r="N134" s="160"/>
      <c r="O134" s="160"/>
      <c r="P134" s="160"/>
      <c r="Q134" s="160"/>
      <c r="R134" s="163"/>
      <c r="T134" s="164"/>
      <c r="U134" s="160"/>
      <c r="V134" s="160"/>
      <c r="W134" s="160"/>
      <c r="X134" s="160"/>
      <c r="Y134" s="160"/>
      <c r="Z134" s="160"/>
      <c r="AA134" s="165"/>
      <c r="AT134" s="166" t="s">
        <v>145</v>
      </c>
      <c r="AU134" s="166" t="s">
        <v>96</v>
      </c>
      <c r="AV134" s="10" t="s">
        <v>96</v>
      </c>
      <c r="AW134" s="10" t="s">
        <v>33</v>
      </c>
      <c r="AX134" s="10" t="s">
        <v>80</v>
      </c>
      <c r="AY134" s="166" t="s">
        <v>137</v>
      </c>
    </row>
    <row r="135" spans="2:65" s="1" customFormat="1" ht="51" customHeight="1">
      <c r="B135" s="33"/>
      <c r="C135" s="151">
        <f>C133+1</f>
        <v>7</v>
      </c>
      <c r="D135" s="151" t="s">
        <v>138</v>
      </c>
      <c r="E135" s="152" t="s">
        <v>531</v>
      </c>
      <c r="F135" s="312" t="s">
        <v>532</v>
      </c>
      <c r="G135" s="312"/>
      <c r="H135" s="312"/>
      <c r="I135" s="312"/>
      <c r="J135" s="153" t="s">
        <v>141</v>
      </c>
      <c r="K135" s="154">
        <f>K136</f>
        <v>16.091250000000002</v>
      </c>
      <c r="L135" s="233"/>
      <c r="M135" s="220"/>
      <c r="N135" s="307">
        <f>ROUND(L135*K135,2)</f>
        <v>0</v>
      </c>
      <c r="O135" s="307"/>
      <c r="P135" s="307"/>
      <c r="Q135" s="307"/>
      <c r="R135" s="35"/>
      <c r="T135" s="155" t="s">
        <v>19</v>
      </c>
      <c r="U135" s="42" t="s">
        <v>39</v>
      </c>
      <c r="V135" s="156">
        <v>0.004</v>
      </c>
      <c r="W135" s="156">
        <f>V135*K135</f>
        <v>0.064365</v>
      </c>
      <c r="X135" s="156">
        <v>0</v>
      </c>
      <c r="Y135" s="156">
        <f>X135*K135</f>
        <v>0</v>
      </c>
      <c r="Z135" s="156">
        <v>0</v>
      </c>
      <c r="AA135" s="157">
        <f>Z135*K135</f>
        <v>0</v>
      </c>
      <c r="AR135" s="20" t="s">
        <v>142</v>
      </c>
      <c r="AT135" s="20" t="s">
        <v>138</v>
      </c>
      <c r="AU135" s="20" t="s">
        <v>96</v>
      </c>
      <c r="AY135" s="20" t="s">
        <v>137</v>
      </c>
      <c r="BE135" s="158">
        <f>IF(U135="základní",N135,0)</f>
        <v>0</v>
      </c>
      <c r="BF135" s="158">
        <f>IF(U135="snížená",N135,0)</f>
        <v>0</v>
      </c>
      <c r="BG135" s="158">
        <f>IF(U135="zákl. přenesená",N135,0)</f>
        <v>0</v>
      </c>
      <c r="BH135" s="158">
        <f>IF(U135="sníž. přenesená",N135,0)</f>
        <v>0</v>
      </c>
      <c r="BI135" s="158">
        <f>IF(U135="nulová",N135,0)</f>
        <v>0</v>
      </c>
      <c r="BJ135" s="20" t="s">
        <v>80</v>
      </c>
      <c r="BK135" s="158">
        <f>ROUND(L135*K135,2)</f>
        <v>0</v>
      </c>
      <c r="BL135" s="20" t="s">
        <v>142</v>
      </c>
      <c r="BM135" s="20" t="s">
        <v>338</v>
      </c>
    </row>
    <row r="136" spans="2:51" s="10" customFormat="1" ht="25.5" customHeight="1">
      <c r="B136" s="159"/>
      <c r="C136" s="160"/>
      <c r="D136" s="160"/>
      <c r="E136" s="161" t="s">
        <v>19</v>
      </c>
      <c r="F136" s="308" t="s">
        <v>533</v>
      </c>
      <c r="G136" s="309"/>
      <c r="H136" s="309"/>
      <c r="I136" s="309"/>
      <c r="J136" s="160"/>
      <c r="K136" s="162">
        <f>K133</f>
        <v>16.091250000000002</v>
      </c>
      <c r="L136" s="233"/>
      <c r="M136" s="221"/>
      <c r="N136" s="160"/>
      <c r="O136" s="160"/>
      <c r="P136" s="160"/>
      <c r="Q136" s="160"/>
      <c r="R136" s="163"/>
      <c r="T136" s="164"/>
      <c r="U136" s="160"/>
      <c r="V136" s="160"/>
      <c r="W136" s="160"/>
      <c r="X136" s="160"/>
      <c r="Y136" s="160"/>
      <c r="Z136" s="160"/>
      <c r="AA136" s="165"/>
      <c r="AT136" s="166" t="s">
        <v>145</v>
      </c>
      <c r="AU136" s="166" t="s">
        <v>96</v>
      </c>
      <c r="AV136" s="10" t="s">
        <v>96</v>
      </c>
      <c r="AW136" s="10" t="s">
        <v>33</v>
      </c>
      <c r="AX136" s="10" t="s">
        <v>73</v>
      </c>
      <c r="AY136" s="166" t="s">
        <v>137</v>
      </c>
    </row>
    <row r="137" spans="2:65" s="1" customFormat="1" ht="25.5" customHeight="1">
      <c r="B137" s="33"/>
      <c r="C137" s="151">
        <f>C135+1</f>
        <v>8</v>
      </c>
      <c r="D137" s="151" t="s">
        <v>138</v>
      </c>
      <c r="E137" s="152" t="s">
        <v>139</v>
      </c>
      <c r="F137" s="312" t="s">
        <v>140</v>
      </c>
      <c r="G137" s="312"/>
      <c r="H137" s="312"/>
      <c r="I137" s="312"/>
      <c r="J137" s="153" t="s">
        <v>141</v>
      </c>
      <c r="K137" s="154">
        <f>K141</f>
        <v>64.50874999999999</v>
      </c>
      <c r="L137" s="233"/>
      <c r="M137" s="220"/>
      <c r="N137" s="307">
        <f>ROUND(L137*K137,2)</f>
        <v>0</v>
      </c>
      <c r="O137" s="307"/>
      <c r="P137" s="307"/>
      <c r="Q137" s="307"/>
      <c r="R137" s="35"/>
      <c r="T137" s="155" t="s">
        <v>19</v>
      </c>
      <c r="U137" s="42" t="s">
        <v>39</v>
      </c>
      <c r="V137" s="156">
        <v>0.299</v>
      </c>
      <c r="W137" s="156">
        <f>V137*K137</f>
        <v>19.288116249999998</v>
      </c>
      <c r="X137" s="156">
        <v>0</v>
      </c>
      <c r="Y137" s="156">
        <f>X137*K137</f>
        <v>0</v>
      </c>
      <c r="Z137" s="156">
        <v>0</v>
      </c>
      <c r="AA137" s="157">
        <f>Z137*K137</f>
        <v>0</v>
      </c>
      <c r="AR137" s="20" t="s">
        <v>142</v>
      </c>
      <c r="AT137" s="20" t="s">
        <v>138</v>
      </c>
      <c r="AU137" s="20" t="s">
        <v>96</v>
      </c>
      <c r="AY137" s="20" t="s">
        <v>137</v>
      </c>
      <c r="BE137" s="158">
        <f>IF(U137="základní",N137,0)</f>
        <v>0</v>
      </c>
      <c r="BF137" s="158">
        <f>IF(U137="snížená",N137,0)</f>
        <v>0</v>
      </c>
      <c r="BG137" s="158">
        <f>IF(U137="zákl. přenesená",N137,0)</f>
        <v>0</v>
      </c>
      <c r="BH137" s="158">
        <f>IF(U137="sníž. přenesená",N137,0)</f>
        <v>0</v>
      </c>
      <c r="BI137" s="158">
        <f>IF(U137="nulová",N137,0)</f>
        <v>0</v>
      </c>
      <c r="BJ137" s="20" t="s">
        <v>80</v>
      </c>
      <c r="BK137" s="158">
        <f>ROUND(L137*K137,2)</f>
        <v>0</v>
      </c>
      <c r="BL137" s="20" t="s">
        <v>142</v>
      </c>
      <c r="BM137" s="20" t="s">
        <v>339</v>
      </c>
    </row>
    <row r="138" spans="2:51" s="10" customFormat="1" ht="25.5" customHeight="1">
      <c r="B138" s="159"/>
      <c r="C138" s="160"/>
      <c r="D138" s="160"/>
      <c r="E138" s="161" t="s">
        <v>19</v>
      </c>
      <c r="F138" s="308" t="s">
        <v>517</v>
      </c>
      <c r="G138" s="309"/>
      <c r="H138" s="309"/>
      <c r="I138" s="309"/>
      <c r="J138" s="160"/>
      <c r="K138" s="162">
        <f>5*5*1.52+1.5*0.85*0.25</f>
        <v>38.31875</v>
      </c>
      <c r="L138" s="233"/>
      <c r="M138" s="221"/>
      <c r="N138" s="160"/>
      <c r="O138" s="160"/>
      <c r="P138" s="160"/>
      <c r="Q138" s="160"/>
      <c r="R138" s="163"/>
      <c r="T138" s="164"/>
      <c r="U138" s="160"/>
      <c r="V138" s="160"/>
      <c r="W138" s="160"/>
      <c r="X138" s="160"/>
      <c r="Y138" s="160"/>
      <c r="Z138" s="160"/>
      <c r="AA138" s="165"/>
      <c r="AT138" s="166" t="s">
        <v>145</v>
      </c>
      <c r="AU138" s="166" t="s">
        <v>96</v>
      </c>
      <c r="AV138" s="10" t="s">
        <v>96</v>
      </c>
      <c r="AW138" s="10" t="s">
        <v>33</v>
      </c>
      <c r="AX138" s="10" t="s">
        <v>80</v>
      </c>
      <c r="AY138" s="166" t="s">
        <v>137</v>
      </c>
    </row>
    <row r="139" spans="2:51" s="10" customFormat="1" ht="25.5" customHeight="1">
      <c r="B139" s="159"/>
      <c r="C139" s="203"/>
      <c r="D139" s="203"/>
      <c r="E139" s="161"/>
      <c r="F139" s="308" t="s">
        <v>525</v>
      </c>
      <c r="G139" s="309"/>
      <c r="H139" s="309"/>
      <c r="I139" s="309"/>
      <c r="J139" s="203"/>
      <c r="K139" s="162">
        <f>(5+5.3*2+1.5*2)*0.3*1.5</f>
        <v>8.370000000000001</v>
      </c>
      <c r="L139" s="233"/>
      <c r="M139" s="221"/>
      <c r="N139" s="203"/>
      <c r="O139" s="203"/>
      <c r="P139" s="203"/>
      <c r="Q139" s="203"/>
      <c r="R139" s="163"/>
      <c r="T139" s="164"/>
      <c r="U139" s="203"/>
      <c r="V139" s="203"/>
      <c r="W139" s="203"/>
      <c r="X139" s="203"/>
      <c r="Y139" s="203"/>
      <c r="Z139" s="203"/>
      <c r="AA139" s="165"/>
      <c r="AT139" s="166"/>
      <c r="AU139" s="166"/>
      <c r="AY139" s="166"/>
    </row>
    <row r="140" spans="2:51" s="10" customFormat="1" ht="25.5" customHeight="1">
      <c r="B140" s="159"/>
      <c r="C140" s="203"/>
      <c r="D140" s="203"/>
      <c r="E140" s="161"/>
      <c r="F140" s="308" t="s">
        <v>526</v>
      </c>
      <c r="G140" s="309"/>
      <c r="H140" s="309"/>
      <c r="I140" s="309"/>
      <c r="J140" s="203"/>
      <c r="K140" s="162">
        <f>(5.6*3+1.5*2)*0.6*1.5</f>
        <v>17.819999999999997</v>
      </c>
      <c r="L140" s="233"/>
      <c r="M140" s="221"/>
      <c r="N140" s="203"/>
      <c r="O140" s="203"/>
      <c r="P140" s="203"/>
      <c r="Q140" s="203"/>
      <c r="R140" s="163"/>
      <c r="T140" s="164"/>
      <c r="U140" s="203"/>
      <c r="V140" s="203"/>
      <c r="W140" s="203"/>
      <c r="X140" s="203"/>
      <c r="Y140" s="203"/>
      <c r="Z140" s="203"/>
      <c r="AA140" s="165"/>
      <c r="AT140" s="166"/>
      <c r="AU140" s="166"/>
      <c r="AY140" s="166"/>
    </row>
    <row r="141" spans="2:51" s="11" customFormat="1" ht="16.5" customHeight="1">
      <c r="B141" s="167"/>
      <c r="C141" s="201"/>
      <c r="D141" s="201"/>
      <c r="E141" s="169" t="s">
        <v>19</v>
      </c>
      <c r="F141" s="303" t="s">
        <v>148</v>
      </c>
      <c r="G141" s="304"/>
      <c r="H141" s="304"/>
      <c r="I141" s="304"/>
      <c r="J141" s="201"/>
      <c r="K141" s="170">
        <f>SUM(K138:K140)</f>
        <v>64.50874999999999</v>
      </c>
      <c r="L141" s="233"/>
      <c r="M141" s="218"/>
      <c r="N141" s="201"/>
      <c r="O141" s="201"/>
      <c r="P141" s="201"/>
      <c r="Q141" s="201"/>
      <c r="R141" s="171"/>
      <c r="T141" s="172"/>
      <c r="U141" s="201"/>
      <c r="V141" s="201"/>
      <c r="W141" s="201"/>
      <c r="X141" s="201"/>
      <c r="Y141" s="201"/>
      <c r="Z141" s="201"/>
      <c r="AA141" s="173"/>
      <c r="AT141" s="174" t="s">
        <v>145</v>
      </c>
      <c r="AU141" s="174" t="s">
        <v>96</v>
      </c>
      <c r="AV141" s="11" t="s">
        <v>142</v>
      </c>
      <c r="AW141" s="11" t="s">
        <v>33</v>
      </c>
      <c r="AX141" s="11" t="s">
        <v>80</v>
      </c>
      <c r="AY141" s="174" t="s">
        <v>137</v>
      </c>
    </row>
    <row r="142" spans="2:51" s="10" customFormat="1" ht="16.5" customHeight="1">
      <c r="B142" s="159"/>
      <c r="C142" s="151">
        <f>C137+1</f>
        <v>9</v>
      </c>
      <c r="D142" s="193"/>
      <c r="E142" s="194">
        <v>167101101</v>
      </c>
      <c r="F142" s="324" t="s">
        <v>507</v>
      </c>
      <c r="G142" s="324"/>
      <c r="H142" s="324"/>
      <c r="I142" s="324"/>
      <c r="J142" s="153" t="s">
        <v>141</v>
      </c>
      <c r="K142" s="154">
        <f>K133</f>
        <v>16.091250000000002</v>
      </c>
      <c r="L142" s="233"/>
      <c r="M142" s="220"/>
      <c r="N142" s="307">
        <f>ROUND(L142*K142,2)</f>
        <v>0</v>
      </c>
      <c r="O142" s="307"/>
      <c r="P142" s="307"/>
      <c r="Q142" s="307"/>
      <c r="R142" s="163"/>
      <c r="T142" s="164"/>
      <c r="U142" s="190"/>
      <c r="V142" s="190"/>
      <c r="W142" s="190"/>
      <c r="X142" s="190"/>
      <c r="Y142" s="190"/>
      <c r="Z142" s="190"/>
      <c r="AA142" s="165"/>
      <c r="AT142" s="166"/>
      <c r="AU142" s="166"/>
      <c r="AY142" s="166"/>
    </row>
    <row r="143" spans="2:65" s="1" customFormat="1" ht="38.25" customHeight="1">
      <c r="B143" s="33"/>
      <c r="C143" s="151">
        <f>C142+1</f>
        <v>10</v>
      </c>
      <c r="D143" s="151" t="s">
        <v>138</v>
      </c>
      <c r="E143" s="152" t="s">
        <v>534</v>
      </c>
      <c r="F143" s="312" t="s">
        <v>535</v>
      </c>
      <c r="G143" s="312"/>
      <c r="H143" s="312"/>
      <c r="I143" s="312"/>
      <c r="J143" s="153" t="s">
        <v>162</v>
      </c>
      <c r="K143" s="154">
        <f>K144</f>
        <v>95.32</v>
      </c>
      <c r="L143" s="233"/>
      <c r="M143" s="220"/>
      <c r="N143" s="307">
        <f>ROUND(L143*K143,2)</f>
        <v>0</v>
      </c>
      <c r="O143" s="307"/>
      <c r="P143" s="307"/>
      <c r="Q143" s="307"/>
      <c r="R143" s="35"/>
      <c r="T143" s="155" t="s">
        <v>19</v>
      </c>
      <c r="U143" s="42" t="s">
        <v>39</v>
      </c>
      <c r="V143" s="156">
        <v>0.13</v>
      </c>
      <c r="W143" s="156">
        <f>V143*K143</f>
        <v>12.3916</v>
      </c>
      <c r="X143" s="156">
        <v>0</v>
      </c>
      <c r="Y143" s="156">
        <f>X143*K143</f>
        <v>0</v>
      </c>
      <c r="Z143" s="156">
        <v>0</v>
      </c>
      <c r="AA143" s="157">
        <f>Z143*K143</f>
        <v>0</v>
      </c>
      <c r="AR143" s="20" t="s">
        <v>142</v>
      </c>
      <c r="AT143" s="20" t="s">
        <v>138</v>
      </c>
      <c r="AU143" s="20" t="s">
        <v>96</v>
      </c>
      <c r="AY143" s="20" t="s">
        <v>137</v>
      </c>
      <c r="BE143" s="158">
        <f>IF(U143="základní",N143,0)</f>
        <v>0</v>
      </c>
      <c r="BF143" s="158">
        <f>IF(U143="snížená",N143,0)</f>
        <v>0</v>
      </c>
      <c r="BG143" s="158">
        <f>IF(U143="zákl. přenesená",N143,0)</f>
        <v>0</v>
      </c>
      <c r="BH143" s="158">
        <f>IF(U143="sníž. přenesená",N143,0)</f>
        <v>0</v>
      </c>
      <c r="BI143" s="158">
        <f>IF(U143="nulová",N143,0)</f>
        <v>0</v>
      </c>
      <c r="BJ143" s="20" t="s">
        <v>80</v>
      </c>
      <c r="BK143" s="158">
        <f>ROUND(L143*K143,2)</f>
        <v>0</v>
      </c>
      <c r="BL143" s="20" t="s">
        <v>142</v>
      </c>
      <c r="BM143" s="20" t="s">
        <v>340</v>
      </c>
    </row>
    <row r="144" spans="2:51" s="10" customFormat="1" ht="16.5" customHeight="1">
      <c r="B144" s="159"/>
      <c r="C144" s="160"/>
      <c r="D144" s="160"/>
      <c r="E144" s="161" t="s">
        <v>19</v>
      </c>
      <c r="F144" s="308" t="s">
        <v>536</v>
      </c>
      <c r="G144" s="309"/>
      <c r="H144" s="309"/>
      <c r="I144" s="309"/>
      <c r="J144" s="160"/>
      <c r="K144" s="162">
        <f>(10*10-2.6*1.8)</f>
        <v>95.32</v>
      </c>
      <c r="L144" s="233"/>
      <c r="M144" s="221"/>
      <c r="N144" s="160"/>
      <c r="O144" s="160"/>
      <c r="P144" s="160"/>
      <c r="Q144" s="160"/>
      <c r="R144" s="163"/>
      <c r="T144" s="164"/>
      <c r="U144" s="160"/>
      <c r="V144" s="160"/>
      <c r="W144" s="160"/>
      <c r="X144" s="160"/>
      <c r="Y144" s="160"/>
      <c r="Z144" s="160"/>
      <c r="AA144" s="165"/>
      <c r="AT144" s="166" t="s">
        <v>145</v>
      </c>
      <c r="AU144" s="166" t="s">
        <v>96</v>
      </c>
      <c r="AV144" s="10" t="s">
        <v>96</v>
      </c>
      <c r="AW144" s="10" t="s">
        <v>33</v>
      </c>
      <c r="AX144" s="10" t="s">
        <v>80</v>
      </c>
      <c r="AY144" s="166" t="s">
        <v>137</v>
      </c>
    </row>
    <row r="145" spans="2:65" s="1" customFormat="1" ht="25.5" customHeight="1">
      <c r="B145" s="33"/>
      <c r="C145" s="151">
        <f>C143+1</f>
        <v>11</v>
      </c>
      <c r="D145" s="151" t="s">
        <v>138</v>
      </c>
      <c r="E145" s="152" t="s">
        <v>166</v>
      </c>
      <c r="F145" s="312" t="s">
        <v>167</v>
      </c>
      <c r="G145" s="312"/>
      <c r="H145" s="312"/>
      <c r="I145" s="312"/>
      <c r="J145" s="153" t="s">
        <v>162</v>
      </c>
      <c r="K145" s="154">
        <f>K146</f>
        <v>95.32</v>
      </c>
      <c r="L145" s="233"/>
      <c r="M145" s="220"/>
      <c r="N145" s="307">
        <f>ROUND(L145*K145,2)</f>
        <v>0</v>
      </c>
      <c r="O145" s="307"/>
      <c r="P145" s="307"/>
      <c r="Q145" s="307"/>
      <c r="R145" s="35"/>
      <c r="T145" s="155" t="s">
        <v>19</v>
      </c>
      <c r="U145" s="42" t="s">
        <v>39</v>
      </c>
      <c r="V145" s="156">
        <v>0.007</v>
      </c>
      <c r="W145" s="156">
        <f>V145*K145</f>
        <v>0.6672399999999999</v>
      </c>
      <c r="X145" s="156">
        <v>0</v>
      </c>
      <c r="Y145" s="156">
        <f>X145*K145</f>
        <v>0</v>
      </c>
      <c r="Z145" s="156">
        <v>0</v>
      </c>
      <c r="AA145" s="157">
        <f>Z145*K145</f>
        <v>0</v>
      </c>
      <c r="AR145" s="20" t="s">
        <v>142</v>
      </c>
      <c r="AT145" s="20" t="s">
        <v>138</v>
      </c>
      <c r="AU145" s="20" t="s">
        <v>96</v>
      </c>
      <c r="AY145" s="20" t="s">
        <v>137</v>
      </c>
      <c r="BE145" s="158">
        <f>IF(U145="základní",N145,0)</f>
        <v>0</v>
      </c>
      <c r="BF145" s="158">
        <f>IF(U145="snížená",N145,0)</f>
        <v>0</v>
      </c>
      <c r="BG145" s="158">
        <f>IF(U145="zákl. přenesená",N145,0)</f>
        <v>0</v>
      </c>
      <c r="BH145" s="158">
        <f>IF(U145="sníž. přenesená",N145,0)</f>
        <v>0</v>
      </c>
      <c r="BI145" s="158">
        <f>IF(U145="nulová",N145,0)</f>
        <v>0</v>
      </c>
      <c r="BJ145" s="20" t="s">
        <v>80</v>
      </c>
      <c r="BK145" s="158">
        <f>ROUND(L145*K145,2)</f>
        <v>0</v>
      </c>
      <c r="BL145" s="20" t="s">
        <v>142</v>
      </c>
      <c r="BM145" s="20" t="s">
        <v>341</v>
      </c>
    </row>
    <row r="146" spans="2:51" s="10" customFormat="1" ht="16.5" customHeight="1">
      <c r="B146" s="159"/>
      <c r="C146" s="160"/>
      <c r="D146" s="160"/>
      <c r="E146" s="161" t="s">
        <v>19</v>
      </c>
      <c r="F146" s="308" t="s">
        <v>536</v>
      </c>
      <c r="G146" s="309"/>
      <c r="H146" s="309"/>
      <c r="I146" s="309"/>
      <c r="J146" s="160"/>
      <c r="K146" s="162">
        <f>(10*10-2.6*1.8)</f>
        <v>95.32</v>
      </c>
      <c r="L146" s="233"/>
      <c r="M146" s="221"/>
      <c r="N146" s="160"/>
      <c r="O146" s="160"/>
      <c r="P146" s="160"/>
      <c r="Q146" s="160"/>
      <c r="R146" s="163"/>
      <c r="T146" s="164"/>
      <c r="U146" s="160"/>
      <c r="V146" s="160"/>
      <c r="W146" s="160"/>
      <c r="X146" s="160"/>
      <c r="Y146" s="160"/>
      <c r="Z146" s="160"/>
      <c r="AA146" s="165"/>
      <c r="AT146" s="166" t="s">
        <v>145</v>
      </c>
      <c r="AU146" s="166" t="s">
        <v>96</v>
      </c>
      <c r="AV146" s="10" t="s">
        <v>96</v>
      </c>
      <c r="AW146" s="10" t="s">
        <v>33</v>
      </c>
      <c r="AX146" s="10" t="s">
        <v>80</v>
      </c>
      <c r="AY146" s="166" t="s">
        <v>137</v>
      </c>
    </row>
    <row r="147" spans="2:65" s="1" customFormat="1" ht="16.5" customHeight="1">
      <c r="B147" s="33"/>
      <c r="C147" s="151">
        <f>C145+1</f>
        <v>12</v>
      </c>
      <c r="D147" s="175" t="s">
        <v>149</v>
      </c>
      <c r="E147" s="176" t="s">
        <v>170</v>
      </c>
      <c r="F147" s="305" t="s">
        <v>171</v>
      </c>
      <c r="G147" s="305"/>
      <c r="H147" s="305"/>
      <c r="I147" s="305"/>
      <c r="J147" s="177" t="s">
        <v>172</v>
      </c>
      <c r="K147" s="178">
        <v>5</v>
      </c>
      <c r="L147" s="233"/>
      <c r="M147" s="219"/>
      <c r="N147" s="306">
        <f>ROUND(L147*K147,2)</f>
        <v>0</v>
      </c>
      <c r="O147" s="307"/>
      <c r="P147" s="307"/>
      <c r="Q147" s="307"/>
      <c r="R147" s="35"/>
      <c r="T147" s="155" t="s">
        <v>19</v>
      </c>
      <c r="U147" s="42" t="s">
        <v>39</v>
      </c>
      <c r="V147" s="156">
        <v>0</v>
      </c>
      <c r="W147" s="156">
        <f>V147*K147</f>
        <v>0</v>
      </c>
      <c r="X147" s="156">
        <v>0.001</v>
      </c>
      <c r="Y147" s="156">
        <f>X147*K147</f>
        <v>0.005</v>
      </c>
      <c r="Z147" s="156">
        <v>0</v>
      </c>
      <c r="AA147" s="157">
        <f>Z147*K147</f>
        <v>0</v>
      </c>
      <c r="AR147" s="20" t="s">
        <v>153</v>
      </c>
      <c r="AT147" s="20" t="s">
        <v>149</v>
      </c>
      <c r="AU147" s="20" t="s">
        <v>96</v>
      </c>
      <c r="AY147" s="20" t="s">
        <v>137</v>
      </c>
      <c r="BE147" s="158">
        <f>IF(U147="základní",N147,0)</f>
        <v>0</v>
      </c>
      <c r="BF147" s="158">
        <f>IF(U147="snížená",N147,0)</f>
        <v>0</v>
      </c>
      <c r="BG147" s="158">
        <f>IF(U147="zákl. přenesená",N147,0)</f>
        <v>0</v>
      </c>
      <c r="BH147" s="158">
        <f>IF(U147="sníž. přenesená",N147,0)</f>
        <v>0</v>
      </c>
      <c r="BI147" s="158">
        <f>IF(U147="nulová",N147,0)</f>
        <v>0</v>
      </c>
      <c r="BJ147" s="20" t="s">
        <v>80</v>
      </c>
      <c r="BK147" s="158">
        <f>ROUND(L147*K147,2)</f>
        <v>0</v>
      </c>
      <c r="BL147" s="20" t="s">
        <v>142</v>
      </c>
      <c r="BM147" s="20" t="s">
        <v>342</v>
      </c>
    </row>
    <row r="148" spans="2:63" s="9" customFormat="1" ht="29.85" customHeight="1">
      <c r="B148" s="140"/>
      <c r="C148" s="141"/>
      <c r="D148" s="150" t="s">
        <v>336</v>
      </c>
      <c r="E148" s="150"/>
      <c r="F148" s="150"/>
      <c r="G148" s="150"/>
      <c r="H148" s="150"/>
      <c r="I148" s="150"/>
      <c r="J148" s="150"/>
      <c r="K148" s="150"/>
      <c r="L148" s="233"/>
      <c r="M148" s="150"/>
      <c r="N148" s="313">
        <f>SUM(N149:N153)</f>
        <v>0</v>
      </c>
      <c r="O148" s="314"/>
      <c r="P148" s="314"/>
      <c r="Q148" s="314"/>
      <c r="R148" s="143"/>
      <c r="T148" s="144"/>
      <c r="U148" s="141"/>
      <c r="V148" s="141"/>
      <c r="W148" s="145">
        <f>SUM(W149:W150)</f>
        <v>1.92699</v>
      </c>
      <c r="X148" s="141"/>
      <c r="Y148" s="145">
        <f>SUM(Y149:Y150)</f>
        <v>2.2018440999999997</v>
      </c>
      <c r="Z148" s="141"/>
      <c r="AA148" s="146">
        <f>SUM(AA149:AA150)</f>
        <v>0</v>
      </c>
      <c r="AR148" s="147" t="s">
        <v>80</v>
      </c>
      <c r="AT148" s="148" t="s">
        <v>72</v>
      </c>
      <c r="AU148" s="148" t="s">
        <v>80</v>
      </c>
      <c r="AY148" s="147" t="s">
        <v>137</v>
      </c>
      <c r="BK148" s="149">
        <f>SUM(BK149:BK150)</f>
        <v>0</v>
      </c>
    </row>
    <row r="149" spans="2:65" s="1" customFormat="1" ht="38.25" customHeight="1">
      <c r="B149" s="33"/>
      <c r="C149" s="151">
        <f>C147+1</f>
        <v>13</v>
      </c>
      <c r="D149" s="151" t="s">
        <v>138</v>
      </c>
      <c r="E149" s="152" t="s">
        <v>343</v>
      </c>
      <c r="F149" s="312" t="s">
        <v>344</v>
      </c>
      <c r="G149" s="312"/>
      <c r="H149" s="312"/>
      <c r="I149" s="312"/>
      <c r="J149" s="153" t="s">
        <v>141</v>
      </c>
      <c r="K149" s="154">
        <v>0.702</v>
      </c>
      <c r="L149" s="233"/>
      <c r="M149" s="220"/>
      <c r="N149" s="307">
        <f>ROUND(L149*K149,2)</f>
        <v>0</v>
      </c>
      <c r="O149" s="307"/>
      <c r="P149" s="307"/>
      <c r="Q149" s="307"/>
      <c r="R149" s="35"/>
      <c r="T149" s="155" t="s">
        <v>19</v>
      </c>
      <c r="U149" s="42" t="s">
        <v>39</v>
      </c>
      <c r="V149" s="156">
        <v>2.745</v>
      </c>
      <c r="W149" s="156">
        <f>V149*K149</f>
        <v>1.92699</v>
      </c>
      <c r="X149" s="156">
        <v>0.07955</v>
      </c>
      <c r="Y149" s="156">
        <f>X149*K149</f>
        <v>0.055844099999999994</v>
      </c>
      <c r="Z149" s="156">
        <v>0</v>
      </c>
      <c r="AA149" s="157">
        <f>Z149*K149</f>
        <v>0</v>
      </c>
      <c r="AR149" s="20" t="s">
        <v>142</v>
      </c>
      <c r="AT149" s="20" t="s">
        <v>138</v>
      </c>
      <c r="AU149" s="20" t="s">
        <v>96</v>
      </c>
      <c r="AY149" s="20" t="s">
        <v>137</v>
      </c>
      <c r="BE149" s="158">
        <f>IF(U149="základní",N149,0)</f>
        <v>0</v>
      </c>
      <c r="BF149" s="158">
        <f>IF(U149="snížená",N149,0)</f>
        <v>0</v>
      </c>
      <c r="BG149" s="158">
        <f>IF(U149="zákl. přenesená",N149,0)</f>
        <v>0</v>
      </c>
      <c r="BH149" s="158">
        <f>IF(U149="sníž. přenesená",N149,0)</f>
        <v>0</v>
      </c>
      <c r="BI149" s="158">
        <f>IF(U149="nulová",N149,0)</f>
        <v>0</v>
      </c>
      <c r="BJ149" s="20" t="s">
        <v>80</v>
      </c>
      <c r="BK149" s="158">
        <f>ROUND(L149*K149,2)</f>
        <v>0</v>
      </c>
      <c r="BL149" s="20" t="s">
        <v>142</v>
      </c>
      <c r="BM149" s="20" t="s">
        <v>345</v>
      </c>
    </row>
    <row r="150" spans="2:65" s="1" customFormat="1" ht="25.5" customHeight="1">
      <c r="B150" s="33"/>
      <c r="C150" s="151">
        <f aca="true" t="shared" si="0" ref="C150:C153">C149+1</f>
        <v>14</v>
      </c>
      <c r="D150" s="175" t="s">
        <v>149</v>
      </c>
      <c r="E150" s="176" t="s">
        <v>346</v>
      </c>
      <c r="F150" s="305" t="s">
        <v>347</v>
      </c>
      <c r="G150" s="305"/>
      <c r="H150" s="305"/>
      <c r="I150" s="305"/>
      <c r="J150" s="177" t="s">
        <v>184</v>
      </c>
      <c r="K150" s="178">
        <v>1</v>
      </c>
      <c r="L150" s="233"/>
      <c r="M150" s="219"/>
      <c r="N150" s="306">
        <f>ROUND(L150*K150,2)</f>
        <v>0</v>
      </c>
      <c r="O150" s="307"/>
      <c r="P150" s="307"/>
      <c r="Q150" s="307"/>
      <c r="R150" s="35"/>
      <c r="T150" s="155" t="s">
        <v>19</v>
      </c>
      <c r="U150" s="42" t="s">
        <v>39</v>
      </c>
      <c r="V150" s="156">
        <v>0</v>
      </c>
      <c r="W150" s="156">
        <f>V150*K150</f>
        <v>0</v>
      </c>
      <c r="X150" s="156">
        <v>2.146</v>
      </c>
      <c r="Y150" s="156">
        <f>X150*K150</f>
        <v>2.146</v>
      </c>
      <c r="Z150" s="156">
        <v>0</v>
      </c>
      <c r="AA150" s="157">
        <f>Z150*K150</f>
        <v>0</v>
      </c>
      <c r="AR150" s="20" t="s">
        <v>153</v>
      </c>
      <c r="AT150" s="20" t="s">
        <v>149</v>
      </c>
      <c r="AU150" s="20" t="s">
        <v>96</v>
      </c>
      <c r="AY150" s="20" t="s">
        <v>137</v>
      </c>
      <c r="BE150" s="158">
        <f>IF(U150="základní",N150,0)</f>
        <v>0</v>
      </c>
      <c r="BF150" s="158">
        <f>IF(U150="snížená",N150,0)</f>
        <v>0</v>
      </c>
      <c r="BG150" s="158">
        <f>IF(U150="zákl. přenesená",N150,0)</f>
        <v>0</v>
      </c>
      <c r="BH150" s="158">
        <f>IF(U150="sníž. přenesená",N150,0)</f>
        <v>0</v>
      </c>
      <c r="BI150" s="158">
        <f>IF(U150="nulová",N150,0)</f>
        <v>0</v>
      </c>
      <c r="BJ150" s="20" t="s">
        <v>80</v>
      </c>
      <c r="BK150" s="158">
        <f>ROUND(L150*K150,2)</f>
        <v>0</v>
      </c>
      <c r="BL150" s="20" t="s">
        <v>142</v>
      </c>
      <c r="BM150" s="20" t="s">
        <v>348</v>
      </c>
    </row>
    <row r="151" spans="2:65" s="1" customFormat="1" ht="38.25" customHeight="1">
      <c r="B151" s="33"/>
      <c r="C151" s="151">
        <f t="shared" si="0"/>
        <v>15</v>
      </c>
      <c r="D151" s="151" t="s">
        <v>138</v>
      </c>
      <c r="E151" s="152"/>
      <c r="F151" s="312" t="s">
        <v>506</v>
      </c>
      <c r="G151" s="312"/>
      <c r="H151" s="312"/>
      <c r="I151" s="312"/>
      <c r="J151" s="153" t="s">
        <v>504</v>
      </c>
      <c r="K151" s="154">
        <v>1</v>
      </c>
      <c r="L151" s="233"/>
      <c r="M151" s="220"/>
      <c r="N151" s="307">
        <f>ROUND(L151*K151,2)</f>
        <v>0</v>
      </c>
      <c r="O151" s="307"/>
      <c r="P151" s="307"/>
      <c r="Q151" s="307"/>
      <c r="R151" s="35"/>
      <c r="T151" s="155" t="s">
        <v>19</v>
      </c>
      <c r="U151" s="42" t="s">
        <v>39</v>
      </c>
      <c r="V151" s="156">
        <v>2.745</v>
      </c>
      <c r="W151" s="156">
        <f>V151*K151</f>
        <v>2.745</v>
      </c>
      <c r="X151" s="156">
        <v>0.07955</v>
      </c>
      <c r="Y151" s="156">
        <f>X151*K151</f>
        <v>0.07955</v>
      </c>
      <c r="Z151" s="156">
        <v>0</v>
      </c>
      <c r="AA151" s="157">
        <f>Z151*K151</f>
        <v>0</v>
      </c>
      <c r="AR151" s="20" t="s">
        <v>142</v>
      </c>
      <c r="AT151" s="20" t="s">
        <v>138</v>
      </c>
      <c r="AU151" s="20" t="s">
        <v>96</v>
      </c>
      <c r="AY151" s="20" t="s">
        <v>137</v>
      </c>
      <c r="BE151" s="158">
        <f>IF(U151="základní",N151,0)</f>
        <v>0</v>
      </c>
      <c r="BF151" s="158">
        <f>IF(U151="snížená",N151,0)</f>
        <v>0</v>
      </c>
      <c r="BG151" s="158">
        <f>IF(U151="zákl. přenesená",N151,0)</f>
        <v>0</v>
      </c>
      <c r="BH151" s="158">
        <f>IF(U151="sníž. přenesená",N151,0)</f>
        <v>0</v>
      </c>
      <c r="BI151" s="158">
        <f>IF(U151="nulová",N151,0)</f>
        <v>0</v>
      </c>
      <c r="BJ151" s="20" t="s">
        <v>80</v>
      </c>
      <c r="BK151" s="158">
        <f>ROUND(L151*K151,2)</f>
        <v>0</v>
      </c>
      <c r="BL151" s="20" t="s">
        <v>142</v>
      </c>
      <c r="BM151" s="20" t="s">
        <v>345</v>
      </c>
    </row>
    <row r="152" spans="2:65" s="1" customFormat="1" ht="42.75" customHeight="1">
      <c r="B152" s="33"/>
      <c r="C152" s="151">
        <f t="shared" si="0"/>
        <v>16</v>
      </c>
      <c r="D152" s="175" t="s">
        <v>149</v>
      </c>
      <c r="E152" s="176"/>
      <c r="F152" s="305" t="s">
        <v>505</v>
      </c>
      <c r="G152" s="305"/>
      <c r="H152" s="305"/>
      <c r="I152" s="305"/>
      <c r="J152" s="177" t="s">
        <v>184</v>
      </c>
      <c r="K152" s="178">
        <v>1</v>
      </c>
      <c r="L152" s="233"/>
      <c r="M152" s="219"/>
      <c r="N152" s="306">
        <f>ROUND(L152*K152,2)</f>
        <v>0</v>
      </c>
      <c r="O152" s="307"/>
      <c r="P152" s="307"/>
      <c r="Q152" s="307"/>
      <c r="R152" s="35"/>
      <c r="T152" s="155" t="s">
        <v>19</v>
      </c>
      <c r="U152" s="42" t="s">
        <v>39</v>
      </c>
      <c r="V152" s="156">
        <v>0</v>
      </c>
      <c r="W152" s="156">
        <f>V152*K152</f>
        <v>0</v>
      </c>
      <c r="X152" s="156">
        <v>2.146</v>
      </c>
      <c r="Y152" s="156">
        <f>X152*K152</f>
        <v>2.146</v>
      </c>
      <c r="Z152" s="156">
        <v>0</v>
      </c>
      <c r="AA152" s="157">
        <f>Z152*K152</f>
        <v>0</v>
      </c>
      <c r="AR152" s="20" t="s">
        <v>153</v>
      </c>
      <c r="AT152" s="20" t="s">
        <v>149</v>
      </c>
      <c r="AU152" s="20" t="s">
        <v>96</v>
      </c>
      <c r="AY152" s="20" t="s">
        <v>137</v>
      </c>
      <c r="BE152" s="158">
        <f>IF(U152="základní",N152,0)</f>
        <v>0</v>
      </c>
      <c r="BF152" s="158">
        <f>IF(U152="snížená",N152,0)</f>
        <v>0</v>
      </c>
      <c r="BG152" s="158">
        <f>IF(U152="zákl. přenesená",N152,0)</f>
        <v>0</v>
      </c>
      <c r="BH152" s="158">
        <f>IF(U152="sníž. přenesená",N152,0)</f>
        <v>0</v>
      </c>
      <c r="BI152" s="158">
        <f>IF(U152="nulová",N152,0)</f>
        <v>0</v>
      </c>
      <c r="BJ152" s="20" t="s">
        <v>80</v>
      </c>
      <c r="BK152" s="158">
        <f>ROUND(L152*K152,2)</f>
        <v>0</v>
      </c>
      <c r="BL152" s="20" t="s">
        <v>142</v>
      </c>
      <c r="BM152" s="20" t="s">
        <v>348</v>
      </c>
    </row>
    <row r="153" spans="2:65" s="1" customFormat="1" ht="38.25" customHeight="1">
      <c r="B153" s="33"/>
      <c r="C153" s="151">
        <f t="shared" si="0"/>
        <v>17</v>
      </c>
      <c r="D153" s="151" t="s">
        <v>138</v>
      </c>
      <c r="E153" s="152"/>
      <c r="F153" s="312" t="s">
        <v>513</v>
      </c>
      <c r="G153" s="312"/>
      <c r="H153" s="312"/>
      <c r="I153" s="312"/>
      <c r="J153" s="153" t="s">
        <v>504</v>
      </c>
      <c r="K153" s="154">
        <v>5</v>
      </c>
      <c r="L153" s="233"/>
      <c r="M153" s="220"/>
      <c r="N153" s="307">
        <f>ROUND(L153*K153,2)</f>
        <v>0</v>
      </c>
      <c r="O153" s="307"/>
      <c r="P153" s="307"/>
      <c r="Q153" s="307"/>
      <c r="R153" s="35"/>
      <c r="T153" s="155" t="s">
        <v>19</v>
      </c>
      <c r="U153" s="42" t="s">
        <v>39</v>
      </c>
      <c r="V153" s="156">
        <v>2.745</v>
      </c>
      <c r="W153" s="156">
        <f>V153*K153</f>
        <v>13.725000000000001</v>
      </c>
      <c r="X153" s="156">
        <v>0.07955</v>
      </c>
      <c r="Y153" s="156">
        <f>X153*K153</f>
        <v>0.39775</v>
      </c>
      <c r="Z153" s="156">
        <v>0</v>
      </c>
      <c r="AA153" s="157">
        <f>Z153*K153</f>
        <v>0</v>
      </c>
      <c r="AR153" s="20" t="s">
        <v>142</v>
      </c>
      <c r="AT153" s="20" t="s">
        <v>138</v>
      </c>
      <c r="AU153" s="20" t="s">
        <v>96</v>
      </c>
      <c r="AY153" s="20" t="s">
        <v>137</v>
      </c>
      <c r="BE153" s="158">
        <f>IF(U153="základní",N153,0)</f>
        <v>0</v>
      </c>
      <c r="BF153" s="158">
        <f>IF(U153="snížená",N153,0)</f>
        <v>0</v>
      </c>
      <c r="BG153" s="158">
        <f>IF(U153="zákl. přenesená",N153,0)</f>
        <v>0</v>
      </c>
      <c r="BH153" s="158">
        <f>IF(U153="sníž. přenesená",N153,0)</f>
        <v>0</v>
      </c>
      <c r="BI153" s="158">
        <f>IF(U153="nulová",N153,0)</f>
        <v>0</v>
      </c>
      <c r="BJ153" s="20" t="s">
        <v>80</v>
      </c>
      <c r="BK153" s="158">
        <f>ROUND(L153*K153,2)</f>
        <v>0</v>
      </c>
      <c r="BL153" s="20" t="s">
        <v>142</v>
      </c>
      <c r="BM153" s="20" t="s">
        <v>345</v>
      </c>
    </row>
    <row r="154" spans="2:63" s="9" customFormat="1" ht="29.85" customHeight="1">
      <c r="B154" s="140"/>
      <c r="C154" s="141"/>
      <c r="D154" s="150" t="s">
        <v>110</v>
      </c>
      <c r="E154" s="150"/>
      <c r="F154" s="150"/>
      <c r="G154" s="150"/>
      <c r="H154" s="150"/>
      <c r="I154" s="150"/>
      <c r="J154" s="150"/>
      <c r="K154" s="150"/>
      <c r="L154" s="233"/>
      <c r="M154" s="150"/>
      <c r="N154" s="313">
        <f>SUM(N155:N157)</f>
        <v>0</v>
      </c>
      <c r="O154" s="314"/>
      <c r="P154" s="314"/>
      <c r="Q154" s="314"/>
      <c r="R154" s="143"/>
      <c r="T154" s="144"/>
      <c r="U154" s="141"/>
      <c r="V154" s="141"/>
      <c r="W154" s="145">
        <f>SUM(W155:W156)</f>
        <v>1.7892000000000001</v>
      </c>
      <c r="X154" s="141"/>
      <c r="Y154" s="145">
        <f>SUM(Y155:Y156)</f>
        <v>0</v>
      </c>
      <c r="Z154" s="141"/>
      <c r="AA154" s="146">
        <f>SUM(AA155:AA156)</f>
        <v>0</v>
      </c>
      <c r="AR154" s="147" t="s">
        <v>80</v>
      </c>
      <c r="AT154" s="148" t="s">
        <v>72</v>
      </c>
      <c r="AU154" s="148" t="s">
        <v>80</v>
      </c>
      <c r="AY154" s="147" t="s">
        <v>137</v>
      </c>
      <c r="BK154" s="149">
        <f>SUM(BK155:BK156)</f>
        <v>0</v>
      </c>
    </row>
    <row r="155" spans="2:65" s="1" customFormat="1" ht="38.25" customHeight="1">
      <c r="B155" s="33"/>
      <c r="C155" s="151">
        <f>C153+1</f>
        <v>18</v>
      </c>
      <c r="D155" s="151" t="s">
        <v>138</v>
      </c>
      <c r="E155" s="152" t="s">
        <v>178</v>
      </c>
      <c r="F155" s="312" t="s">
        <v>179</v>
      </c>
      <c r="G155" s="312"/>
      <c r="H155" s="312"/>
      <c r="I155" s="312"/>
      <c r="J155" s="153" t="s">
        <v>162</v>
      </c>
      <c r="K155" s="154">
        <v>8.4</v>
      </c>
      <c r="L155" s="233"/>
      <c r="M155" s="220"/>
      <c r="N155" s="307">
        <f>ROUND(L155*K155,2)</f>
        <v>0</v>
      </c>
      <c r="O155" s="307"/>
      <c r="P155" s="307"/>
      <c r="Q155" s="307"/>
      <c r="R155" s="35"/>
      <c r="T155" s="155" t="s">
        <v>19</v>
      </c>
      <c r="U155" s="42" t="s">
        <v>39</v>
      </c>
      <c r="V155" s="156">
        <v>0.213</v>
      </c>
      <c r="W155" s="156">
        <f>V155*K155</f>
        <v>1.7892000000000001</v>
      </c>
      <c r="X155" s="156">
        <v>0</v>
      </c>
      <c r="Y155" s="156">
        <f>X155*K155</f>
        <v>0</v>
      </c>
      <c r="Z155" s="156">
        <v>0</v>
      </c>
      <c r="AA155" s="157">
        <f>Z155*K155</f>
        <v>0</v>
      </c>
      <c r="AR155" s="20" t="s">
        <v>142</v>
      </c>
      <c r="AT155" s="20" t="s">
        <v>138</v>
      </c>
      <c r="AU155" s="20" t="s">
        <v>96</v>
      </c>
      <c r="AY155" s="20" t="s">
        <v>137</v>
      </c>
      <c r="BE155" s="158">
        <f>IF(U155="základní",N155,0)</f>
        <v>0</v>
      </c>
      <c r="BF155" s="158">
        <f>IF(U155="snížená",N155,0)</f>
        <v>0</v>
      </c>
      <c r="BG155" s="158">
        <f>IF(U155="zákl. přenesená",N155,0)</f>
        <v>0</v>
      </c>
      <c r="BH155" s="158">
        <f>IF(U155="sníž. přenesená",N155,0)</f>
        <v>0</v>
      </c>
      <c r="BI155" s="158">
        <f>IF(U155="nulová",N155,0)</f>
        <v>0</v>
      </c>
      <c r="BJ155" s="20" t="s">
        <v>80</v>
      </c>
      <c r="BK155" s="158">
        <f>ROUND(L155*K155,2)</f>
        <v>0</v>
      </c>
      <c r="BL155" s="20" t="s">
        <v>142</v>
      </c>
      <c r="BM155" s="20" t="s">
        <v>349</v>
      </c>
    </row>
    <row r="156" spans="2:51" s="10" customFormat="1" ht="16.5" customHeight="1">
      <c r="B156" s="159"/>
      <c r="C156" s="160"/>
      <c r="D156" s="160"/>
      <c r="E156" s="161" t="s">
        <v>19</v>
      </c>
      <c r="F156" s="308" t="s">
        <v>350</v>
      </c>
      <c r="G156" s="309"/>
      <c r="H156" s="309"/>
      <c r="I156" s="309"/>
      <c r="J156" s="160"/>
      <c r="K156" s="162">
        <v>8.4</v>
      </c>
      <c r="L156" s="233"/>
      <c r="M156" s="221"/>
      <c r="N156" s="160"/>
      <c r="O156" s="160"/>
      <c r="P156" s="160"/>
      <c r="Q156" s="160"/>
      <c r="R156" s="163"/>
      <c r="T156" s="164"/>
      <c r="U156" s="160"/>
      <c r="V156" s="160"/>
      <c r="W156" s="160"/>
      <c r="X156" s="160"/>
      <c r="Y156" s="160"/>
      <c r="Z156" s="160"/>
      <c r="AA156" s="165"/>
      <c r="AT156" s="166" t="s">
        <v>145</v>
      </c>
      <c r="AU156" s="166" t="s">
        <v>96</v>
      </c>
      <c r="AV156" s="10" t="s">
        <v>96</v>
      </c>
      <c r="AW156" s="10" t="s">
        <v>33</v>
      </c>
      <c r="AX156" s="10" t="s">
        <v>80</v>
      </c>
      <c r="AY156" s="166" t="s">
        <v>137</v>
      </c>
    </row>
    <row r="157" spans="2:65" s="1" customFormat="1" ht="38.25" customHeight="1">
      <c r="B157" s="33"/>
      <c r="C157" s="151">
        <f>C155+1</f>
        <v>19</v>
      </c>
      <c r="D157" s="151" t="s">
        <v>138</v>
      </c>
      <c r="E157" s="152"/>
      <c r="F157" s="312" t="s">
        <v>503</v>
      </c>
      <c r="G157" s="312"/>
      <c r="H157" s="312"/>
      <c r="I157" s="312"/>
      <c r="J157" s="153" t="s">
        <v>184</v>
      </c>
      <c r="K157" s="154">
        <v>1</v>
      </c>
      <c r="L157" s="233"/>
      <c r="M157" s="220"/>
      <c r="N157" s="307">
        <f>ROUND(L157*K157,2)</f>
        <v>0</v>
      </c>
      <c r="O157" s="307"/>
      <c r="P157" s="307"/>
      <c r="Q157" s="307"/>
      <c r="R157" s="35"/>
      <c r="T157" s="155" t="s">
        <v>19</v>
      </c>
      <c r="U157" s="42" t="s">
        <v>39</v>
      </c>
      <c r="V157" s="156">
        <v>0.213</v>
      </c>
      <c r="W157" s="156">
        <f>V157*K157</f>
        <v>0.213</v>
      </c>
      <c r="X157" s="156">
        <v>0</v>
      </c>
      <c r="Y157" s="156">
        <f>X157*K157</f>
        <v>0</v>
      </c>
      <c r="Z157" s="156">
        <v>0</v>
      </c>
      <c r="AA157" s="157">
        <f>Z157*K157</f>
        <v>0</v>
      </c>
      <c r="AR157" s="20" t="s">
        <v>142</v>
      </c>
      <c r="AT157" s="20" t="s">
        <v>138</v>
      </c>
      <c r="AU157" s="20" t="s">
        <v>96</v>
      </c>
      <c r="AY157" s="20" t="s">
        <v>137</v>
      </c>
      <c r="BE157" s="158">
        <f>IF(U157="základní",N157,0)</f>
        <v>0</v>
      </c>
      <c r="BF157" s="158">
        <f>IF(U157="snížená",N157,0)</f>
        <v>0</v>
      </c>
      <c r="BG157" s="158">
        <f>IF(U157="zákl. přenesená",N157,0)</f>
        <v>0</v>
      </c>
      <c r="BH157" s="158">
        <f>IF(U157="sníž. přenesená",N157,0)</f>
        <v>0</v>
      </c>
      <c r="BI157" s="158">
        <f>IF(U157="nulová",N157,0)</f>
        <v>0</v>
      </c>
      <c r="BJ157" s="20" t="s">
        <v>80</v>
      </c>
      <c r="BK157" s="158">
        <f>ROUND(L157*K157,2)</f>
        <v>0</v>
      </c>
      <c r="BL157" s="20" t="s">
        <v>142</v>
      </c>
      <c r="BM157" s="20" t="s">
        <v>180</v>
      </c>
    </row>
    <row r="158" spans="2:63" s="9" customFormat="1" ht="29.85" customHeight="1">
      <c r="B158" s="140"/>
      <c r="C158" s="141"/>
      <c r="D158" s="150" t="s">
        <v>111</v>
      </c>
      <c r="E158" s="150"/>
      <c r="F158" s="150"/>
      <c r="G158" s="150"/>
      <c r="H158" s="150"/>
      <c r="I158" s="150"/>
      <c r="J158" s="150"/>
      <c r="K158" s="150"/>
      <c r="L158" s="233"/>
      <c r="M158" s="150"/>
      <c r="N158" s="301">
        <f>SUM(N159:N160)</f>
        <v>0</v>
      </c>
      <c r="O158" s="302"/>
      <c r="P158" s="302"/>
      <c r="Q158" s="302"/>
      <c r="R158" s="143"/>
      <c r="T158" s="144"/>
      <c r="U158" s="141"/>
      <c r="V158" s="141"/>
      <c r="W158" s="145">
        <f>SUM(W159:W160)</f>
        <v>0.92</v>
      </c>
      <c r="X158" s="141"/>
      <c r="Y158" s="145">
        <f>SUM(Y159:Y160)</f>
        <v>0.07202</v>
      </c>
      <c r="Z158" s="141"/>
      <c r="AA158" s="146">
        <f>SUM(AA159:AA160)</f>
        <v>0</v>
      </c>
      <c r="AR158" s="147" t="s">
        <v>80</v>
      </c>
      <c r="AT158" s="148" t="s">
        <v>72</v>
      </c>
      <c r="AU158" s="148" t="s">
        <v>80</v>
      </c>
      <c r="AY158" s="147" t="s">
        <v>137</v>
      </c>
      <c r="BK158" s="149">
        <f>SUM(BK159:BK160)</f>
        <v>0</v>
      </c>
    </row>
    <row r="159" spans="2:65" s="1" customFormat="1" ht="25.5" customHeight="1">
      <c r="B159" s="33"/>
      <c r="C159" s="151">
        <f>C157+1</f>
        <v>20</v>
      </c>
      <c r="D159" s="151" t="s">
        <v>138</v>
      </c>
      <c r="E159" s="152" t="s">
        <v>182</v>
      </c>
      <c r="F159" s="312" t="s">
        <v>183</v>
      </c>
      <c r="G159" s="312"/>
      <c r="H159" s="312"/>
      <c r="I159" s="312"/>
      <c r="J159" s="153" t="s">
        <v>184</v>
      </c>
      <c r="K159" s="154">
        <v>1</v>
      </c>
      <c r="L159" s="233"/>
      <c r="M159" s="220"/>
      <c r="N159" s="307">
        <f>ROUND(L159*K159,2)</f>
        <v>0</v>
      </c>
      <c r="O159" s="307"/>
      <c r="P159" s="307"/>
      <c r="Q159" s="307"/>
      <c r="R159" s="35"/>
      <c r="T159" s="155" t="s">
        <v>19</v>
      </c>
      <c r="U159" s="42" t="s">
        <v>39</v>
      </c>
      <c r="V159" s="156">
        <v>0.92</v>
      </c>
      <c r="W159" s="156">
        <f>V159*K159</f>
        <v>0.92</v>
      </c>
      <c r="X159" s="156">
        <v>0.00702</v>
      </c>
      <c r="Y159" s="156">
        <f>X159*K159</f>
        <v>0.00702</v>
      </c>
      <c r="Z159" s="156">
        <v>0</v>
      </c>
      <c r="AA159" s="157">
        <f>Z159*K159</f>
        <v>0</v>
      </c>
      <c r="AR159" s="20" t="s">
        <v>142</v>
      </c>
      <c r="AT159" s="20" t="s">
        <v>138</v>
      </c>
      <c r="AU159" s="20" t="s">
        <v>96</v>
      </c>
      <c r="AY159" s="20" t="s">
        <v>137</v>
      </c>
      <c r="BE159" s="158">
        <f>IF(U159="základní",N159,0)</f>
        <v>0</v>
      </c>
      <c r="BF159" s="158">
        <f>IF(U159="snížená",N159,0)</f>
        <v>0</v>
      </c>
      <c r="BG159" s="158">
        <f>IF(U159="zákl. přenesená",N159,0)</f>
        <v>0</v>
      </c>
      <c r="BH159" s="158">
        <f>IF(U159="sníž. přenesená",N159,0)</f>
        <v>0</v>
      </c>
      <c r="BI159" s="158">
        <f>IF(U159="nulová",N159,0)</f>
        <v>0</v>
      </c>
      <c r="BJ159" s="20" t="s">
        <v>80</v>
      </c>
      <c r="BK159" s="158">
        <f>ROUND(L159*K159,2)</f>
        <v>0</v>
      </c>
      <c r="BL159" s="20" t="s">
        <v>142</v>
      </c>
      <c r="BM159" s="20" t="s">
        <v>351</v>
      </c>
    </row>
    <row r="160" spans="2:65" s="1" customFormat="1" ht="38.25" customHeight="1">
      <c r="B160" s="33"/>
      <c r="C160" s="151">
        <f>C159+1</f>
        <v>21</v>
      </c>
      <c r="D160" s="175" t="s">
        <v>149</v>
      </c>
      <c r="E160" s="176" t="s">
        <v>352</v>
      </c>
      <c r="F160" s="305" t="s">
        <v>353</v>
      </c>
      <c r="G160" s="305"/>
      <c r="H160" s="305"/>
      <c r="I160" s="305"/>
      <c r="J160" s="177" t="s">
        <v>184</v>
      </c>
      <c r="K160" s="178">
        <v>1</v>
      </c>
      <c r="L160" s="233"/>
      <c r="M160" s="219"/>
      <c r="N160" s="306">
        <f>ROUND(L160*K160,2)</f>
        <v>0</v>
      </c>
      <c r="O160" s="307"/>
      <c r="P160" s="307"/>
      <c r="Q160" s="307"/>
      <c r="R160" s="35"/>
      <c r="T160" s="155" t="s">
        <v>19</v>
      </c>
      <c r="U160" s="42" t="s">
        <v>39</v>
      </c>
      <c r="V160" s="156">
        <v>0</v>
      </c>
      <c r="W160" s="156">
        <f>V160*K160</f>
        <v>0</v>
      </c>
      <c r="X160" s="156">
        <v>0.065</v>
      </c>
      <c r="Y160" s="156">
        <f>X160*K160</f>
        <v>0.065</v>
      </c>
      <c r="Z160" s="156">
        <v>0</v>
      </c>
      <c r="AA160" s="157">
        <f>Z160*K160</f>
        <v>0</v>
      </c>
      <c r="AR160" s="20" t="s">
        <v>153</v>
      </c>
      <c r="AT160" s="20" t="s">
        <v>149</v>
      </c>
      <c r="AU160" s="20" t="s">
        <v>96</v>
      </c>
      <c r="AY160" s="20" t="s">
        <v>137</v>
      </c>
      <c r="BE160" s="158">
        <f>IF(U160="základní",N160,0)</f>
        <v>0</v>
      </c>
      <c r="BF160" s="158">
        <f>IF(U160="snížená",N160,0)</f>
        <v>0</v>
      </c>
      <c r="BG160" s="158">
        <f>IF(U160="zákl. přenesená",N160,0)</f>
        <v>0</v>
      </c>
      <c r="BH160" s="158">
        <f>IF(U160="sníž. přenesená",N160,0)</f>
        <v>0</v>
      </c>
      <c r="BI160" s="158">
        <f>IF(U160="nulová",N160,0)</f>
        <v>0</v>
      </c>
      <c r="BJ160" s="20" t="s">
        <v>80</v>
      </c>
      <c r="BK160" s="158">
        <f>ROUND(L160*K160,2)</f>
        <v>0</v>
      </c>
      <c r="BL160" s="20" t="s">
        <v>142</v>
      </c>
      <c r="BM160" s="20" t="s">
        <v>354</v>
      </c>
    </row>
    <row r="161" spans="2:63" s="9" customFormat="1" ht="29.85" customHeight="1">
      <c r="B161" s="140"/>
      <c r="C161" s="141"/>
      <c r="D161" s="150" t="s">
        <v>112</v>
      </c>
      <c r="E161" s="150"/>
      <c r="F161" s="150"/>
      <c r="G161" s="150"/>
      <c r="H161" s="150"/>
      <c r="I161" s="150"/>
      <c r="J161" s="150"/>
      <c r="K161" s="150"/>
      <c r="L161" s="233"/>
      <c r="M161" s="150"/>
      <c r="N161" s="313">
        <f>SUM(N162:N173)</f>
        <v>0</v>
      </c>
      <c r="O161" s="314"/>
      <c r="P161" s="314"/>
      <c r="Q161" s="314"/>
      <c r="R161" s="143"/>
      <c r="T161" s="144"/>
      <c r="U161" s="141"/>
      <c r="V161" s="141"/>
      <c r="W161" s="145">
        <f>SUM(W162:W172)</f>
        <v>117.24892799999998</v>
      </c>
      <c r="X161" s="141"/>
      <c r="Y161" s="145">
        <f>SUM(Y162:Y172)</f>
        <v>0</v>
      </c>
      <c r="Z161" s="141"/>
      <c r="AA161" s="146">
        <f>SUM(AA162:AA172)</f>
        <v>78.31536</v>
      </c>
      <c r="AR161" s="147" t="s">
        <v>80</v>
      </c>
      <c r="AT161" s="148" t="s">
        <v>72</v>
      </c>
      <c r="AU161" s="148" t="s">
        <v>80</v>
      </c>
      <c r="AY161" s="147" t="s">
        <v>137</v>
      </c>
      <c r="BK161" s="149">
        <f>SUM(BK162:BK172)</f>
        <v>0</v>
      </c>
    </row>
    <row r="162" spans="2:65" s="1" customFormat="1" ht="25.5" customHeight="1">
      <c r="B162" s="33"/>
      <c r="C162" s="151">
        <f>C160+1</f>
        <v>22</v>
      </c>
      <c r="D162" s="151" t="s">
        <v>138</v>
      </c>
      <c r="E162" s="152" t="s">
        <v>192</v>
      </c>
      <c r="F162" s="312" t="s">
        <v>193</v>
      </c>
      <c r="G162" s="312"/>
      <c r="H162" s="312"/>
      <c r="I162" s="312"/>
      <c r="J162" s="153" t="s">
        <v>141</v>
      </c>
      <c r="K162" s="154">
        <v>8.748</v>
      </c>
      <c r="L162" s="233"/>
      <c r="M162" s="220"/>
      <c r="N162" s="307">
        <f>ROUND(L162*K162,2)</f>
        <v>0</v>
      </c>
      <c r="O162" s="307"/>
      <c r="P162" s="307"/>
      <c r="Q162" s="307"/>
      <c r="R162" s="35"/>
      <c r="T162" s="155" t="s">
        <v>19</v>
      </c>
      <c r="U162" s="42" t="s">
        <v>39</v>
      </c>
      <c r="V162" s="156">
        <v>1.586</v>
      </c>
      <c r="W162" s="156">
        <f>V162*K162</f>
        <v>13.874328</v>
      </c>
      <c r="X162" s="156">
        <v>0</v>
      </c>
      <c r="Y162" s="156">
        <f>X162*K162</f>
        <v>0</v>
      </c>
      <c r="Z162" s="156">
        <v>2.27</v>
      </c>
      <c r="AA162" s="157">
        <f>Z162*K162</f>
        <v>19.85796</v>
      </c>
      <c r="AR162" s="20" t="s">
        <v>142</v>
      </c>
      <c r="AT162" s="20" t="s">
        <v>138</v>
      </c>
      <c r="AU162" s="20" t="s">
        <v>96</v>
      </c>
      <c r="AY162" s="20" t="s">
        <v>137</v>
      </c>
      <c r="BE162" s="158">
        <f>IF(U162="základní",N162,0)</f>
        <v>0</v>
      </c>
      <c r="BF162" s="158">
        <f>IF(U162="snížená",N162,0)</f>
        <v>0</v>
      </c>
      <c r="BG162" s="158">
        <f>IF(U162="zákl. přenesená",N162,0)</f>
        <v>0</v>
      </c>
      <c r="BH162" s="158">
        <f>IF(U162="sníž. přenesená",N162,0)</f>
        <v>0</v>
      </c>
      <c r="BI162" s="158">
        <f>IF(U162="nulová",N162,0)</f>
        <v>0</v>
      </c>
      <c r="BJ162" s="20" t="s">
        <v>80</v>
      </c>
      <c r="BK162" s="158">
        <f>ROUND(L162*K162,2)</f>
        <v>0</v>
      </c>
      <c r="BL162" s="20" t="s">
        <v>142</v>
      </c>
      <c r="BM162" s="20" t="s">
        <v>361</v>
      </c>
    </row>
    <row r="163" spans="2:51" s="10" customFormat="1" ht="16.5" customHeight="1">
      <c r="B163" s="159"/>
      <c r="C163" s="160"/>
      <c r="D163" s="160"/>
      <c r="E163" s="161" t="s">
        <v>19</v>
      </c>
      <c r="F163" s="308" t="s">
        <v>362</v>
      </c>
      <c r="G163" s="309"/>
      <c r="H163" s="309"/>
      <c r="I163" s="309"/>
      <c r="J163" s="160"/>
      <c r="K163" s="162">
        <v>8.748</v>
      </c>
      <c r="L163" s="233"/>
      <c r="M163" s="221"/>
      <c r="N163" s="160"/>
      <c r="O163" s="160"/>
      <c r="P163" s="160"/>
      <c r="Q163" s="160"/>
      <c r="R163" s="163"/>
      <c r="T163" s="164"/>
      <c r="U163" s="160"/>
      <c r="V163" s="160"/>
      <c r="W163" s="160"/>
      <c r="X163" s="160"/>
      <c r="Y163" s="160"/>
      <c r="Z163" s="160"/>
      <c r="AA163" s="165"/>
      <c r="AT163" s="166" t="s">
        <v>145</v>
      </c>
      <c r="AU163" s="166" t="s">
        <v>96</v>
      </c>
      <c r="AV163" s="10" t="s">
        <v>96</v>
      </c>
      <c r="AW163" s="10" t="s">
        <v>33</v>
      </c>
      <c r="AX163" s="10" t="s">
        <v>80</v>
      </c>
      <c r="AY163" s="166" t="s">
        <v>137</v>
      </c>
    </row>
    <row r="164" spans="2:65" s="1" customFormat="1" ht="25.5" customHeight="1">
      <c r="B164" s="33"/>
      <c r="C164" s="151">
        <f>C162+1</f>
        <v>23</v>
      </c>
      <c r="D164" s="151" t="s">
        <v>138</v>
      </c>
      <c r="E164" s="209" t="s">
        <v>546</v>
      </c>
      <c r="F164" s="325" t="s">
        <v>519</v>
      </c>
      <c r="G164" s="325"/>
      <c r="H164" s="325"/>
      <c r="I164" s="325"/>
      <c r="J164" s="153" t="s">
        <v>141</v>
      </c>
      <c r="K164" s="154">
        <f>K165</f>
        <v>13.86</v>
      </c>
      <c r="L164" s="233"/>
      <c r="M164" s="220"/>
      <c r="N164" s="307">
        <f>ROUND(L164*K164,2)</f>
        <v>0</v>
      </c>
      <c r="O164" s="307"/>
      <c r="P164" s="307"/>
      <c r="Q164" s="307"/>
      <c r="R164" s="35"/>
      <c r="T164" s="155" t="s">
        <v>19</v>
      </c>
      <c r="U164" s="42" t="s">
        <v>39</v>
      </c>
      <c r="V164" s="156">
        <v>1.586</v>
      </c>
      <c r="W164" s="156">
        <f>V164*K164</f>
        <v>21.98196</v>
      </c>
      <c r="X164" s="156">
        <v>0</v>
      </c>
      <c r="Y164" s="156">
        <f>X164*K164</f>
        <v>0</v>
      </c>
      <c r="Z164" s="156">
        <v>2.27</v>
      </c>
      <c r="AA164" s="157">
        <f>Z164*K164</f>
        <v>31.4622</v>
      </c>
      <c r="AR164" s="20" t="s">
        <v>142</v>
      </c>
      <c r="AT164" s="20" t="s">
        <v>138</v>
      </c>
      <c r="AU164" s="20" t="s">
        <v>96</v>
      </c>
      <c r="AY164" s="20" t="s">
        <v>137</v>
      </c>
      <c r="BE164" s="158">
        <f>IF(U164="základní",N164,0)</f>
        <v>0</v>
      </c>
      <c r="BF164" s="158">
        <f>IF(U164="snížená",N164,0)</f>
        <v>0</v>
      </c>
      <c r="BG164" s="158">
        <f>IF(U164="zákl. přenesená",N164,0)</f>
        <v>0</v>
      </c>
      <c r="BH164" s="158">
        <f>IF(U164="sníž. přenesená",N164,0)</f>
        <v>0</v>
      </c>
      <c r="BI164" s="158">
        <f>IF(U164="nulová",N164,0)</f>
        <v>0</v>
      </c>
      <c r="BJ164" s="20" t="s">
        <v>80</v>
      </c>
      <c r="BK164" s="158">
        <f>ROUND(L164*K164,2)</f>
        <v>0</v>
      </c>
      <c r="BL164" s="20" t="s">
        <v>142</v>
      </c>
      <c r="BM164" s="20" t="s">
        <v>361</v>
      </c>
    </row>
    <row r="165" spans="2:51" s="10" customFormat="1" ht="16.5" customHeight="1">
      <c r="B165" s="159"/>
      <c r="C165" s="203"/>
      <c r="D165" s="203"/>
      <c r="E165" s="161" t="s">
        <v>19</v>
      </c>
      <c r="F165" s="308" t="s">
        <v>520</v>
      </c>
      <c r="G165" s="309"/>
      <c r="H165" s="309"/>
      <c r="I165" s="309"/>
      <c r="J165" s="203"/>
      <c r="K165" s="162">
        <f>(5+5.3*2+1.5*2)*0.3*2.4+2.6*0.6*0.3</f>
        <v>13.86</v>
      </c>
      <c r="L165" s="233"/>
      <c r="M165" s="221"/>
      <c r="N165" s="203"/>
      <c r="O165" s="203"/>
      <c r="P165" s="203"/>
      <c r="Q165" s="203"/>
      <c r="R165" s="163"/>
      <c r="T165" s="164"/>
      <c r="U165" s="203"/>
      <c r="V165" s="203"/>
      <c r="W165" s="203"/>
      <c r="X165" s="203"/>
      <c r="Y165" s="203"/>
      <c r="Z165" s="203"/>
      <c r="AA165" s="165"/>
      <c r="AT165" s="166" t="s">
        <v>145</v>
      </c>
      <c r="AU165" s="166" t="s">
        <v>96</v>
      </c>
      <c r="AV165" s="10" t="s">
        <v>96</v>
      </c>
      <c r="AW165" s="10" t="s">
        <v>33</v>
      </c>
      <c r="AX165" s="10" t="s">
        <v>80</v>
      </c>
      <c r="AY165" s="166" t="s">
        <v>137</v>
      </c>
    </row>
    <row r="166" spans="2:65" s="1" customFormat="1" ht="25.5" customHeight="1">
      <c r="B166" s="33"/>
      <c r="C166" s="151">
        <f>C164+1</f>
        <v>24</v>
      </c>
      <c r="D166" s="151" t="s">
        <v>138</v>
      </c>
      <c r="E166" s="152" t="s">
        <v>280</v>
      </c>
      <c r="F166" s="312" t="s">
        <v>281</v>
      </c>
      <c r="G166" s="312"/>
      <c r="H166" s="312"/>
      <c r="I166" s="312"/>
      <c r="J166" s="153" t="s">
        <v>141</v>
      </c>
      <c r="K166" s="154">
        <f>K170</f>
        <v>11.211999999999998</v>
      </c>
      <c r="L166" s="233"/>
      <c r="M166" s="220"/>
      <c r="N166" s="307">
        <f>ROUND(L166*K166,2)</f>
        <v>0</v>
      </c>
      <c r="O166" s="307"/>
      <c r="P166" s="307"/>
      <c r="Q166" s="307"/>
      <c r="R166" s="35"/>
      <c r="T166" s="155" t="s">
        <v>19</v>
      </c>
      <c r="U166" s="42" t="s">
        <v>39</v>
      </c>
      <c r="V166" s="156">
        <v>6.72</v>
      </c>
      <c r="W166" s="156">
        <f>V166*K166</f>
        <v>75.34463999999998</v>
      </c>
      <c r="X166" s="156">
        <v>0</v>
      </c>
      <c r="Y166" s="156">
        <f>X166*K166</f>
        <v>0</v>
      </c>
      <c r="Z166" s="156">
        <v>2.4</v>
      </c>
      <c r="AA166" s="157">
        <f>Z166*K166</f>
        <v>26.908799999999996</v>
      </c>
      <c r="AR166" s="20" t="s">
        <v>142</v>
      </c>
      <c r="AT166" s="20" t="s">
        <v>138</v>
      </c>
      <c r="AU166" s="20" t="s">
        <v>96</v>
      </c>
      <c r="AY166" s="20" t="s">
        <v>137</v>
      </c>
      <c r="BE166" s="158">
        <f>IF(U166="základní",N166,0)</f>
        <v>0</v>
      </c>
      <c r="BF166" s="158">
        <f>IF(U166="snížená",N166,0)</f>
        <v>0</v>
      </c>
      <c r="BG166" s="158">
        <f>IF(U166="zákl. přenesená",N166,0)</f>
        <v>0</v>
      </c>
      <c r="BH166" s="158">
        <f>IF(U166="sníž. přenesená",N166,0)</f>
        <v>0</v>
      </c>
      <c r="BI166" s="158">
        <f>IF(U166="nulová",N166,0)</f>
        <v>0</v>
      </c>
      <c r="BJ166" s="20" t="s">
        <v>80</v>
      </c>
      <c r="BK166" s="158">
        <f>ROUND(L166*K166,2)</f>
        <v>0</v>
      </c>
      <c r="BL166" s="20" t="s">
        <v>142</v>
      </c>
      <c r="BM166" s="20" t="s">
        <v>363</v>
      </c>
    </row>
    <row r="167" spans="2:51" s="10" customFormat="1" ht="16.5" customHeight="1">
      <c r="B167" s="159"/>
      <c r="C167" s="160"/>
      <c r="D167" s="160"/>
      <c r="E167" s="161" t="s">
        <v>19</v>
      </c>
      <c r="F167" s="308" t="s">
        <v>364</v>
      </c>
      <c r="G167" s="309"/>
      <c r="H167" s="309"/>
      <c r="I167" s="309"/>
      <c r="J167" s="160"/>
      <c r="K167" s="162">
        <v>1.092</v>
      </c>
      <c r="L167" s="233"/>
      <c r="M167" s="221"/>
      <c r="N167" s="160"/>
      <c r="O167" s="160"/>
      <c r="P167" s="160"/>
      <c r="Q167" s="160"/>
      <c r="R167" s="163"/>
      <c r="T167" s="164"/>
      <c r="U167" s="160"/>
      <c r="V167" s="160"/>
      <c r="W167" s="160"/>
      <c r="X167" s="160"/>
      <c r="Y167" s="160"/>
      <c r="Z167" s="160"/>
      <c r="AA167" s="165"/>
      <c r="AT167" s="166" t="s">
        <v>145</v>
      </c>
      <c r="AU167" s="166" t="s">
        <v>96</v>
      </c>
      <c r="AV167" s="10" t="s">
        <v>96</v>
      </c>
      <c r="AW167" s="10" t="s">
        <v>33</v>
      </c>
      <c r="AX167" s="10" t="s">
        <v>73</v>
      </c>
      <c r="AY167" s="166" t="s">
        <v>137</v>
      </c>
    </row>
    <row r="168" spans="2:51" s="10" customFormat="1" ht="16.5" customHeight="1">
      <c r="B168" s="159"/>
      <c r="C168" s="160"/>
      <c r="D168" s="160"/>
      <c r="E168" s="161" t="s">
        <v>19</v>
      </c>
      <c r="F168" s="310" t="s">
        <v>365</v>
      </c>
      <c r="G168" s="311"/>
      <c r="H168" s="311"/>
      <c r="I168" s="311"/>
      <c r="J168" s="160"/>
      <c r="K168" s="162">
        <v>0.928</v>
      </c>
      <c r="L168" s="233"/>
      <c r="M168" s="221"/>
      <c r="N168" s="160"/>
      <c r="O168" s="160"/>
      <c r="P168" s="160"/>
      <c r="Q168" s="160"/>
      <c r="R168" s="163"/>
      <c r="T168" s="164"/>
      <c r="U168" s="160"/>
      <c r="V168" s="160"/>
      <c r="W168" s="160"/>
      <c r="X168" s="160"/>
      <c r="Y168" s="160"/>
      <c r="Z168" s="160"/>
      <c r="AA168" s="165"/>
      <c r="AT168" s="166" t="s">
        <v>145</v>
      </c>
      <c r="AU168" s="166" t="s">
        <v>96</v>
      </c>
      <c r="AV168" s="10" t="s">
        <v>96</v>
      </c>
      <c r="AW168" s="10" t="s">
        <v>33</v>
      </c>
      <c r="AX168" s="10" t="s">
        <v>73</v>
      </c>
      <c r="AY168" s="166" t="s">
        <v>137</v>
      </c>
    </row>
    <row r="169" spans="2:51" s="10" customFormat="1" ht="16.5" customHeight="1">
      <c r="B169" s="159"/>
      <c r="C169" s="160"/>
      <c r="D169" s="160"/>
      <c r="E169" s="161" t="s">
        <v>19</v>
      </c>
      <c r="F169" s="310" t="s">
        <v>524</v>
      </c>
      <c r="G169" s="311"/>
      <c r="H169" s="311"/>
      <c r="I169" s="311"/>
      <c r="J169" s="160"/>
      <c r="K169" s="162">
        <f>(5.6*5.6-0.9*0.8)*0.3</f>
        <v>9.191999999999998</v>
      </c>
      <c r="L169" s="233"/>
      <c r="M169" s="221"/>
      <c r="N169" s="160"/>
      <c r="O169" s="160"/>
      <c r="P169" s="160"/>
      <c r="Q169" s="160"/>
      <c r="R169" s="163"/>
      <c r="T169" s="164"/>
      <c r="U169" s="160"/>
      <c r="V169" s="160"/>
      <c r="W169" s="160"/>
      <c r="X169" s="160"/>
      <c r="Y169" s="160"/>
      <c r="Z169" s="160"/>
      <c r="AA169" s="165"/>
      <c r="AT169" s="166" t="s">
        <v>145</v>
      </c>
      <c r="AU169" s="166" t="s">
        <v>96</v>
      </c>
      <c r="AV169" s="10" t="s">
        <v>96</v>
      </c>
      <c r="AW169" s="10" t="s">
        <v>33</v>
      </c>
      <c r="AX169" s="10" t="s">
        <v>73</v>
      </c>
      <c r="AY169" s="166" t="s">
        <v>137</v>
      </c>
    </row>
    <row r="170" spans="2:51" s="11" customFormat="1" ht="16.5" customHeight="1">
      <c r="B170" s="167"/>
      <c r="C170" s="168"/>
      <c r="D170" s="168"/>
      <c r="E170" s="169" t="s">
        <v>19</v>
      </c>
      <c r="F170" s="303" t="s">
        <v>148</v>
      </c>
      <c r="G170" s="304"/>
      <c r="H170" s="304"/>
      <c r="I170" s="304"/>
      <c r="J170" s="168"/>
      <c r="K170" s="170">
        <f>SUM(K167:K169)</f>
        <v>11.211999999999998</v>
      </c>
      <c r="L170" s="233"/>
      <c r="M170" s="218"/>
      <c r="N170" s="168"/>
      <c r="O170" s="168"/>
      <c r="P170" s="168"/>
      <c r="Q170" s="168"/>
      <c r="R170" s="171"/>
      <c r="T170" s="172"/>
      <c r="U170" s="168"/>
      <c r="V170" s="168"/>
      <c r="W170" s="168"/>
      <c r="X170" s="168"/>
      <c r="Y170" s="168"/>
      <c r="Z170" s="168"/>
      <c r="AA170" s="173"/>
      <c r="AT170" s="174" t="s">
        <v>145</v>
      </c>
      <c r="AU170" s="174" t="s">
        <v>96</v>
      </c>
      <c r="AV170" s="11" t="s">
        <v>142</v>
      </c>
      <c r="AW170" s="11" t="s">
        <v>33</v>
      </c>
      <c r="AX170" s="11" t="s">
        <v>80</v>
      </c>
      <c r="AY170" s="174" t="s">
        <v>137</v>
      </c>
    </row>
    <row r="171" spans="2:65" s="1" customFormat="1" ht="25.5" customHeight="1">
      <c r="B171" s="33"/>
      <c r="C171" s="151">
        <f>C166+1</f>
        <v>25</v>
      </c>
      <c r="D171" s="151" t="s">
        <v>138</v>
      </c>
      <c r="E171" s="152" t="s">
        <v>214</v>
      </c>
      <c r="F171" s="312" t="s">
        <v>313</v>
      </c>
      <c r="G171" s="312"/>
      <c r="H171" s="312"/>
      <c r="I171" s="312"/>
      <c r="J171" s="153" t="s">
        <v>162</v>
      </c>
      <c r="K171" s="154">
        <v>9.6</v>
      </c>
      <c r="L171" s="233"/>
      <c r="M171" s="220"/>
      <c r="N171" s="307">
        <f>ROUND(L171*K171,2)</f>
        <v>0</v>
      </c>
      <c r="O171" s="307"/>
      <c r="P171" s="307"/>
      <c r="Q171" s="307"/>
      <c r="R171" s="35"/>
      <c r="T171" s="155" t="s">
        <v>19</v>
      </c>
      <c r="U171" s="42" t="s">
        <v>39</v>
      </c>
      <c r="V171" s="156">
        <v>0.63</v>
      </c>
      <c r="W171" s="156">
        <f>V171*K171</f>
        <v>6.048</v>
      </c>
      <c r="X171" s="156">
        <v>0</v>
      </c>
      <c r="Y171" s="156">
        <f>X171*K171</f>
        <v>0</v>
      </c>
      <c r="Z171" s="156">
        <v>0.009</v>
      </c>
      <c r="AA171" s="157">
        <f>Z171*K171</f>
        <v>0.08639999999999999</v>
      </c>
      <c r="AR171" s="20" t="s">
        <v>142</v>
      </c>
      <c r="AT171" s="20" t="s">
        <v>138</v>
      </c>
      <c r="AU171" s="20" t="s">
        <v>96</v>
      </c>
      <c r="AY171" s="20" t="s">
        <v>137</v>
      </c>
      <c r="BE171" s="158">
        <f>IF(U171="základní",N171,0)</f>
        <v>0</v>
      </c>
      <c r="BF171" s="158">
        <f>IF(U171="snížená",N171,0)</f>
        <v>0</v>
      </c>
      <c r="BG171" s="158">
        <f>IF(U171="zákl. přenesená",N171,0)</f>
        <v>0</v>
      </c>
      <c r="BH171" s="158">
        <f>IF(U171="sníž. přenesená",N171,0)</f>
        <v>0</v>
      </c>
      <c r="BI171" s="158">
        <f>IF(U171="nulová",N171,0)</f>
        <v>0</v>
      </c>
      <c r="BJ171" s="20" t="s">
        <v>80</v>
      </c>
      <c r="BK171" s="158">
        <f>ROUND(L171*K171,2)</f>
        <v>0</v>
      </c>
      <c r="BL171" s="20" t="s">
        <v>142</v>
      </c>
      <c r="BM171" s="20" t="s">
        <v>366</v>
      </c>
    </row>
    <row r="172" spans="2:51" s="10" customFormat="1" ht="16.5" customHeight="1">
      <c r="B172" s="159"/>
      <c r="C172" s="160"/>
      <c r="D172" s="160"/>
      <c r="E172" s="161" t="s">
        <v>19</v>
      </c>
      <c r="F172" s="308" t="s">
        <v>367</v>
      </c>
      <c r="G172" s="309"/>
      <c r="H172" s="309"/>
      <c r="I172" s="309"/>
      <c r="J172" s="160"/>
      <c r="K172" s="162">
        <v>9.6</v>
      </c>
      <c r="L172" s="233"/>
      <c r="M172" s="221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145</v>
      </c>
      <c r="AU172" s="166" t="s">
        <v>96</v>
      </c>
      <c r="AV172" s="10" t="s">
        <v>96</v>
      </c>
      <c r="AW172" s="10" t="s">
        <v>33</v>
      </c>
      <c r="AX172" s="10" t="s">
        <v>80</v>
      </c>
      <c r="AY172" s="166" t="s">
        <v>137</v>
      </c>
    </row>
    <row r="173" spans="2:65" s="1" customFormat="1" ht="25.5" customHeight="1">
      <c r="B173" s="33"/>
      <c r="C173" s="151">
        <f>C171+1</f>
        <v>26</v>
      </c>
      <c r="D173" s="151" t="s">
        <v>138</v>
      </c>
      <c r="E173" s="152"/>
      <c r="F173" s="312" t="s">
        <v>512</v>
      </c>
      <c r="G173" s="312"/>
      <c r="H173" s="312"/>
      <c r="I173" s="312"/>
      <c r="J173" s="153" t="s">
        <v>256</v>
      </c>
      <c r="K173" s="154">
        <v>6</v>
      </c>
      <c r="L173" s="233"/>
      <c r="M173" s="220"/>
      <c r="N173" s="307">
        <f>ROUND(L173*K173,2)</f>
        <v>0</v>
      </c>
      <c r="O173" s="307"/>
      <c r="P173" s="307"/>
      <c r="Q173" s="307"/>
      <c r="R173" s="35"/>
      <c r="T173" s="155" t="s">
        <v>19</v>
      </c>
      <c r="U173" s="42" t="s">
        <v>39</v>
      </c>
      <c r="V173" s="156">
        <v>0.63</v>
      </c>
      <c r="W173" s="156">
        <f>V173*K173</f>
        <v>3.7800000000000002</v>
      </c>
      <c r="X173" s="156">
        <v>0</v>
      </c>
      <c r="Y173" s="156">
        <f>X173*K173</f>
        <v>0</v>
      </c>
      <c r="Z173" s="156">
        <v>0.009</v>
      </c>
      <c r="AA173" s="157">
        <f>Z173*K173</f>
        <v>0.05399999999999999</v>
      </c>
      <c r="AR173" s="20" t="s">
        <v>142</v>
      </c>
      <c r="AT173" s="20" t="s">
        <v>138</v>
      </c>
      <c r="AU173" s="20" t="s">
        <v>96</v>
      </c>
      <c r="AY173" s="20" t="s">
        <v>137</v>
      </c>
      <c r="BE173" s="158">
        <f>IF(U173="základní",N173,0)</f>
        <v>0</v>
      </c>
      <c r="BF173" s="158">
        <f>IF(U173="snížená",N173,0)</f>
        <v>0</v>
      </c>
      <c r="BG173" s="158">
        <f>IF(U173="zákl. přenesená",N173,0)</f>
        <v>0</v>
      </c>
      <c r="BH173" s="158">
        <f>IF(U173="sníž. přenesená",N173,0)</f>
        <v>0</v>
      </c>
      <c r="BI173" s="158">
        <f>IF(U173="nulová",N173,0)</f>
        <v>0</v>
      </c>
      <c r="BJ173" s="20" t="s">
        <v>80</v>
      </c>
      <c r="BK173" s="158">
        <f>ROUND(L173*K173,2)</f>
        <v>0</v>
      </c>
      <c r="BL173" s="20" t="s">
        <v>142</v>
      </c>
      <c r="BM173" s="20" t="s">
        <v>366</v>
      </c>
    </row>
    <row r="174" spans="2:51" s="10" customFormat="1" ht="16.5" customHeight="1">
      <c r="B174" s="159"/>
      <c r="C174" s="203"/>
      <c r="D174" s="203"/>
      <c r="E174" s="161"/>
      <c r="F174" s="202"/>
      <c r="G174" s="203"/>
      <c r="H174" s="203"/>
      <c r="I174" s="203"/>
      <c r="J174" s="203"/>
      <c r="K174" s="162"/>
      <c r="L174" s="233"/>
      <c r="M174" s="221"/>
      <c r="N174" s="203"/>
      <c r="O174" s="203"/>
      <c r="P174" s="203"/>
      <c r="Q174" s="203"/>
      <c r="R174" s="163"/>
      <c r="T174" s="164"/>
      <c r="U174" s="203"/>
      <c r="V174" s="203"/>
      <c r="W174" s="203"/>
      <c r="X174" s="203"/>
      <c r="Y174" s="203"/>
      <c r="Z174" s="203"/>
      <c r="AA174" s="165"/>
      <c r="AT174" s="166"/>
      <c r="AU174" s="166"/>
      <c r="AY174" s="166"/>
    </row>
    <row r="175" spans="2:63" s="9" customFormat="1" ht="29.85" customHeight="1">
      <c r="B175" s="140"/>
      <c r="C175" s="141"/>
      <c r="D175" s="150" t="s">
        <v>113</v>
      </c>
      <c r="E175" s="150"/>
      <c r="F175" s="150"/>
      <c r="G175" s="150"/>
      <c r="H175" s="150"/>
      <c r="I175" s="150"/>
      <c r="J175" s="150"/>
      <c r="K175" s="150"/>
      <c r="L175" s="233"/>
      <c r="M175" s="150"/>
      <c r="N175" s="301">
        <f>SUM(N176:N178)</f>
        <v>0</v>
      </c>
      <c r="O175" s="302"/>
      <c r="P175" s="302"/>
      <c r="Q175" s="302"/>
      <c r="R175" s="143"/>
      <c r="T175" s="144"/>
      <c r="U175" s="141"/>
      <c r="V175" s="141"/>
      <c r="W175" s="145">
        <f>SUM(W176:W178)</f>
        <v>150.49259999999998</v>
      </c>
      <c r="X175" s="141"/>
      <c r="Y175" s="145">
        <f>SUM(Y176:Y178)</f>
        <v>0</v>
      </c>
      <c r="Z175" s="141"/>
      <c r="AA175" s="146">
        <f>SUM(AA176:AA178)</f>
        <v>0</v>
      </c>
      <c r="AR175" s="147" t="s">
        <v>80</v>
      </c>
      <c r="AT175" s="148" t="s">
        <v>72</v>
      </c>
      <c r="AU175" s="148" t="s">
        <v>80</v>
      </c>
      <c r="AY175" s="147" t="s">
        <v>137</v>
      </c>
      <c r="BK175" s="149">
        <f>SUM(BK176:BK178)</f>
        <v>0</v>
      </c>
    </row>
    <row r="176" spans="2:65" s="1" customFormat="1" ht="25.5" customHeight="1">
      <c r="B176" s="33"/>
      <c r="C176" s="151">
        <f>C173+1</f>
        <v>27</v>
      </c>
      <c r="D176" s="151" t="s">
        <v>138</v>
      </c>
      <c r="E176" s="152" t="s">
        <v>217</v>
      </c>
      <c r="F176" s="312" t="s">
        <v>218</v>
      </c>
      <c r="G176" s="312"/>
      <c r="H176" s="312"/>
      <c r="I176" s="312"/>
      <c r="J176" s="153" t="s">
        <v>152</v>
      </c>
      <c r="K176" s="154">
        <v>78.3</v>
      </c>
      <c r="L176" s="233"/>
      <c r="M176" s="220"/>
      <c r="N176" s="307">
        <f>ROUND(L176*K176,2)</f>
        <v>0</v>
      </c>
      <c r="O176" s="307"/>
      <c r="P176" s="307"/>
      <c r="Q176" s="307"/>
      <c r="R176" s="35"/>
      <c r="T176" s="155" t="s">
        <v>19</v>
      </c>
      <c r="U176" s="42" t="s">
        <v>39</v>
      </c>
      <c r="V176" s="156">
        <v>0.125</v>
      </c>
      <c r="W176" s="156">
        <f>V176*K176</f>
        <v>9.7875</v>
      </c>
      <c r="X176" s="156">
        <v>0</v>
      </c>
      <c r="Y176" s="156">
        <f>X176*K176</f>
        <v>0</v>
      </c>
      <c r="Z176" s="156">
        <v>0</v>
      </c>
      <c r="AA176" s="157">
        <f>Z176*K176</f>
        <v>0</v>
      </c>
      <c r="AR176" s="20" t="s">
        <v>142</v>
      </c>
      <c r="AT176" s="20" t="s">
        <v>138</v>
      </c>
      <c r="AU176" s="20" t="s">
        <v>96</v>
      </c>
      <c r="AY176" s="20" t="s">
        <v>137</v>
      </c>
      <c r="BE176" s="158">
        <f>IF(U176="základní",N176,0)</f>
        <v>0</v>
      </c>
      <c r="BF176" s="158">
        <f>IF(U176="snížená",N176,0)</f>
        <v>0</v>
      </c>
      <c r="BG176" s="158">
        <f>IF(U176="zákl. přenesená",N176,0)</f>
        <v>0</v>
      </c>
      <c r="BH176" s="158">
        <f>IF(U176="sníž. přenesená",N176,0)</f>
        <v>0</v>
      </c>
      <c r="BI176" s="158">
        <f>IF(U176="nulová",N176,0)</f>
        <v>0</v>
      </c>
      <c r="BJ176" s="20" t="s">
        <v>80</v>
      </c>
      <c r="BK176" s="158">
        <f>ROUND(L176*K176,2)</f>
        <v>0</v>
      </c>
      <c r="BL176" s="20" t="s">
        <v>142</v>
      </c>
      <c r="BM176" s="20" t="s">
        <v>368</v>
      </c>
    </row>
    <row r="177" spans="2:65" s="1" customFormat="1" ht="25.5" customHeight="1">
      <c r="B177" s="33"/>
      <c r="C177" s="151">
        <f aca="true" t="shared" si="1" ref="C177:C178">C176+1</f>
        <v>28</v>
      </c>
      <c r="D177" s="151" t="s">
        <v>138</v>
      </c>
      <c r="E177" s="152" t="s">
        <v>220</v>
      </c>
      <c r="F177" s="312" t="s">
        <v>502</v>
      </c>
      <c r="G177" s="312"/>
      <c r="H177" s="312"/>
      <c r="I177" s="312"/>
      <c r="J177" s="153" t="s">
        <v>152</v>
      </c>
      <c r="K177" s="154">
        <v>78.3</v>
      </c>
      <c r="L177" s="233"/>
      <c r="M177" s="220"/>
      <c r="N177" s="307">
        <f>ROUND(L177*K177,2)</f>
        <v>0</v>
      </c>
      <c r="O177" s="307"/>
      <c r="P177" s="307"/>
      <c r="Q177" s="307"/>
      <c r="R177" s="35"/>
      <c r="T177" s="155" t="s">
        <v>19</v>
      </c>
      <c r="U177" s="42" t="s">
        <v>39</v>
      </c>
      <c r="V177" s="156">
        <v>0</v>
      </c>
      <c r="W177" s="156">
        <f>V177*K177</f>
        <v>0</v>
      </c>
      <c r="X177" s="156">
        <v>0</v>
      </c>
      <c r="Y177" s="156">
        <f>X177*K177</f>
        <v>0</v>
      </c>
      <c r="Z177" s="156">
        <v>0</v>
      </c>
      <c r="AA177" s="157">
        <f>Z177*K177</f>
        <v>0</v>
      </c>
      <c r="AR177" s="20" t="s">
        <v>142</v>
      </c>
      <c r="AT177" s="20" t="s">
        <v>138</v>
      </c>
      <c r="AU177" s="20" t="s">
        <v>96</v>
      </c>
      <c r="AY177" s="20" t="s">
        <v>137</v>
      </c>
      <c r="BE177" s="158">
        <f>IF(U177="základní",N177,0)</f>
        <v>0</v>
      </c>
      <c r="BF177" s="158">
        <f>IF(U177="snížená",N177,0)</f>
        <v>0</v>
      </c>
      <c r="BG177" s="158">
        <f>IF(U177="zákl. přenesená",N177,0)</f>
        <v>0</v>
      </c>
      <c r="BH177" s="158">
        <f>IF(U177="sníž. přenesená",N177,0)</f>
        <v>0</v>
      </c>
      <c r="BI177" s="158">
        <f>IF(U177="nulová",N177,0)</f>
        <v>0</v>
      </c>
      <c r="BJ177" s="20" t="s">
        <v>80</v>
      </c>
      <c r="BK177" s="158">
        <f>ROUND(L177*K177,2)</f>
        <v>0</v>
      </c>
      <c r="BL177" s="20" t="s">
        <v>142</v>
      </c>
      <c r="BM177" s="20" t="s">
        <v>369</v>
      </c>
    </row>
    <row r="178" spans="2:65" s="1" customFormat="1" ht="25.5" customHeight="1">
      <c r="B178" s="33"/>
      <c r="C178" s="151">
        <f t="shared" si="1"/>
        <v>29</v>
      </c>
      <c r="D178" s="151" t="s">
        <v>138</v>
      </c>
      <c r="E178" s="152" t="s">
        <v>223</v>
      </c>
      <c r="F178" s="312" t="s">
        <v>224</v>
      </c>
      <c r="G178" s="312"/>
      <c r="H178" s="312"/>
      <c r="I178" s="312"/>
      <c r="J178" s="153" t="s">
        <v>152</v>
      </c>
      <c r="K178" s="154">
        <v>78.3</v>
      </c>
      <c r="L178" s="233"/>
      <c r="M178" s="220"/>
      <c r="N178" s="307">
        <f>ROUND(L178*K178,2)</f>
        <v>0</v>
      </c>
      <c r="O178" s="307"/>
      <c r="P178" s="307"/>
      <c r="Q178" s="307"/>
      <c r="R178" s="35"/>
      <c r="T178" s="155" t="s">
        <v>19</v>
      </c>
      <c r="U178" s="42" t="s">
        <v>39</v>
      </c>
      <c r="V178" s="156">
        <v>1.797</v>
      </c>
      <c r="W178" s="156">
        <f>V178*K178</f>
        <v>140.7051</v>
      </c>
      <c r="X178" s="156">
        <v>0</v>
      </c>
      <c r="Y178" s="156">
        <f>X178*K178</f>
        <v>0</v>
      </c>
      <c r="Z178" s="156">
        <v>0</v>
      </c>
      <c r="AA178" s="157">
        <f>Z178*K178</f>
        <v>0</v>
      </c>
      <c r="AR178" s="20" t="s">
        <v>142</v>
      </c>
      <c r="AT178" s="20" t="s">
        <v>138</v>
      </c>
      <c r="AU178" s="20" t="s">
        <v>96</v>
      </c>
      <c r="AY178" s="20" t="s">
        <v>137</v>
      </c>
      <c r="BE178" s="158">
        <f>IF(U178="základní",N178,0)</f>
        <v>0</v>
      </c>
      <c r="BF178" s="158">
        <f>IF(U178="snížená",N178,0)</f>
        <v>0</v>
      </c>
      <c r="BG178" s="158">
        <f>IF(U178="zákl. přenesená",N178,0)</f>
        <v>0</v>
      </c>
      <c r="BH178" s="158">
        <f>IF(U178="sníž. přenesená",N178,0)</f>
        <v>0</v>
      </c>
      <c r="BI178" s="158">
        <f>IF(U178="nulová",N178,0)</f>
        <v>0</v>
      </c>
      <c r="BJ178" s="20" t="s">
        <v>80</v>
      </c>
      <c r="BK178" s="158">
        <f>ROUND(L178*K178,2)</f>
        <v>0</v>
      </c>
      <c r="BL178" s="20" t="s">
        <v>142</v>
      </c>
      <c r="BM178" s="20" t="s">
        <v>370</v>
      </c>
    </row>
    <row r="179" spans="2:63" s="9" customFormat="1" ht="37.35" customHeight="1">
      <c r="B179" s="140"/>
      <c r="C179" s="141"/>
      <c r="D179" s="142" t="s">
        <v>114</v>
      </c>
      <c r="E179" s="142"/>
      <c r="F179" s="142"/>
      <c r="G179" s="142"/>
      <c r="H179" s="142"/>
      <c r="I179" s="142"/>
      <c r="J179" s="142"/>
      <c r="K179" s="142"/>
      <c r="L179" s="233"/>
      <c r="M179" s="142"/>
      <c r="N179" s="315">
        <f>N180+N194+N198+N200</f>
        <v>0</v>
      </c>
      <c r="O179" s="316"/>
      <c r="P179" s="316"/>
      <c r="Q179" s="316"/>
      <c r="R179" s="143"/>
      <c r="T179" s="144"/>
      <c r="U179" s="141"/>
      <c r="V179" s="141"/>
      <c r="W179" s="145">
        <f>W180+W198+W200</f>
        <v>4.119272</v>
      </c>
      <c r="X179" s="141"/>
      <c r="Y179" s="145">
        <f>Y180+Y198+Y200</f>
        <v>0.0464444</v>
      </c>
      <c r="Z179" s="141"/>
      <c r="AA179" s="146">
        <f>AA180+AA198+AA200</f>
        <v>0.02684</v>
      </c>
      <c r="AR179" s="147" t="s">
        <v>96</v>
      </c>
      <c r="AT179" s="148" t="s">
        <v>72</v>
      </c>
      <c r="AU179" s="148" t="s">
        <v>73</v>
      </c>
      <c r="AY179" s="147" t="s">
        <v>137</v>
      </c>
      <c r="BK179" s="149">
        <f>BK180+BK198+BK200</f>
        <v>0</v>
      </c>
    </row>
    <row r="180" spans="2:63" s="9" customFormat="1" ht="19.9" customHeight="1">
      <c r="B180" s="140"/>
      <c r="C180" s="141"/>
      <c r="D180" s="150" t="s">
        <v>115</v>
      </c>
      <c r="E180" s="150"/>
      <c r="F180" s="150"/>
      <c r="G180" s="150"/>
      <c r="H180" s="150"/>
      <c r="I180" s="150"/>
      <c r="J180" s="150"/>
      <c r="K180" s="150"/>
      <c r="L180" s="233"/>
      <c r="M180" s="150"/>
      <c r="N180" s="301">
        <f>SUM(N181:N192)</f>
        <v>0</v>
      </c>
      <c r="O180" s="302"/>
      <c r="P180" s="302"/>
      <c r="Q180" s="302"/>
      <c r="R180" s="143"/>
      <c r="T180" s="144"/>
      <c r="U180" s="141"/>
      <c r="V180" s="141"/>
      <c r="W180" s="145">
        <f>SUM(W181:W189)</f>
        <v>2.729272</v>
      </c>
      <c r="X180" s="141"/>
      <c r="Y180" s="145">
        <f>SUM(Y181:Y189)</f>
        <v>0.0464444</v>
      </c>
      <c r="Z180" s="141"/>
      <c r="AA180" s="146">
        <f>SUM(AA181:AA189)</f>
        <v>0</v>
      </c>
      <c r="AR180" s="147" t="s">
        <v>96</v>
      </c>
      <c r="AT180" s="148" t="s">
        <v>72</v>
      </c>
      <c r="AU180" s="148" t="s">
        <v>80</v>
      </c>
      <c r="AY180" s="147" t="s">
        <v>137</v>
      </c>
      <c r="BK180" s="149">
        <f>SUM(BK181:BK189)</f>
        <v>0</v>
      </c>
    </row>
    <row r="181" spans="2:65" s="1" customFormat="1" ht="38.25" customHeight="1">
      <c r="B181" s="33"/>
      <c r="C181" s="151">
        <f>C178+1</f>
        <v>30</v>
      </c>
      <c r="D181" s="151" t="s">
        <v>138</v>
      </c>
      <c r="E181" s="152" t="s">
        <v>226</v>
      </c>
      <c r="F181" s="312" t="s">
        <v>227</v>
      </c>
      <c r="G181" s="312"/>
      <c r="H181" s="312"/>
      <c r="I181" s="312"/>
      <c r="J181" s="153" t="s">
        <v>162</v>
      </c>
      <c r="K181" s="154">
        <v>7.28</v>
      </c>
      <c r="L181" s="233"/>
      <c r="M181" s="220"/>
      <c r="N181" s="307">
        <f>ROUND(L181*K181,2)</f>
        <v>0</v>
      </c>
      <c r="O181" s="307"/>
      <c r="P181" s="307"/>
      <c r="Q181" s="307"/>
      <c r="R181" s="35"/>
      <c r="T181" s="155" t="s">
        <v>19</v>
      </c>
      <c r="U181" s="42" t="s">
        <v>39</v>
      </c>
      <c r="V181" s="156">
        <v>0.024</v>
      </c>
      <c r="W181" s="156">
        <f>V181*K181</f>
        <v>0.17472000000000001</v>
      </c>
      <c r="X181" s="156">
        <v>0</v>
      </c>
      <c r="Y181" s="156">
        <f>X181*K181</f>
        <v>0</v>
      </c>
      <c r="Z181" s="156">
        <v>0</v>
      </c>
      <c r="AA181" s="157">
        <f>Z181*K181</f>
        <v>0</v>
      </c>
      <c r="AR181" s="20" t="s">
        <v>169</v>
      </c>
      <c r="AT181" s="20" t="s">
        <v>138</v>
      </c>
      <c r="AU181" s="20" t="s">
        <v>96</v>
      </c>
      <c r="AY181" s="20" t="s">
        <v>137</v>
      </c>
      <c r="BE181" s="158">
        <f>IF(U181="základní",N181,0)</f>
        <v>0</v>
      </c>
      <c r="BF181" s="158">
        <f>IF(U181="snížená",N181,0)</f>
        <v>0</v>
      </c>
      <c r="BG181" s="158">
        <f>IF(U181="zákl. přenesená",N181,0)</f>
        <v>0</v>
      </c>
      <c r="BH181" s="158">
        <f>IF(U181="sníž. přenesená",N181,0)</f>
        <v>0</v>
      </c>
      <c r="BI181" s="158">
        <f>IF(U181="nulová",N181,0)</f>
        <v>0</v>
      </c>
      <c r="BJ181" s="20" t="s">
        <v>80</v>
      </c>
      <c r="BK181" s="158">
        <f>ROUND(L181*K181,2)</f>
        <v>0</v>
      </c>
      <c r="BL181" s="20" t="s">
        <v>169</v>
      </c>
      <c r="BM181" s="20" t="s">
        <v>371</v>
      </c>
    </row>
    <row r="182" spans="2:51" s="10" customFormat="1" ht="16.5" customHeight="1">
      <c r="B182" s="159"/>
      <c r="C182" s="160"/>
      <c r="D182" s="160"/>
      <c r="E182" s="161" t="s">
        <v>19</v>
      </c>
      <c r="F182" s="308" t="s">
        <v>359</v>
      </c>
      <c r="G182" s="309"/>
      <c r="H182" s="309"/>
      <c r="I182" s="309"/>
      <c r="J182" s="160"/>
      <c r="K182" s="162">
        <v>7.28</v>
      </c>
      <c r="L182" s="233"/>
      <c r="M182" s="221"/>
      <c r="N182" s="160"/>
      <c r="O182" s="160"/>
      <c r="P182" s="160"/>
      <c r="Q182" s="160"/>
      <c r="R182" s="163"/>
      <c r="T182" s="164"/>
      <c r="U182" s="160"/>
      <c r="V182" s="160"/>
      <c r="W182" s="160"/>
      <c r="X182" s="160"/>
      <c r="Y182" s="160"/>
      <c r="Z182" s="160"/>
      <c r="AA182" s="165"/>
      <c r="AT182" s="166" t="s">
        <v>145</v>
      </c>
      <c r="AU182" s="166" t="s">
        <v>96</v>
      </c>
      <c r="AV182" s="10" t="s">
        <v>96</v>
      </c>
      <c r="AW182" s="10" t="s">
        <v>33</v>
      </c>
      <c r="AX182" s="10" t="s">
        <v>80</v>
      </c>
      <c r="AY182" s="166" t="s">
        <v>137</v>
      </c>
    </row>
    <row r="183" spans="2:65" s="1" customFormat="1" ht="16.5" customHeight="1">
      <c r="B183" s="33"/>
      <c r="C183" s="151">
        <f>C181+1</f>
        <v>31</v>
      </c>
      <c r="D183" s="175" t="s">
        <v>149</v>
      </c>
      <c r="E183" s="176" t="s">
        <v>229</v>
      </c>
      <c r="F183" s="305" t="s">
        <v>230</v>
      </c>
      <c r="G183" s="305"/>
      <c r="H183" s="305"/>
      <c r="I183" s="305"/>
      <c r="J183" s="177" t="s">
        <v>152</v>
      </c>
      <c r="K183" s="178">
        <v>0.002</v>
      </c>
      <c r="L183" s="233"/>
      <c r="M183" s="219"/>
      <c r="N183" s="306">
        <f>ROUND(L183*K183,2)</f>
        <v>0</v>
      </c>
      <c r="O183" s="307"/>
      <c r="P183" s="307"/>
      <c r="Q183" s="307"/>
      <c r="R183" s="35"/>
      <c r="T183" s="155" t="s">
        <v>19</v>
      </c>
      <c r="U183" s="42" t="s">
        <v>39</v>
      </c>
      <c r="V183" s="156">
        <v>0</v>
      </c>
      <c r="W183" s="156">
        <f>V183*K183</f>
        <v>0</v>
      </c>
      <c r="X183" s="156">
        <v>1</v>
      </c>
      <c r="Y183" s="156">
        <f>X183*K183</f>
        <v>0.002</v>
      </c>
      <c r="Z183" s="156">
        <v>0</v>
      </c>
      <c r="AA183" s="157">
        <f>Z183*K183</f>
        <v>0</v>
      </c>
      <c r="AR183" s="20" t="s">
        <v>199</v>
      </c>
      <c r="AT183" s="20" t="s">
        <v>149</v>
      </c>
      <c r="AU183" s="20" t="s">
        <v>96</v>
      </c>
      <c r="AY183" s="20" t="s">
        <v>137</v>
      </c>
      <c r="BE183" s="158">
        <f>IF(U183="základní",N183,0)</f>
        <v>0</v>
      </c>
      <c r="BF183" s="158">
        <f>IF(U183="snížená",N183,0)</f>
        <v>0</v>
      </c>
      <c r="BG183" s="158">
        <f>IF(U183="zákl. přenesená",N183,0)</f>
        <v>0</v>
      </c>
      <c r="BH183" s="158">
        <f>IF(U183="sníž. přenesená",N183,0)</f>
        <v>0</v>
      </c>
      <c r="BI183" s="158">
        <f>IF(U183="nulová",N183,0)</f>
        <v>0</v>
      </c>
      <c r="BJ183" s="20" t="s">
        <v>80</v>
      </c>
      <c r="BK183" s="158">
        <f>ROUND(L183*K183,2)</f>
        <v>0</v>
      </c>
      <c r="BL183" s="20" t="s">
        <v>169</v>
      </c>
      <c r="BM183" s="20" t="s">
        <v>372</v>
      </c>
    </row>
    <row r="184" spans="2:65" s="1" customFormat="1" ht="25.5" customHeight="1">
      <c r="B184" s="33"/>
      <c r="C184" s="151">
        <f>C183+1</f>
        <v>32</v>
      </c>
      <c r="D184" s="151" t="s">
        <v>138</v>
      </c>
      <c r="E184" s="152" t="s">
        <v>232</v>
      </c>
      <c r="F184" s="312" t="s">
        <v>233</v>
      </c>
      <c r="G184" s="312"/>
      <c r="H184" s="312"/>
      <c r="I184" s="312"/>
      <c r="J184" s="153" t="s">
        <v>162</v>
      </c>
      <c r="K184" s="154">
        <v>8.008</v>
      </c>
      <c r="L184" s="233"/>
      <c r="M184" s="220"/>
      <c r="N184" s="307">
        <f>ROUND(L184*K184,2)</f>
        <v>0</v>
      </c>
      <c r="O184" s="307"/>
      <c r="P184" s="307"/>
      <c r="Q184" s="307"/>
      <c r="R184" s="35"/>
      <c r="T184" s="155" t="s">
        <v>19</v>
      </c>
      <c r="U184" s="42" t="s">
        <v>39</v>
      </c>
      <c r="V184" s="156">
        <v>0.222</v>
      </c>
      <c r="W184" s="156">
        <f>V184*K184</f>
        <v>1.7777759999999998</v>
      </c>
      <c r="X184" s="156">
        <v>0.0004</v>
      </c>
      <c r="Y184" s="156">
        <f>X184*K184</f>
        <v>0.0032032</v>
      </c>
      <c r="Z184" s="156">
        <v>0</v>
      </c>
      <c r="AA184" s="157">
        <f>Z184*K184</f>
        <v>0</v>
      </c>
      <c r="AR184" s="20" t="s">
        <v>169</v>
      </c>
      <c r="AT184" s="20" t="s">
        <v>138</v>
      </c>
      <c r="AU184" s="20" t="s">
        <v>96</v>
      </c>
      <c r="AY184" s="20" t="s">
        <v>137</v>
      </c>
      <c r="BE184" s="158">
        <f>IF(U184="základní",N184,0)</f>
        <v>0</v>
      </c>
      <c r="BF184" s="158">
        <f>IF(U184="snížená",N184,0)</f>
        <v>0</v>
      </c>
      <c r="BG184" s="158">
        <f>IF(U184="zákl. přenesená",N184,0)</f>
        <v>0</v>
      </c>
      <c r="BH184" s="158">
        <f>IF(U184="sníž. přenesená",N184,0)</f>
        <v>0</v>
      </c>
      <c r="BI184" s="158">
        <f>IF(U184="nulová",N184,0)</f>
        <v>0</v>
      </c>
      <c r="BJ184" s="20" t="s">
        <v>80</v>
      </c>
      <c r="BK184" s="158">
        <f>ROUND(L184*K184,2)</f>
        <v>0</v>
      </c>
      <c r="BL184" s="20" t="s">
        <v>169</v>
      </c>
      <c r="BM184" s="20" t="s">
        <v>373</v>
      </c>
    </row>
    <row r="185" spans="2:51" s="10" customFormat="1" ht="16.5" customHeight="1">
      <c r="B185" s="159"/>
      <c r="C185" s="160"/>
      <c r="D185" s="160"/>
      <c r="E185" s="161" t="s">
        <v>19</v>
      </c>
      <c r="F185" s="308" t="s">
        <v>374</v>
      </c>
      <c r="G185" s="309"/>
      <c r="H185" s="309"/>
      <c r="I185" s="309"/>
      <c r="J185" s="160"/>
      <c r="K185" s="162">
        <v>8.008</v>
      </c>
      <c r="L185" s="233"/>
      <c r="M185" s="221"/>
      <c r="N185" s="160"/>
      <c r="O185" s="160"/>
      <c r="P185" s="160"/>
      <c r="Q185" s="160"/>
      <c r="R185" s="163"/>
      <c r="T185" s="164"/>
      <c r="U185" s="160"/>
      <c r="V185" s="160"/>
      <c r="W185" s="160"/>
      <c r="X185" s="160"/>
      <c r="Y185" s="160"/>
      <c r="Z185" s="160"/>
      <c r="AA185" s="165"/>
      <c r="AT185" s="166" t="s">
        <v>145</v>
      </c>
      <c r="AU185" s="166" t="s">
        <v>96</v>
      </c>
      <c r="AV185" s="10" t="s">
        <v>96</v>
      </c>
      <c r="AW185" s="10" t="s">
        <v>33</v>
      </c>
      <c r="AX185" s="10" t="s">
        <v>80</v>
      </c>
      <c r="AY185" s="166" t="s">
        <v>137</v>
      </c>
    </row>
    <row r="186" spans="2:65" s="1" customFormat="1" ht="25.5" customHeight="1">
      <c r="B186" s="33"/>
      <c r="C186" s="151">
        <f>C184+1</f>
        <v>33</v>
      </c>
      <c r="D186" s="175" t="s">
        <v>149</v>
      </c>
      <c r="E186" s="176" t="s">
        <v>200</v>
      </c>
      <c r="F186" s="305" t="s">
        <v>201</v>
      </c>
      <c r="G186" s="305"/>
      <c r="H186" s="305"/>
      <c r="I186" s="305"/>
      <c r="J186" s="177" t="s">
        <v>162</v>
      </c>
      <c r="K186" s="178">
        <v>8.008</v>
      </c>
      <c r="L186" s="233"/>
      <c r="M186" s="219"/>
      <c r="N186" s="306">
        <f>ROUND(L186*K186,2)</f>
        <v>0</v>
      </c>
      <c r="O186" s="307"/>
      <c r="P186" s="307"/>
      <c r="Q186" s="307"/>
      <c r="R186" s="35"/>
      <c r="T186" s="155" t="s">
        <v>19</v>
      </c>
      <c r="U186" s="42" t="s">
        <v>39</v>
      </c>
      <c r="V186" s="156">
        <v>0</v>
      </c>
      <c r="W186" s="156">
        <f>V186*K186</f>
        <v>0</v>
      </c>
      <c r="X186" s="156">
        <v>0.0043</v>
      </c>
      <c r="Y186" s="156">
        <f>X186*K186</f>
        <v>0.0344344</v>
      </c>
      <c r="Z186" s="156">
        <v>0</v>
      </c>
      <c r="AA186" s="157">
        <f>Z186*K186</f>
        <v>0</v>
      </c>
      <c r="AR186" s="20" t="s">
        <v>153</v>
      </c>
      <c r="AT186" s="20" t="s">
        <v>149</v>
      </c>
      <c r="AU186" s="20" t="s">
        <v>96</v>
      </c>
      <c r="AY186" s="20" t="s">
        <v>137</v>
      </c>
      <c r="BE186" s="158">
        <f>IF(U186="základní",N186,0)</f>
        <v>0</v>
      </c>
      <c r="BF186" s="158">
        <f>IF(U186="snížená",N186,0)</f>
        <v>0</v>
      </c>
      <c r="BG186" s="158">
        <f>IF(U186="zákl. přenesená",N186,0)</f>
        <v>0</v>
      </c>
      <c r="BH186" s="158">
        <f>IF(U186="sníž. přenesená",N186,0)</f>
        <v>0</v>
      </c>
      <c r="BI186" s="158">
        <f>IF(U186="nulová",N186,0)</f>
        <v>0</v>
      </c>
      <c r="BJ186" s="20" t="s">
        <v>80</v>
      </c>
      <c r="BK186" s="158">
        <f>ROUND(L186*K186,2)</f>
        <v>0</v>
      </c>
      <c r="BL186" s="20" t="s">
        <v>142</v>
      </c>
      <c r="BM186" s="20" t="s">
        <v>355</v>
      </c>
    </row>
    <row r="187" spans="2:51" s="10" customFormat="1" ht="16.5" customHeight="1">
      <c r="B187" s="159"/>
      <c r="C187" s="160"/>
      <c r="D187" s="160"/>
      <c r="E187" s="161" t="s">
        <v>19</v>
      </c>
      <c r="F187" s="308" t="s">
        <v>356</v>
      </c>
      <c r="G187" s="309"/>
      <c r="H187" s="309"/>
      <c r="I187" s="309"/>
      <c r="J187" s="160"/>
      <c r="K187" s="162">
        <v>8.008</v>
      </c>
      <c r="L187" s="233"/>
      <c r="M187" s="221"/>
      <c r="N187" s="160"/>
      <c r="O187" s="160"/>
      <c r="P187" s="160"/>
      <c r="Q187" s="160"/>
      <c r="R187" s="163"/>
      <c r="T187" s="164"/>
      <c r="U187" s="160"/>
      <c r="V187" s="160"/>
      <c r="W187" s="160"/>
      <c r="X187" s="160"/>
      <c r="Y187" s="160"/>
      <c r="Z187" s="160"/>
      <c r="AA187" s="165"/>
      <c r="AT187" s="166" t="s">
        <v>145</v>
      </c>
      <c r="AU187" s="166" t="s">
        <v>96</v>
      </c>
      <c r="AV187" s="10" t="s">
        <v>96</v>
      </c>
      <c r="AW187" s="10" t="s">
        <v>33</v>
      </c>
      <c r="AX187" s="10" t="s">
        <v>80</v>
      </c>
      <c r="AY187" s="166" t="s">
        <v>137</v>
      </c>
    </row>
    <row r="188" spans="2:65" s="1" customFormat="1" ht="38.25" customHeight="1">
      <c r="B188" s="33"/>
      <c r="C188" s="151">
        <f>C186+1</f>
        <v>34</v>
      </c>
      <c r="D188" s="151" t="s">
        <v>138</v>
      </c>
      <c r="E188" s="152" t="s">
        <v>236</v>
      </c>
      <c r="F188" s="312" t="s">
        <v>237</v>
      </c>
      <c r="G188" s="312"/>
      <c r="H188" s="312"/>
      <c r="I188" s="312"/>
      <c r="J188" s="153" t="s">
        <v>162</v>
      </c>
      <c r="K188" s="154">
        <v>8.008</v>
      </c>
      <c r="L188" s="233"/>
      <c r="M188" s="220"/>
      <c r="N188" s="307">
        <f>ROUND(L188*K188,2)</f>
        <v>0</v>
      </c>
      <c r="O188" s="307"/>
      <c r="P188" s="307"/>
      <c r="Q188" s="307"/>
      <c r="R188" s="35"/>
      <c r="T188" s="155" t="s">
        <v>19</v>
      </c>
      <c r="U188" s="42" t="s">
        <v>39</v>
      </c>
      <c r="V188" s="156">
        <v>0.097</v>
      </c>
      <c r="W188" s="156">
        <f>V188*K188</f>
        <v>0.7767759999999999</v>
      </c>
      <c r="X188" s="156">
        <v>0.00085</v>
      </c>
      <c r="Y188" s="156">
        <f>X188*K188</f>
        <v>0.006806799999999999</v>
      </c>
      <c r="Z188" s="156">
        <v>0</v>
      </c>
      <c r="AA188" s="157">
        <f>Z188*K188</f>
        <v>0</v>
      </c>
      <c r="AR188" s="20" t="s">
        <v>169</v>
      </c>
      <c r="AT188" s="20" t="s">
        <v>138</v>
      </c>
      <c r="AU188" s="20" t="s">
        <v>96</v>
      </c>
      <c r="AY188" s="20" t="s">
        <v>137</v>
      </c>
      <c r="BE188" s="158">
        <f>IF(U188="základní",N188,0)</f>
        <v>0</v>
      </c>
      <c r="BF188" s="158">
        <f>IF(U188="snížená",N188,0)</f>
        <v>0</v>
      </c>
      <c r="BG188" s="158">
        <f>IF(U188="zákl. přenesená",N188,0)</f>
        <v>0</v>
      </c>
      <c r="BH188" s="158">
        <f>IF(U188="sníž. přenesená",N188,0)</f>
        <v>0</v>
      </c>
      <c r="BI188" s="158">
        <f>IF(U188="nulová",N188,0)</f>
        <v>0</v>
      </c>
      <c r="BJ188" s="20" t="s">
        <v>80</v>
      </c>
      <c r="BK188" s="158">
        <f>ROUND(L188*K188,2)</f>
        <v>0</v>
      </c>
      <c r="BL188" s="20" t="s">
        <v>169</v>
      </c>
      <c r="BM188" s="20" t="s">
        <v>375</v>
      </c>
    </row>
    <row r="189" spans="2:51" s="10" customFormat="1" ht="16.5" customHeight="1">
      <c r="B189" s="159"/>
      <c r="C189" s="160"/>
      <c r="D189" s="160"/>
      <c r="E189" s="161" t="s">
        <v>19</v>
      </c>
      <c r="F189" s="308" t="s">
        <v>374</v>
      </c>
      <c r="G189" s="309"/>
      <c r="H189" s="309"/>
      <c r="I189" s="309"/>
      <c r="J189" s="160"/>
      <c r="K189" s="162">
        <v>8.008</v>
      </c>
      <c r="L189" s="233"/>
      <c r="M189" s="221"/>
      <c r="N189" s="160"/>
      <c r="O189" s="160"/>
      <c r="P189" s="160"/>
      <c r="Q189" s="160"/>
      <c r="R189" s="163"/>
      <c r="T189" s="164"/>
      <c r="U189" s="160"/>
      <c r="V189" s="160"/>
      <c r="W189" s="160"/>
      <c r="X189" s="160"/>
      <c r="Y189" s="160"/>
      <c r="Z189" s="160"/>
      <c r="AA189" s="165"/>
      <c r="AT189" s="166" t="s">
        <v>145</v>
      </c>
      <c r="AU189" s="166" t="s">
        <v>96</v>
      </c>
      <c r="AV189" s="10" t="s">
        <v>96</v>
      </c>
      <c r="AW189" s="10" t="s">
        <v>33</v>
      </c>
      <c r="AX189" s="10" t="s">
        <v>80</v>
      </c>
      <c r="AY189" s="166" t="s">
        <v>137</v>
      </c>
    </row>
    <row r="190" spans="2:65" s="1" customFormat="1" ht="16.5" customHeight="1">
      <c r="B190" s="33"/>
      <c r="C190" s="151">
        <f>C188+1</f>
        <v>35</v>
      </c>
      <c r="D190" s="175" t="s">
        <v>149</v>
      </c>
      <c r="E190" s="176" t="s">
        <v>204</v>
      </c>
      <c r="F190" s="305" t="s">
        <v>205</v>
      </c>
      <c r="G190" s="305"/>
      <c r="H190" s="305"/>
      <c r="I190" s="305"/>
      <c r="J190" s="177" t="s">
        <v>162</v>
      </c>
      <c r="K190" s="178">
        <v>8.008</v>
      </c>
      <c r="L190" s="233"/>
      <c r="M190" s="219"/>
      <c r="N190" s="306">
        <f>ROUND(L190*K190,2)</f>
        <v>0</v>
      </c>
      <c r="O190" s="307"/>
      <c r="P190" s="307"/>
      <c r="Q190" s="307"/>
      <c r="R190" s="35"/>
      <c r="T190" s="155" t="s">
        <v>19</v>
      </c>
      <c r="U190" s="42" t="s">
        <v>39</v>
      </c>
      <c r="V190" s="156">
        <v>0</v>
      </c>
      <c r="W190" s="156">
        <f>V190*K190</f>
        <v>0</v>
      </c>
      <c r="X190" s="156">
        <v>0.0003</v>
      </c>
      <c r="Y190" s="156">
        <f>X190*K190</f>
        <v>0.0024023999999999994</v>
      </c>
      <c r="Z190" s="156">
        <v>0</v>
      </c>
      <c r="AA190" s="157">
        <f>Z190*K190</f>
        <v>0</v>
      </c>
      <c r="AR190" s="20" t="s">
        <v>153</v>
      </c>
      <c r="AT190" s="20" t="s">
        <v>149</v>
      </c>
      <c r="AU190" s="20" t="s">
        <v>96</v>
      </c>
      <c r="AY190" s="20" t="s">
        <v>137</v>
      </c>
      <c r="BE190" s="158">
        <f>IF(U190="základní",N190,0)</f>
        <v>0</v>
      </c>
      <c r="BF190" s="158">
        <f>IF(U190="snížená",N190,0)</f>
        <v>0</v>
      </c>
      <c r="BG190" s="158">
        <f>IF(U190="zákl. přenesená",N190,0)</f>
        <v>0</v>
      </c>
      <c r="BH190" s="158">
        <f>IF(U190="sníž. přenesená",N190,0)</f>
        <v>0</v>
      </c>
      <c r="BI190" s="158">
        <f>IF(U190="nulová",N190,0)</f>
        <v>0</v>
      </c>
      <c r="BJ190" s="20" t="s">
        <v>80</v>
      </c>
      <c r="BK190" s="158">
        <f>ROUND(L190*K190,2)</f>
        <v>0</v>
      </c>
      <c r="BL190" s="20" t="s">
        <v>142</v>
      </c>
      <c r="BM190" s="20" t="s">
        <v>357</v>
      </c>
    </row>
    <row r="191" spans="2:51" s="10" customFormat="1" ht="16.5" customHeight="1">
      <c r="B191" s="159"/>
      <c r="C191" s="160"/>
      <c r="D191" s="160"/>
      <c r="E191" s="161" t="s">
        <v>19</v>
      </c>
      <c r="F191" s="308" t="s">
        <v>356</v>
      </c>
      <c r="G191" s="309"/>
      <c r="H191" s="309"/>
      <c r="I191" s="309"/>
      <c r="J191" s="160"/>
      <c r="K191" s="162">
        <v>8.008</v>
      </c>
      <c r="L191" s="233"/>
      <c r="M191" s="221"/>
      <c r="N191" s="160"/>
      <c r="O191" s="160"/>
      <c r="P191" s="160"/>
      <c r="Q191" s="160"/>
      <c r="R191" s="163"/>
      <c r="T191" s="164"/>
      <c r="U191" s="160"/>
      <c r="V191" s="160"/>
      <c r="W191" s="160"/>
      <c r="X191" s="160"/>
      <c r="Y191" s="160"/>
      <c r="Z191" s="160"/>
      <c r="AA191" s="165"/>
      <c r="AT191" s="166" t="s">
        <v>145</v>
      </c>
      <c r="AU191" s="166" t="s">
        <v>96</v>
      </c>
      <c r="AV191" s="10" t="s">
        <v>96</v>
      </c>
      <c r="AW191" s="10" t="s">
        <v>33</v>
      </c>
      <c r="AX191" s="10" t="s">
        <v>80</v>
      </c>
      <c r="AY191" s="166" t="s">
        <v>137</v>
      </c>
    </row>
    <row r="192" spans="2:65" s="1" customFormat="1" ht="25.5" customHeight="1">
      <c r="B192" s="33"/>
      <c r="C192" s="151">
        <f>C190+1</f>
        <v>36</v>
      </c>
      <c r="D192" s="175" t="s">
        <v>149</v>
      </c>
      <c r="E192" s="176" t="s">
        <v>211</v>
      </c>
      <c r="F192" s="305" t="s">
        <v>212</v>
      </c>
      <c r="G192" s="305"/>
      <c r="H192" s="305"/>
      <c r="I192" s="305"/>
      <c r="J192" s="177" t="s">
        <v>162</v>
      </c>
      <c r="K192" s="178">
        <v>8.008</v>
      </c>
      <c r="L192" s="233"/>
      <c r="M192" s="219"/>
      <c r="N192" s="306">
        <f>ROUND(L192*K192,2)</f>
        <v>0</v>
      </c>
      <c r="O192" s="307"/>
      <c r="P192" s="307"/>
      <c r="Q192" s="307"/>
      <c r="R192" s="35"/>
      <c r="T192" s="155" t="s">
        <v>19</v>
      </c>
      <c r="U192" s="42" t="s">
        <v>39</v>
      </c>
      <c r="V192" s="156">
        <v>0</v>
      </c>
      <c r="W192" s="156">
        <f>V192*K192</f>
        <v>0</v>
      </c>
      <c r="X192" s="156">
        <v>0.00061</v>
      </c>
      <c r="Y192" s="156">
        <f>X192*K192</f>
        <v>0.004884879999999999</v>
      </c>
      <c r="Z192" s="156">
        <v>0</v>
      </c>
      <c r="AA192" s="157">
        <f>Z192*K192</f>
        <v>0</v>
      </c>
      <c r="AR192" s="20" t="s">
        <v>153</v>
      </c>
      <c r="AT192" s="20" t="s">
        <v>149</v>
      </c>
      <c r="AU192" s="20" t="s">
        <v>96</v>
      </c>
      <c r="AY192" s="20" t="s">
        <v>137</v>
      </c>
      <c r="BE192" s="158">
        <f>IF(U192="základní",N192,0)</f>
        <v>0</v>
      </c>
      <c r="BF192" s="158">
        <f>IF(U192="snížená",N192,0)</f>
        <v>0</v>
      </c>
      <c r="BG192" s="158">
        <f>IF(U192="zákl. přenesená",N192,0)</f>
        <v>0</v>
      </c>
      <c r="BH192" s="158">
        <f>IF(U192="sníž. přenesená",N192,0)</f>
        <v>0</v>
      </c>
      <c r="BI192" s="158">
        <f>IF(U192="nulová",N192,0)</f>
        <v>0</v>
      </c>
      <c r="BJ192" s="20" t="s">
        <v>80</v>
      </c>
      <c r="BK192" s="158">
        <f>ROUND(L192*K192,2)</f>
        <v>0</v>
      </c>
      <c r="BL192" s="20" t="s">
        <v>142</v>
      </c>
      <c r="BM192" s="20" t="s">
        <v>360</v>
      </c>
    </row>
    <row r="193" spans="2:51" s="10" customFormat="1" ht="16.5" customHeight="1">
      <c r="B193" s="159"/>
      <c r="C193" s="160"/>
      <c r="D193" s="160"/>
      <c r="E193" s="161" t="s">
        <v>19</v>
      </c>
      <c r="F193" s="308" t="s">
        <v>356</v>
      </c>
      <c r="G193" s="309"/>
      <c r="H193" s="309"/>
      <c r="I193" s="309"/>
      <c r="J193" s="160"/>
      <c r="K193" s="162">
        <v>8.008</v>
      </c>
      <c r="L193" s="233"/>
      <c r="M193" s="221"/>
      <c r="N193" s="160"/>
      <c r="O193" s="160"/>
      <c r="P193" s="160"/>
      <c r="Q193" s="160"/>
      <c r="R193" s="163"/>
      <c r="T193" s="164"/>
      <c r="U193" s="160"/>
      <c r="V193" s="160"/>
      <c r="W193" s="160"/>
      <c r="X193" s="160"/>
      <c r="Y193" s="160"/>
      <c r="Z193" s="160"/>
      <c r="AA193" s="165"/>
      <c r="AT193" s="166" t="s">
        <v>145</v>
      </c>
      <c r="AU193" s="166" t="s">
        <v>96</v>
      </c>
      <c r="AV193" s="10" t="s">
        <v>96</v>
      </c>
      <c r="AW193" s="10" t="s">
        <v>33</v>
      </c>
      <c r="AX193" s="10" t="s">
        <v>80</v>
      </c>
      <c r="AY193" s="166" t="s">
        <v>137</v>
      </c>
    </row>
    <row r="194" spans="2:63" s="9" customFormat="1" ht="19.9" customHeight="1">
      <c r="B194" s="140"/>
      <c r="C194" s="141"/>
      <c r="D194" s="150" t="s">
        <v>487</v>
      </c>
      <c r="E194" s="150"/>
      <c r="F194" s="150"/>
      <c r="G194" s="150"/>
      <c r="H194" s="150"/>
      <c r="I194" s="150"/>
      <c r="J194" s="150"/>
      <c r="K194" s="150"/>
      <c r="L194" s="233"/>
      <c r="M194" s="150"/>
      <c r="N194" s="301">
        <f>SUM(N195:N196)</f>
        <v>0</v>
      </c>
      <c r="O194" s="302"/>
      <c r="P194" s="302"/>
      <c r="Q194" s="302"/>
      <c r="R194" s="143"/>
      <c r="T194" s="144"/>
      <c r="U194" s="141"/>
      <c r="V194" s="141"/>
      <c r="W194" s="145">
        <f>SUM(W195:W204)</f>
        <v>2.95472</v>
      </c>
      <c r="X194" s="141"/>
      <c r="Y194" s="145">
        <f>SUM(Y195:Y204)</f>
        <v>0.013104</v>
      </c>
      <c r="Z194" s="141"/>
      <c r="AA194" s="146"/>
      <c r="AR194" s="147" t="s">
        <v>96</v>
      </c>
      <c r="AT194" s="148" t="s">
        <v>72</v>
      </c>
      <c r="AU194" s="148" t="s">
        <v>80</v>
      </c>
      <c r="AY194" s="147" t="s">
        <v>137</v>
      </c>
      <c r="BK194" s="149">
        <f>SUM(BK195:BK204)</f>
        <v>0</v>
      </c>
    </row>
    <row r="195" spans="2:65" s="1" customFormat="1" ht="38.25" customHeight="1">
      <c r="B195" s="33"/>
      <c r="C195" s="151">
        <f>C192+1</f>
        <v>37</v>
      </c>
      <c r="D195" s="151" t="s">
        <v>138</v>
      </c>
      <c r="E195" s="152"/>
      <c r="F195" s="312" t="s">
        <v>488</v>
      </c>
      <c r="G195" s="312"/>
      <c r="H195" s="312"/>
      <c r="I195" s="312"/>
      <c r="J195" s="153" t="s">
        <v>162</v>
      </c>
      <c r="K195" s="154">
        <f>K196</f>
        <v>7.28</v>
      </c>
      <c r="L195" s="233"/>
      <c r="M195" s="220"/>
      <c r="N195" s="307">
        <f>ROUND(L195*K195,2)</f>
        <v>0</v>
      </c>
      <c r="O195" s="307"/>
      <c r="P195" s="307"/>
      <c r="Q195" s="307"/>
      <c r="R195" s="35"/>
      <c r="T195" s="155" t="s">
        <v>19</v>
      </c>
      <c r="U195" s="42" t="s">
        <v>39</v>
      </c>
      <c r="V195" s="156">
        <v>0.024</v>
      </c>
      <c r="W195" s="156">
        <f>V195*K195</f>
        <v>0.17472000000000001</v>
      </c>
      <c r="X195" s="156">
        <v>0</v>
      </c>
      <c r="Y195" s="156">
        <f>X195*K195</f>
        <v>0</v>
      </c>
      <c r="Z195" s="156">
        <v>0</v>
      </c>
      <c r="AA195" s="157">
        <f>Z195*K195</f>
        <v>0</v>
      </c>
      <c r="AR195" s="20" t="s">
        <v>169</v>
      </c>
      <c r="AT195" s="20" t="s">
        <v>138</v>
      </c>
      <c r="AU195" s="20" t="s">
        <v>96</v>
      </c>
      <c r="AY195" s="20" t="s">
        <v>137</v>
      </c>
      <c r="BE195" s="158">
        <f>IF(U195="základní",N195,0)</f>
        <v>0</v>
      </c>
      <c r="BF195" s="158">
        <f>IF(U195="snížená",N195,0)</f>
        <v>0</v>
      </c>
      <c r="BG195" s="158">
        <f>IF(U195="zákl. přenesená",N195,0)</f>
        <v>0</v>
      </c>
      <c r="BH195" s="158">
        <f>IF(U195="sníž. přenesená",N195,0)</f>
        <v>0</v>
      </c>
      <c r="BI195" s="158">
        <f>IF(U195="nulová",N195,0)</f>
        <v>0</v>
      </c>
      <c r="BJ195" s="20" t="s">
        <v>80</v>
      </c>
      <c r="BK195" s="158">
        <f>ROUND(L195*K195,2)</f>
        <v>0</v>
      </c>
      <c r="BL195" s="20" t="s">
        <v>169</v>
      </c>
      <c r="BM195" s="20" t="s">
        <v>228</v>
      </c>
    </row>
    <row r="196" spans="2:65" s="1" customFormat="1" ht="38.25" customHeight="1">
      <c r="B196" s="33"/>
      <c r="C196" s="151">
        <f>C195+1</f>
        <v>38</v>
      </c>
      <c r="D196" s="175" t="s">
        <v>149</v>
      </c>
      <c r="E196" s="176" t="s">
        <v>207</v>
      </c>
      <c r="F196" s="305" t="s">
        <v>208</v>
      </c>
      <c r="G196" s="305"/>
      <c r="H196" s="305"/>
      <c r="I196" s="305"/>
      <c r="J196" s="177" t="s">
        <v>162</v>
      </c>
      <c r="K196" s="178">
        <v>7.28</v>
      </c>
      <c r="L196" s="233"/>
      <c r="M196" s="219"/>
      <c r="N196" s="306">
        <f>ROUND(L196*K196,2)</f>
        <v>0</v>
      </c>
      <c r="O196" s="307"/>
      <c r="P196" s="307"/>
      <c r="Q196" s="307"/>
      <c r="R196" s="35"/>
      <c r="T196" s="155" t="s">
        <v>19</v>
      </c>
      <c r="U196" s="42" t="s">
        <v>39</v>
      </c>
      <c r="V196" s="156">
        <v>0</v>
      </c>
      <c r="W196" s="156">
        <f>V196*K196</f>
        <v>0</v>
      </c>
      <c r="X196" s="156">
        <v>0.0018</v>
      </c>
      <c r="Y196" s="156">
        <f>X196*K196</f>
        <v>0.013104</v>
      </c>
      <c r="Z196" s="156">
        <v>0</v>
      </c>
      <c r="AA196" s="157">
        <f>Z196*K196</f>
        <v>0</v>
      </c>
      <c r="AR196" s="20" t="s">
        <v>153</v>
      </c>
      <c r="AT196" s="20" t="s">
        <v>149</v>
      </c>
      <c r="AU196" s="20" t="s">
        <v>96</v>
      </c>
      <c r="AY196" s="20" t="s">
        <v>137</v>
      </c>
      <c r="BE196" s="158">
        <f>IF(U196="základní",N196,0)</f>
        <v>0</v>
      </c>
      <c r="BF196" s="158">
        <f>IF(U196="snížená",N196,0)</f>
        <v>0</v>
      </c>
      <c r="BG196" s="158">
        <f>IF(U196="zákl. přenesená",N196,0)</f>
        <v>0</v>
      </c>
      <c r="BH196" s="158">
        <f>IF(U196="sníž. přenesená",N196,0)</f>
        <v>0</v>
      </c>
      <c r="BI196" s="158">
        <f>IF(U196="nulová",N196,0)</f>
        <v>0</v>
      </c>
      <c r="BJ196" s="20" t="s">
        <v>80</v>
      </c>
      <c r="BK196" s="158">
        <f>ROUND(L196*K196,2)</f>
        <v>0</v>
      </c>
      <c r="BL196" s="20" t="s">
        <v>142</v>
      </c>
      <c r="BM196" s="20" t="s">
        <v>358</v>
      </c>
    </row>
    <row r="197" spans="2:51" s="10" customFormat="1" ht="16.5" customHeight="1">
      <c r="B197" s="159"/>
      <c r="C197" s="160"/>
      <c r="D197" s="160"/>
      <c r="E197" s="161" t="s">
        <v>19</v>
      </c>
      <c r="F197" s="308" t="s">
        <v>359</v>
      </c>
      <c r="G197" s="309"/>
      <c r="H197" s="309"/>
      <c r="I197" s="309"/>
      <c r="J197" s="160"/>
      <c r="K197" s="162">
        <v>7.28</v>
      </c>
      <c r="L197" s="233"/>
      <c r="M197" s="221"/>
      <c r="N197" s="160"/>
      <c r="O197" s="160"/>
      <c r="P197" s="160"/>
      <c r="Q197" s="160"/>
      <c r="R197" s="163"/>
      <c r="T197" s="164"/>
      <c r="U197" s="160"/>
      <c r="V197" s="160"/>
      <c r="W197" s="160"/>
      <c r="X197" s="160"/>
      <c r="Y197" s="160"/>
      <c r="Z197" s="160"/>
      <c r="AA197" s="165"/>
      <c r="AT197" s="166" t="s">
        <v>145</v>
      </c>
      <c r="AU197" s="166" t="s">
        <v>96</v>
      </c>
      <c r="AV197" s="10" t="s">
        <v>96</v>
      </c>
      <c r="AW197" s="10" t="s">
        <v>33</v>
      </c>
      <c r="AX197" s="10" t="s">
        <v>80</v>
      </c>
      <c r="AY197" s="166" t="s">
        <v>137</v>
      </c>
    </row>
    <row r="198" spans="2:63" s="9" customFormat="1" ht="29.85" customHeight="1">
      <c r="B198" s="140"/>
      <c r="C198" s="141"/>
      <c r="D198" s="150" t="s">
        <v>120</v>
      </c>
      <c r="E198" s="150"/>
      <c r="F198" s="150"/>
      <c r="G198" s="150"/>
      <c r="H198" s="150"/>
      <c r="I198" s="150"/>
      <c r="J198" s="150"/>
      <c r="K198" s="150"/>
      <c r="L198" s="233"/>
      <c r="M198" s="150"/>
      <c r="N198" s="301">
        <f>N199</f>
        <v>0</v>
      </c>
      <c r="O198" s="302"/>
      <c r="P198" s="302"/>
      <c r="Q198" s="302"/>
      <c r="R198" s="143"/>
      <c r="T198" s="144"/>
      <c r="U198" s="141"/>
      <c r="V198" s="141"/>
      <c r="W198" s="145">
        <f>W199</f>
        <v>0.19</v>
      </c>
      <c r="X198" s="141"/>
      <c r="Y198" s="145">
        <f>Y199</f>
        <v>0</v>
      </c>
      <c r="Z198" s="141"/>
      <c r="AA198" s="146">
        <f>AA199</f>
        <v>0.00084</v>
      </c>
      <c r="AR198" s="147" t="s">
        <v>96</v>
      </c>
      <c r="AT198" s="148" t="s">
        <v>72</v>
      </c>
      <c r="AU198" s="148" t="s">
        <v>80</v>
      </c>
      <c r="AY198" s="147" t="s">
        <v>137</v>
      </c>
      <c r="BK198" s="149">
        <f>BK199</f>
        <v>0</v>
      </c>
    </row>
    <row r="199" spans="2:65" s="1" customFormat="1" ht="16.5" customHeight="1">
      <c r="B199" s="33"/>
      <c r="C199" s="151">
        <f>C196+1</f>
        <v>39</v>
      </c>
      <c r="D199" s="151" t="s">
        <v>138</v>
      </c>
      <c r="E199" s="152" t="s">
        <v>263</v>
      </c>
      <c r="F199" s="312" t="s">
        <v>283</v>
      </c>
      <c r="G199" s="312"/>
      <c r="H199" s="312"/>
      <c r="I199" s="312"/>
      <c r="J199" s="153" t="s">
        <v>184</v>
      </c>
      <c r="K199" s="154">
        <v>2</v>
      </c>
      <c r="L199" s="233"/>
      <c r="M199" s="220"/>
      <c r="N199" s="307">
        <f>ROUND(L199*K199,2)</f>
        <v>0</v>
      </c>
      <c r="O199" s="307"/>
      <c r="P199" s="307"/>
      <c r="Q199" s="307"/>
      <c r="R199" s="35"/>
      <c r="T199" s="155" t="s">
        <v>19</v>
      </c>
      <c r="U199" s="42" t="s">
        <v>39</v>
      </c>
      <c r="V199" s="156">
        <v>0.095</v>
      </c>
      <c r="W199" s="156">
        <f>V199*K199</f>
        <v>0.19</v>
      </c>
      <c r="X199" s="156">
        <v>0</v>
      </c>
      <c r="Y199" s="156">
        <f>X199*K199</f>
        <v>0</v>
      </c>
      <c r="Z199" s="156">
        <v>0.00042</v>
      </c>
      <c r="AA199" s="157">
        <f>Z199*K199</f>
        <v>0.00084</v>
      </c>
      <c r="AR199" s="20" t="s">
        <v>169</v>
      </c>
      <c r="AT199" s="20" t="s">
        <v>138</v>
      </c>
      <c r="AU199" s="20" t="s">
        <v>96</v>
      </c>
      <c r="AY199" s="20" t="s">
        <v>137</v>
      </c>
      <c r="BE199" s="158">
        <f>IF(U199="základní",N199,0)</f>
        <v>0</v>
      </c>
      <c r="BF199" s="158">
        <f>IF(U199="snížená",N199,0)</f>
        <v>0</v>
      </c>
      <c r="BG199" s="158">
        <f>IF(U199="zákl. přenesená",N199,0)</f>
        <v>0</v>
      </c>
      <c r="BH199" s="158">
        <f>IF(U199="sníž. přenesená",N199,0)</f>
        <v>0</v>
      </c>
      <c r="BI199" s="158">
        <f>IF(U199="nulová",N199,0)</f>
        <v>0</v>
      </c>
      <c r="BJ199" s="20" t="s">
        <v>80</v>
      </c>
      <c r="BK199" s="158">
        <f>ROUND(L199*K199,2)</f>
        <v>0</v>
      </c>
      <c r="BL199" s="20" t="s">
        <v>169</v>
      </c>
      <c r="BM199" s="20" t="s">
        <v>376</v>
      </c>
    </row>
    <row r="200" spans="2:63" s="9" customFormat="1" ht="29.85" customHeight="1">
      <c r="B200" s="140"/>
      <c r="C200" s="141"/>
      <c r="D200" s="150" t="s">
        <v>121</v>
      </c>
      <c r="E200" s="150"/>
      <c r="F200" s="150"/>
      <c r="G200" s="150"/>
      <c r="H200" s="150"/>
      <c r="I200" s="150"/>
      <c r="J200" s="150"/>
      <c r="K200" s="150"/>
      <c r="L200" s="233"/>
      <c r="M200" s="150"/>
      <c r="N200" s="313">
        <f>N201</f>
        <v>0</v>
      </c>
      <c r="O200" s="314"/>
      <c r="P200" s="314"/>
      <c r="Q200" s="314"/>
      <c r="R200" s="143"/>
      <c r="T200" s="144"/>
      <c r="U200" s="141"/>
      <c r="V200" s="141"/>
      <c r="W200" s="145">
        <f>W201</f>
        <v>1.2</v>
      </c>
      <c r="X200" s="141"/>
      <c r="Y200" s="145">
        <f>Y201</f>
        <v>0</v>
      </c>
      <c r="Z200" s="141"/>
      <c r="AA200" s="146">
        <f>AA201</f>
        <v>0.026</v>
      </c>
      <c r="AR200" s="147" t="s">
        <v>96</v>
      </c>
      <c r="AT200" s="148" t="s">
        <v>72</v>
      </c>
      <c r="AU200" s="148" t="s">
        <v>80</v>
      </c>
      <c r="AY200" s="147" t="s">
        <v>137</v>
      </c>
      <c r="BK200" s="149">
        <f>BK201</f>
        <v>0</v>
      </c>
    </row>
    <row r="201" spans="2:65" s="1" customFormat="1" ht="25.5" customHeight="1">
      <c r="B201" s="33"/>
      <c r="C201" s="151">
        <f>C199+1</f>
        <v>40</v>
      </c>
      <c r="D201" s="151" t="s">
        <v>138</v>
      </c>
      <c r="E201" s="152" t="s">
        <v>266</v>
      </c>
      <c r="F201" s="312" t="s">
        <v>267</v>
      </c>
      <c r="G201" s="312"/>
      <c r="H201" s="312"/>
      <c r="I201" s="312"/>
      <c r="J201" s="153" t="s">
        <v>184</v>
      </c>
      <c r="K201" s="154">
        <v>2</v>
      </c>
      <c r="L201" s="233"/>
      <c r="M201" s="220"/>
      <c r="N201" s="307">
        <f>ROUND(L201*K201,2)</f>
        <v>0</v>
      </c>
      <c r="O201" s="307"/>
      <c r="P201" s="307"/>
      <c r="Q201" s="307"/>
      <c r="R201" s="35"/>
      <c r="T201" s="155" t="s">
        <v>19</v>
      </c>
      <c r="U201" s="179" t="s">
        <v>39</v>
      </c>
      <c r="V201" s="180">
        <v>0.6</v>
      </c>
      <c r="W201" s="180">
        <f>V201*K201</f>
        <v>1.2</v>
      </c>
      <c r="X201" s="180">
        <v>0</v>
      </c>
      <c r="Y201" s="180">
        <f>X201*K201</f>
        <v>0</v>
      </c>
      <c r="Z201" s="180">
        <v>0.013</v>
      </c>
      <c r="AA201" s="181">
        <f>Z201*K201</f>
        <v>0.026</v>
      </c>
      <c r="AR201" s="20" t="s">
        <v>169</v>
      </c>
      <c r="AT201" s="20" t="s">
        <v>138</v>
      </c>
      <c r="AU201" s="20" t="s">
        <v>96</v>
      </c>
      <c r="AY201" s="20" t="s">
        <v>137</v>
      </c>
      <c r="BE201" s="158">
        <f>IF(U201="základní",N201,0)</f>
        <v>0</v>
      </c>
      <c r="BF201" s="158">
        <f>IF(U201="snížená",N201,0)</f>
        <v>0</v>
      </c>
      <c r="BG201" s="158">
        <f>IF(U201="zákl. přenesená",N201,0)</f>
        <v>0</v>
      </c>
      <c r="BH201" s="158">
        <f>IF(U201="sníž. přenesená",N201,0)</f>
        <v>0</v>
      </c>
      <c r="BI201" s="158">
        <f>IF(U201="nulová",N201,0)</f>
        <v>0</v>
      </c>
      <c r="BJ201" s="20" t="s">
        <v>80</v>
      </c>
      <c r="BK201" s="158">
        <f>ROUND(L201*K201,2)</f>
        <v>0</v>
      </c>
      <c r="BL201" s="20" t="s">
        <v>169</v>
      </c>
      <c r="BM201" s="20" t="s">
        <v>377</v>
      </c>
    </row>
    <row r="202" spans="2:18" s="1" customFormat="1" ht="6.95" customHeight="1">
      <c r="B202" s="57"/>
      <c r="C202" s="58"/>
      <c r="D202" s="58"/>
      <c r="E202" s="58"/>
      <c r="F202" s="58"/>
      <c r="G202" s="58"/>
      <c r="H202" s="58"/>
      <c r="I202" s="58"/>
      <c r="J202" s="58"/>
      <c r="K202" s="58"/>
      <c r="L202" s="233"/>
      <c r="M202" s="58"/>
      <c r="N202" s="58"/>
      <c r="O202" s="58"/>
      <c r="P202" s="58"/>
      <c r="Q202" s="58"/>
      <c r="R202" s="59"/>
    </row>
  </sheetData>
  <sheetProtection algorithmName="SHA-512" hashValue="9UwzN6tQdkjoc6F0z43BxRHte3969dmw/TA7fBBW8054ZA8ayt66B940LU8I4216klPws820BnYIUXsFuJFcJg==" saltValue="aGeIHtwDaZAsPdUC/8pV3A==" spinCount="100000" sheet="1" objects="1" scenarios="1"/>
  <mergeCells count="184">
    <mergeCell ref="N195:Q195"/>
    <mergeCell ref="N124:Q124"/>
    <mergeCell ref="N126:Q126"/>
    <mergeCell ref="N128:Q128"/>
    <mergeCell ref="N131:Q131"/>
    <mergeCell ref="F184:I184"/>
    <mergeCell ref="N184:Q184"/>
    <mergeCell ref="N179:Q179"/>
    <mergeCell ref="N180:Q180"/>
    <mergeCell ref="F181:I181"/>
    <mergeCell ref="N181:Q181"/>
    <mergeCell ref="F182:I182"/>
    <mergeCell ref="F178:I178"/>
    <mergeCell ref="N178:Q178"/>
    <mergeCell ref="N175:Q175"/>
    <mergeCell ref="F176:I176"/>
    <mergeCell ref="N176:Q176"/>
    <mergeCell ref="N200:Q200"/>
    <mergeCell ref="F201:I201"/>
    <mergeCell ref="N201:Q201"/>
    <mergeCell ref="F185:I185"/>
    <mergeCell ref="F188:I188"/>
    <mergeCell ref="N188:Q188"/>
    <mergeCell ref="F189:I189"/>
    <mergeCell ref="N198:Q198"/>
    <mergeCell ref="F186:I186"/>
    <mergeCell ref="N186:Q186"/>
    <mergeCell ref="F187:I187"/>
    <mergeCell ref="F190:I190"/>
    <mergeCell ref="N190:Q190"/>
    <mergeCell ref="F191:I191"/>
    <mergeCell ref="F192:I192"/>
    <mergeCell ref="N192:Q192"/>
    <mergeCell ref="F199:I199"/>
    <mergeCell ref="N199:Q199"/>
    <mergeCell ref="F196:I196"/>
    <mergeCell ref="N196:Q196"/>
    <mergeCell ref="F197:I197"/>
    <mergeCell ref="F193:I193"/>
    <mergeCell ref="N194:Q194"/>
    <mergeCell ref="F195:I195"/>
    <mergeCell ref="F177:I177"/>
    <mergeCell ref="N177:Q177"/>
    <mergeCell ref="F183:I183"/>
    <mergeCell ref="N183:Q183"/>
    <mergeCell ref="F169:I169"/>
    <mergeCell ref="F170:I170"/>
    <mergeCell ref="F171:I171"/>
    <mergeCell ref="N171:Q171"/>
    <mergeCell ref="F172:I172"/>
    <mergeCell ref="F173:I173"/>
    <mergeCell ref="N173:Q173"/>
    <mergeCell ref="F163:I163"/>
    <mergeCell ref="F166:I166"/>
    <mergeCell ref="N166:Q166"/>
    <mergeCell ref="F167:I167"/>
    <mergeCell ref="F168:I168"/>
    <mergeCell ref="F162:I162"/>
    <mergeCell ref="N162:Q162"/>
    <mergeCell ref="N161:Q161"/>
    <mergeCell ref="F156:I156"/>
    <mergeCell ref="N158:Q158"/>
    <mergeCell ref="F159:I159"/>
    <mergeCell ref="N159:Q159"/>
    <mergeCell ref="F160:I160"/>
    <mergeCell ref="N160:Q160"/>
    <mergeCell ref="F157:I157"/>
    <mergeCell ref="N157:Q157"/>
    <mergeCell ref="F164:I164"/>
    <mergeCell ref="N164:Q164"/>
    <mergeCell ref="F165:I165"/>
    <mergeCell ref="F150:I150"/>
    <mergeCell ref="N150:Q150"/>
    <mergeCell ref="N154:Q154"/>
    <mergeCell ref="F155:I155"/>
    <mergeCell ref="N155:Q155"/>
    <mergeCell ref="F146:I146"/>
    <mergeCell ref="F147:I147"/>
    <mergeCell ref="N147:Q147"/>
    <mergeCell ref="N148:Q148"/>
    <mergeCell ref="F149:I149"/>
    <mergeCell ref="N149:Q149"/>
    <mergeCell ref="F151:I151"/>
    <mergeCell ref="N151:Q151"/>
    <mergeCell ref="F152:I152"/>
    <mergeCell ref="N152:Q152"/>
    <mergeCell ref="F153:I153"/>
    <mergeCell ref="N153:Q153"/>
    <mergeCell ref="F144:I144"/>
    <mergeCell ref="F145:I145"/>
    <mergeCell ref="N145:Q145"/>
    <mergeCell ref="F135:I135"/>
    <mergeCell ref="N135:Q135"/>
    <mergeCell ref="F136:I136"/>
    <mergeCell ref="F137:I137"/>
    <mergeCell ref="N137:Q137"/>
    <mergeCell ref="F142:I142"/>
    <mergeCell ref="N142:Q142"/>
    <mergeCell ref="F139:I139"/>
    <mergeCell ref="F140:I140"/>
    <mergeCell ref="F141:I141"/>
    <mergeCell ref="F138:I138"/>
    <mergeCell ref="F143:I143"/>
    <mergeCell ref="N143:Q143"/>
    <mergeCell ref="N120:Q120"/>
    <mergeCell ref="N121:Q121"/>
    <mergeCell ref="F133:I133"/>
    <mergeCell ref="N133:Q133"/>
    <mergeCell ref="F134:I134"/>
    <mergeCell ref="M115:Q115"/>
    <mergeCell ref="M116:Q116"/>
    <mergeCell ref="F118:I118"/>
    <mergeCell ref="L118:M118"/>
    <mergeCell ref="N118:Q118"/>
    <mergeCell ref="N119:Q119"/>
    <mergeCell ref="F132:I132"/>
    <mergeCell ref="F122:I122"/>
    <mergeCell ref="F123:I123"/>
    <mergeCell ref="F124:I124"/>
    <mergeCell ref="F125:I125"/>
    <mergeCell ref="F131:I131"/>
    <mergeCell ref="N122:Q122"/>
    <mergeCell ref="F128:I128"/>
    <mergeCell ref="F129:I129"/>
    <mergeCell ref="F130:I130"/>
    <mergeCell ref="F126:I126"/>
    <mergeCell ref="F127:I127"/>
    <mergeCell ref="N102:Q102"/>
    <mergeCell ref="L104:Q104"/>
    <mergeCell ref="C108:Q108"/>
    <mergeCell ref="F110:P110"/>
    <mergeCell ref="F111:P111"/>
    <mergeCell ref="M113:P113"/>
    <mergeCell ref="N94:Q94"/>
    <mergeCell ref="N95:Q95"/>
    <mergeCell ref="N96:Q96"/>
    <mergeCell ref="N97:Q97"/>
    <mergeCell ref="N99:Q99"/>
    <mergeCell ref="N100:Q100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scale="90" r:id="rId1"/>
  <rowBreaks count="1" manualBreakCount="1"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0"/>
  <sheetViews>
    <sheetView workbookViewId="0" topLeftCell="A74">
      <selection activeCell="L117" sqref="L117:L18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</cols>
  <sheetData>
    <row r="1" spans="1:66" ht="21.75" customHeight="1">
      <c r="A1" s="109"/>
      <c r="B1" s="13"/>
      <c r="C1" s="13"/>
      <c r="D1" s="14" t="s">
        <v>1</v>
      </c>
      <c r="E1" s="13"/>
      <c r="F1" s="15" t="s">
        <v>91</v>
      </c>
      <c r="G1" s="15"/>
      <c r="H1" s="277" t="s">
        <v>92</v>
      </c>
      <c r="I1" s="277"/>
      <c r="J1" s="277"/>
      <c r="K1" s="277"/>
      <c r="L1" s="15" t="s">
        <v>93</v>
      </c>
      <c r="M1" s="13"/>
      <c r="N1" s="13"/>
      <c r="O1" s="14" t="s">
        <v>94</v>
      </c>
      <c r="P1" s="13"/>
      <c r="Q1" s="13"/>
      <c r="R1" s="13"/>
      <c r="S1" s="15" t="s">
        <v>95</v>
      </c>
      <c r="T1" s="15"/>
      <c r="U1" s="109"/>
      <c r="V1" s="10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239" t="s">
        <v>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S2" s="241" t="s">
        <v>8</v>
      </c>
      <c r="T2" s="242"/>
      <c r="U2" s="242"/>
      <c r="V2" s="242"/>
      <c r="W2" s="242"/>
      <c r="X2" s="242"/>
      <c r="Y2" s="242"/>
      <c r="Z2" s="242"/>
      <c r="AA2" s="242"/>
      <c r="AB2" s="242"/>
      <c r="AC2" s="242"/>
      <c r="AT2" s="20" t="s">
        <v>87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96</v>
      </c>
    </row>
    <row r="4" spans="2:46" ht="36.95" customHeight="1">
      <c r="B4" s="24"/>
      <c r="C4" s="243" t="s">
        <v>97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78" t="e">
        <f>#REF!</f>
        <v>#REF!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6"/>
      <c r="R6" s="25"/>
    </row>
    <row r="7" spans="2:18" s="1" customFormat="1" ht="32.85" customHeight="1">
      <c r="B7" s="33"/>
      <c r="C7" s="34"/>
      <c r="D7" s="29" t="s">
        <v>98</v>
      </c>
      <c r="E7" s="34"/>
      <c r="F7" s="247" t="s">
        <v>378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19</v>
      </c>
      <c r="G8" s="34"/>
      <c r="H8" s="34"/>
      <c r="I8" s="34"/>
      <c r="J8" s="34"/>
      <c r="K8" s="34"/>
      <c r="L8" s="34"/>
      <c r="M8" s="30" t="s">
        <v>20</v>
      </c>
      <c r="N8" s="34"/>
      <c r="O8" s="28" t="s">
        <v>19</v>
      </c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34"/>
      <c r="M9" s="30" t="s">
        <v>23</v>
      </c>
      <c r="N9" s="34"/>
      <c r="O9" s="281" t="e">
        <f>#REF!</f>
        <v>#REF!</v>
      </c>
      <c r="P9" s="281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25</v>
      </c>
      <c r="E11" s="34"/>
      <c r="F11" s="34"/>
      <c r="G11" s="34"/>
      <c r="H11" s="34"/>
      <c r="I11" s="34"/>
      <c r="J11" s="34"/>
      <c r="K11" s="34"/>
      <c r="L11" s="34"/>
      <c r="M11" s="30" t="s">
        <v>26</v>
      </c>
      <c r="N11" s="34"/>
      <c r="O11" s="245" t="s">
        <v>19</v>
      </c>
      <c r="P11" s="245"/>
      <c r="Q11" s="34"/>
      <c r="R11" s="35"/>
    </row>
    <row r="12" spans="2:18" s="1" customFormat="1" ht="18" customHeight="1">
      <c r="B12" s="33"/>
      <c r="C12" s="34"/>
      <c r="D12" s="34"/>
      <c r="E12" s="28" t="s">
        <v>27</v>
      </c>
      <c r="F12" s="34"/>
      <c r="G12" s="34"/>
      <c r="H12" s="34"/>
      <c r="I12" s="34"/>
      <c r="J12" s="34"/>
      <c r="K12" s="34"/>
      <c r="L12" s="34"/>
      <c r="M12" s="30" t="s">
        <v>28</v>
      </c>
      <c r="N12" s="34"/>
      <c r="O12" s="245" t="s">
        <v>19</v>
      </c>
      <c r="P12" s="245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29</v>
      </c>
      <c r="E14" s="34"/>
      <c r="F14" s="34"/>
      <c r="G14" s="34"/>
      <c r="H14" s="34"/>
      <c r="I14" s="34"/>
      <c r="J14" s="34"/>
      <c r="K14" s="34"/>
      <c r="L14" s="34"/>
      <c r="M14" s="30" t="s">
        <v>26</v>
      </c>
      <c r="N14" s="34"/>
      <c r="O14" s="245" t="s">
        <v>19</v>
      </c>
      <c r="P14" s="245"/>
      <c r="Q14" s="34"/>
      <c r="R14" s="35"/>
    </row>
    <row r="15" spans="2:18" s="1" customFormat="1" ht="18" customHeight="1">
      <c r="B15" s="33"/>
      <c r="C15" s="34"/>
      <c r="D15" s="34"/>
      <c r="E15" s="28" t="s">
        <v>30</v>
      </c>
      <c r="F15" s="34"/>
      <c r="G15" s="34"/>
      <c r="H15" s="34"/>
      <c r="I15" s="34"/>
      <c r="J15" s="34"/>
      <c r="K15" s="34"/>
      <c r="L15" s="34"/>
      <c r="M15" s="30" t="s">
        <v>28</v>
      </c>
      <c r="N15" s="34"/>
      <c r="O15" s="245" t="s">
        <v>19</v>
      </c>
      <c r="P15" s="245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31</v>
      </c>
      <c r="E17" s="34"/>
      <c r="F17" s="34"/>
      <c r="G17" s="34"/>
      <c r="H17" s="34"/>
      <c r="I17" s="34"/>
      <c r="J17" s="34"/>
      <c r="K17" s="34"/>
      <c r="L17" s="34"/>
      <c r="M17" s="30" t="s">
        <v>26</v>
      </c>
      <c r="N17" s="34"/>
      <c r="O17" s="245" t="s">
        <v>19</v>
      </c>
      <c r="P17" s="245"/>
      <c r="Q17" s="34"/>
      <c r="R17" s="35"/>
    </row>
    <row r="18" spans="2:18" s="1" customFormat="1" ht="18" customHeight="1">
      <c r="B18" s="33"/>
      <c r="C18" s="34"/>
      <c r="D18" s="34"/>
      <c r="E18" s="28" t="s">
        <v>32</v>
      </c>
      <c r="F18" s="34"/>
      <c r="G18" s="34"/>
      <c r="H18" s="34"/>
      <c r="I18" s="34"/>
      <c r="J18" s="34"/>
      <c r="K18" s="34"/>
      <c r="L18" s="34"/>
      <c r="M18" s="30" t="s">
        <v>28</v>
      </c>
      <c r="N18" s="34"/>
      <c r="O18" s="245" t="s">
        <v>19</v>
      </c>
      <c r="P18" s="245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34"/>
      <c r="M20" s="30" t="s">
        <v>26</v>
      </c>
      <c r="N20" s="34"/>
      <c r="O20" s="245" t="s">
        <v>19</v>
      </c>
      <c r="P20" s="245"/>
      <c r="Q20" s="34"/>
      <c r="R20" s="35"/>
    </row>
    <row r="21" spans="2:18" s="1" customFormat="1" ht="18" customHeight="1">
      <c r="B21" s="33"/>
      <c r="C21" s="34"/>
      <c r="D21" s="34"/>
      <c r="E21" s="28" t="s">
        <v>35</v>
      </c>
      <c r="F21" s="34"/>
      <c r="G21" s="34"/>
      <c r="H21" s="34"/>
      <c r="I21" s="34"/>
      <c r="J21" s="34"/>
      <c r="K21" s="34"/>
      <c r="L21" s="34"/>
      <c r="M21" s="30" t="s">
        <v>28</v>
      </c>
      <c r="N21" s="34"/>
      <c r="O21" s="245" t="s">
        <v>19</v>
      </c>
      <c r="P21" s="245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38" t="s">
        <v>19</v>
      </c>
      <c r="F24" s="238"/>
      <c r="G24" s="238"/>
      <c r="H24" s="238"/>
      <c r="I24" s="238"/>
      <c r="J24" s="238"/>
      <c r="K24" s="238"/>
      <c r="L24" s="238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0" t="s">
        <v>100</v>
      </c>
      <c r="E27" s="34"/>
      <c r="F27" s="34"/>
      <c r="G27" s="34"/>
      <c r="H27" s="34"/>
      <c r="I27" s="34"/>
      <c r="J27" s="34"/>
      <c r="K27" s="34"/>
      <c r="L27" s="34"/>
      <c r="M27" s="248">
        <f>N88</f>
        <v>0</v>
      </c>
      <c r="N27" s="248"/>
      <c r="O27" s="248"/>
      <c r="P27" s="248"/>
      <c r="Q27" s="34"/>
      <c r="R27" s="35"/>
    </row>
    <row r="28" spans="2:18" s="1" customFormat="1" ht="14.45" customHeight="1">
      <c r="B28" s="33"/>
      <c r="C28" s="34"/>
      <c r="D28" s="32" t="s">
        <v>101</v>
      </c>
      <c r="E28" s="34"/>
      <c r="F28" s="34"/>
      <c r="G28" s="34"/>
      <c r="H28" s="34"/>
      <c r="I28" s="34"/>
      <c r="J28" s="34"/>
      <c r="K28" s="34"/>
      <c r="L28" s="34"/>
      <c r="M28" s="248">
        <f>N97</f>
        <v>0</v>
      </c>
      <c r="N28" s="248"/>
      <c r="O28" s="248"/>
      <c r="P28" s="248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1" t="s">
        <v>37</v>
      </c>
      <c r="E30" s="34"/>
      <c r="F30" s="34"/>
      <c r="G30" s="34"/>
      <c r="H30" s="34"/>
      <c r="I30" s="34"/>
      <c r="J30" s="34"/>
      <c r="K30" s="34"/>
      <c r="L30" s="34"/>
      <c r="M30" s="285">
        <f>ROUND(M27+M28,2)</f>
        <v>0</v>
      </c>
      <c r="N30" s="280"/>
      <c r="O30" s="280"/>
      <c r="P30" s="280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38</v>
      </c>
      <c r="E32" s="40" t="s">
        <v>39</v>
      </c>
      <c r="F32" s="41">
        <v>0.21</v>
      </c>
      <c r="G32" s="112" t="s">
        <v>40</v>
      </c>
      <c r="H32" s="282">
        <f>ROUND((SUM(BE97:BE98)+SUM(BE114:BE179)),2)</f>
        <v>0</v>
      </c>
      <c r="I32" s="280"/>
      <c r="J32" s="280"/>
      <c r="K32" s="34"/>
      <c r="L32" s="34"/>
      <c r="M32" s="282">
        <f>ROUND(ROUND((SUM(BE97:BE98)+SUM(BE114:BE179)),2)*F32,2)</f>
        <v>0</v>
      </c>
      <c r="N32" s="280"/>
      <c r="O32" s="280"/>
      <c r="P32" s="280"/>
      <c r="Q32" s="34"/>
      <c r="R32" s="35"/>
    </row>
    <row r="33" spans="2:18" s="1" customFormat="1" ht="14.45" customHeight="1">
      <c r="B33" s="33"/>
      <c r="C33" s="34"/>
      <c r="D33" s="34"/>
      <c r="E33" s="40" t="s">
        <v>41</v>
      </c>
      <c r="F33" s="41">
        <v>0.15</v>
      </c>
      <c r="G33" s="112" t="s">
        <v>40</v>
      </c>
      <c r="H33" s="282">
        <f>ROUND((SUM(BF97:BF98)+SUM(BF114:BF179)),2)</f>
        <v>0</v>
      </c>
      <c r="I33" s="280"/>
      <c r="J33" s="280"/>
      <c r="K33" s="34"/>
      <c r="L33" s="34"/>
      <c r="M33" s="282">
        <f>ROUND(ROUND((SUM(BF97:BF98)+SUM(BF114:BF179)),2)*F33,2)</f>
        <v>0</v>
      </c>
      <c r="N33" s="280"/>
      <c r="O33" s="280"/>
      <c r="P33" s="280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42</v>
      </c>
      <c r="F34" s="41">
        <v>0.21</v>
      </c>
      <c r="G34" s="112" t="s">
        <v>40</v>
      </c>
      <c r="H34" s="282">
        <f>ROUND((SUM(BG97:BG98)+SUM(BG114:BG179)),2)</f>
        <v>0</v>
      </c>
      <c r="I34" s="280"/>
      <c r="J34" s="280"/>
      <c r="K34" s="34"/>
      <c r="L34" s="34"/>
      <c r="M34" s="282">
        <v>0</v>
      </c>
      <c r="N34" s="280"/>
      <c r="O34" s="280"/>
      <c r="P34" s="280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43</v>
      </c>
      <c r="F35" s="41">
        <v>0.15</v>
      </c>
      <c r="G35" s="112" t="s">
        <v>40</v>
      </c>
      <c r="H35" s="282">
        <f>ROUND((SUM(BH97:BH98)+SUM(BH114:BH179)),2)</f>
        <v>0</v>
      </c>
      <c r="I35" s="280"/>
      <c r="J35" s="280"/>
      <c r="K35" s="34"/>
      <c r="L35" s="34"/>
      <c r="M35" s="282">
        <v>0</v>
      </c>
      <c r="N35" s="280"/>
      <c r="O35" s="280"/>
      <c r="P35" s="280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44</v>
      </c>
      <c r="F36" s="41">
        <v>0</v>
      </c>
      <c r="G36" s="112" t="s">
        <v>40</v>
      </c>
      <c r="H36" s="282">
        <f>ROUND((SUM(BI97:BI98)+SUM(BI114:BI179)),2)</f>
        <v>0</v>
      </c>
      <c r="I36" s="280"/>
      <c r="J36" s="280"/>
      <c r="K36" s="34"/>
      <c r="L36" s="34"/>
      <c r="M36" s="282">
        <v>0</v>
      </c>
      <c r="N36" s="280"/>
      <c r="O36" s="280"/>
      <c r="P36" s="280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3" t="s">
        <v>45</v>
      </c>
      <c r="E38" s="77"/>
      <c r="F38" s="77"/>
      <c r="G38" s="114" t="s">
        <v>46</v>
      </c>
      <c r="H38" s="115" t="s">
        <v>47</v>
      </c>
      <c r="I38" s="77"/>
      <c r="J38" s="77"/>
      <c r="K38" s="77"/>
      <c r="L38" s="283">
        <f>SUM(M30:M36)</f>
        <v>0</v>
      </c>
      <c r="M38" s="283"/>
      <c r="N38" s="283"/>
      <c r="O38" s="283"/>
      <c r="P38" s="284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48</v>
      </c>
      <c r="E50" s="49"/>
      <c r="F50" s="49"/>
      <c r="G50" s="49"/>
      <c r="H50" s="50"/>
      <c r="I50" s="34"/>
      <c r="J50" s="48" t="s">
        <v>49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50</v>
      </c>
      <c r="E59" s="54"/>
      <c r="F59" s="54"/>
      <c r="G59" s="55" t="s">
        <v>51</v>
      </c>
      <c r="H59" s="56"/>
      <c r="I59" s="34"/>
      <c r="J59" s="53" t="s">
        <v>50</v>
      </c>
      <c r="K59" s="54"/>
      <c r="L59" s="54"/>
      <c r="M59" s="54"/>
      <c r="N59" s="55" t="s">
        <v>51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52</v>
      </c>
      <c r="E61" s="49"/>
      <c r="F61" s="49"/>
      <c r="G61" s="49"/>
      <c r="H61" s="50"/>
      <c r="I61" s="34"/>
      <c r="J61" s="48" t="s">
        <v>53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50</v>
      </c>
      <c r="E70" s="54"/>
      <c r="F70" s="54"/>
      <c r="G70" s="55" t="s">
        <v>51</v>
      </c>
      <c r="H70" s="56"/>
      <c r="I70" s="34"/>
      <c r="J70" s="53" t="s">
        <v>50</v>
      </c>
      <c r="K70" s="54"/>
      <c r="L70" s="54"/>
      <c r="M70" s="54"/>
      <c r="N70" s="55" t="s">
        <v>51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</row>
    <row r="76" spans="2:21" s="1" customFormat="1" ht="36.95" customHeight="1">
      <c r="B76" s="33"/>
      <c r="C76" s="243" t="s">
        <v>102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35"/>
      <c r="T76" s="119"/>
      <c r="U76" s="119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19"/>
      <c r="U77" s="119"/>
    </row>
    <row r="78" spans="2:21" s="1" customFormat="1" ht="30" customHeight="1">
      <c r="B78" s="33"/>
      <c r="C78" s="236" t="s">
        <v>17</v>
      </c>
      <c r="D78" s="235"/>
      <c r="E78" s="235"/>
      <c r="F78" s="291" t="str">
        <f>F105</f>
        <v>LIKVIDACE NEVYUŽÍVANÝCH VODOHOSPODÁŘSKÝCH OBJEKTŮ</v>
      </c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34"/>
      <c r="R78" s="35"/>
      <c r="T78" s="119"/>
      <c r="U78" s="119"/>
    </row>
    <row r="79" spans="2:21" s="1" customFormat="1" ht="36.95" customHeight="1">
      <c r="B79" s="33"/>
      <c r="C79" s="67" t="s">
        <v>98</v>
      </c>
      <c r="D79" s="34"/>
      <c r="E79" s="34"/>
      <c r="F79" s="265" t="str">
        <f>F7</f>
        <v>2017082-KOVÁNEC - KOVÁNEC-LIKVIDACE VODNÍHO ZDROJE</v>
      </c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34"/>
      <c r="R79" s="35"/>
      <c r="T79" s="119"/>
      <c r="U79" s="119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19"/>
      <c r="U80" s="119"/>
    </row>
    <row r="81" spans="2:21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34"/>
      <c r="M81" s="281"/>
      <c r="N81" s="281"/>
      <c r="O81" s="281"/>
      <c r="P81" s="281"/>
      <c r="Q81" s="34"/>
      <c r="R81" s="35"/>
      <c r="T81" s="119"/>
      <c r="U81" s="119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19"/>
      <c r="U82" s="119"/>
    </row>
    <row r="83" spans="2:21" s="1" customFormat="1" ht="15">
      <c r="B83" s="33"/>
      <c r="C83" s="30" t="s">
        <v>25</v>
      </c>
      <c r="D83" s="34"/>
      <c r="E83" s="34"/>
      <c r="F83" s="28" t="str">
        <f>E12</f>
        <v>VODOVODY A KANALIZACE MLADÁ BOLESLAV A.S.</v>
      </c>
      <c r="G83" s="34"/>
      <c r="H83" s="34"/>
      <c r="I83" s="34"/>
      <c r="J83" s="34"/>
      <c r="K83" s="30" t="s">
        <v>31</v>
      </c>
      <c r="L83" s="34"/>
      <c r="M83" s="245" t="str">
        <f>E18</f>
        <v>ING.EVŽEN KOZÁK S.R.O.</v>
      </c>
      <c r="N83" s="245"/>
      <c r="O83" s="245"/>
      <c r="P83" s="245"/>
      <c r="Q83" s="245"/>
      <c r="R83" s="35"/>
      <c r="T83" s="119"/>
      <c r="U83" s="119"/>
    </row>
    <row r="84" spans="2:21" s="1" customFormat="1" ht="14.45" customHeight="1">
      <c r="B84" s="33"/>
      <c r="C84" s="30" t="s">
        <v>29</v>
      </c>
      <c r="D84" s="34"/>
      <c r="E84" s="34"/>
      <c r="F84" s="28" t="str">
        <f>IF(E15="","",E15)</f>
        <v>DLE VÝBĚROVÉHO ŘÍZENÍ</v>
      </c>
      <c r="G84" s="34"/>
      <c r="H84" s="34"/>
      <c r="I84" s="34"/>
      <c r="J84" s="34"/>
      <c r="K84" s="30" t="s">
        <v>34</v>
      </c>
      <c r="L84" s="34"/>
      <c r="M84" s="245" t="str">
        <f>E21</f>
        <v>ING.EVŽEN KOZÁK</v>
      </c>
      <c r="N84" s="245"/>
      <c r="O84" s="245"/>
      <c r="P84" s="245"/>
      <c r="Q84" s="245"/>
      <c r="R84" s="35"/>
      <c r="T84" s="119"/>
      <c r="U84" s="119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19"/>
      <c r="U85" s="119"/>
    </row>
    <row r="86" spans="2:21" s="1" customFormat="1" ht="29.25" customHeight="1">
      <c r="B86" s="33"/>
      <c r="C86" s="293" t="s">
        <v>103</v>
      </c>
      <c r="D86" s="294"/>
      <c r="E86" s="294"/>
      <c r="F86" s="294"/>
      <c r="G86" s="294"/>
      <c r="H86" s="108"/>
      <c r="I86" s="108"/>
      <c r="J86" s="108"/>
      <c r="K86" s="108"/>
      <c r="L86" s="108"/>
      <c r="M86" s="108"/>
      <c r="N86" s="293" t="s">
        <v>104</v>
      </c>
      <c r="O86" s="294"/>
      <c r="P86" s="294"/>
      <c r="Q86" s="294"/>
      <c r="R86" s="35"/>
      <c r="T86" s="119"/>
      <c r="U86" s="119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19"/>
      <c r="U87" s="119"/>
    </row>
    <row r="88" spans="2:47" s="1" customFormat="1" ht="29.25" customHeight="1">
      <c r="B88" s="33"/>
      <c r="C88" s="120" t="s">
        <v>105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70">
        <f>N89</f>
        <v>0</v>
      </c>
      <c r="O88" s="286"/>
      <c r="P88" s="286"/>
      <c r="Q88" s="286"/>
      <c r="R88" s="35"/>
      <c r="T88" s="119"/>
      <c r="U88" s="119"/>
      <c r="AU88" s="20" t="s">
        <v>106</v>
      </c>
    </row>
    <row r="89" spans="2:21" s="6" customFormat="1" ht="24.95" customHeight="1">
      <c r="B89" s="121"/>
      <c r="C89" s="122"/>
      <c r="D89" s="123" t="s">
        <v>107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87">
        <f>N115</f>
        <v>0</v>
      </c>
      <c r="O89" s="288"/>
      <c r="P89" s="288"/>
      <c r="Q89" s="288"/>
      <c r="R89" s="124"/>
      <c r="T89" s="125"/>
      <c r="U89" s="125"/>
    </row>
    <row r="90" spans="2:21" s="7" customFormat="1" ht="19.9" customHeight="1">
      <c r="B90" s="126"/>
      <c r="C90" s="127"/>
      <c r="D90" s="128" t="s">
        <v>108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89">
        <f>N116</f>
        <v>0</v>
      </c>
      <c r="O90" s="290"/>
      <c r="P90" s="290"/>
      <c r="Q90" s="290"/>
      <c r="R90" s="129"/>
      <c r="T90" s="130"/>
      <c r="U90" s="130"/>
    </row>
    <row r="91" spans="2:21" s="7" customFormat="1" ht="19.9" customHeight="1">
      <c r="B91" s="126"/>
      <c r="C91" s="127"/>
      <c r="D91" s="128" t="s">
        <v>109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89">
        <f>N141</f>
        <v>0</v>
      </c>
      <c r="O91" s="290"/>
      <c r="P91" s="290"/>
      <c r="Q91" s="290"/>
      <c r="R91" s="129"/>
      <c r="T91" s="130"/>
      <c r="U91" s="130"/>
    </row>
    <row r="92" spans="2:21" s="7" customFormat="1" ht="19.9" customHeight="1">
      <c r="B92" s="126"/>
      <c r="C92" s="127"/>
      <c r="D92" s="128" t="s">
        <v>110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89">
        <f>N147</f>
        <v>0</v>
      </c>
      <c r="O92" s="290"/>
      <c r="P92" s="290"/>
      <c r="Q92" s="290"/>
      <c r="R92" s="129"/>
      <c r="T92" s="130"/>
      <c r="U92" s="130"/>
    </row>
    <row r="93" spans="2:21" s="7" customFormat="1" ht="19.9" customHeight="1">
      <c r="B93" s="126"/>
      <c r="C93" s="127"/>
      <c r="D93" s="128" t="s">
        <v>111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89">
        <f>N150</f>
        <v>0</v>
      </c>
      <c r="O93" s="290"/>
      <c r="P93" s="290"/>
      <c r="Q93" s="290"/>
      <c r="R93" s="129"/>
      <c r="T93" s="130"/>
      <c r="U93" s="130"/>
    </row>
    <row r="94" spans="2:21" s="7" customFormat="1" ht="19.9" customHeight="1">
      <c r="B94" s="126"/>
      <c r="C94" s="127"/>
      <c r="D94" s="128" t="s">
        <v>112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89">
        <f>N170</f>
        <v>0</v>
      </c>
      <c r="O94" s="290"/>
      <c r="P94" s="290"/>
      <c r="Q94" s="290"/>
      <c r="R94" s="129"/>
      <c r="T94" s="130"/>
      <c r="U94" s="130"/>
    </row>
    <row r="95" spans="2:21" s="7" customFormat="1" ht="19.9" customHeight="1">
      <c r="B95" s="126"/>
      <c r="C95" s="127"/>
      <c r="D95" s="128" t="s">
        <v>113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89">
        <f>N176</f>
        <v>0</v>
      </c>
      <c r="O95" s="290"/>
      <c r="P95" s="290"/>
      <c r="Q95" s="290"/>
      <c r="R95" s="129"/>
      <c r="T95" s="130"/>
      <c r="U95" s="130"/>
    </row>
    <row r="96" spans="2:21" s="1" customFormat="1" ht="21.75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  <c r="T96" s="119"/>
      <c r="U96" s="119"/>
    </row>
    <row r="97" spans="2:21" s="1" customFormat="1" ht="29.25" customHeight="1">
      <c r="B97" s="33"/>
      <c r="C97" s="120" t="s">
        <v>122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286">
        <v>0</v>
      </c>
      <c r="O97" s="295"/>
      <c r="P97" s="295"/>
      <c r="Q97" s="295"/>
      <c r="R97" s="35"/>
      <c r="T97" s="131"/>
      <c r="U97" s="132" t="s">
        <v>38</v>
      </c>
    </row>
    <row r="98" spans="2:21" s="1" customFormat="1" ht="18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  <c r="T98" s="119"/>
      <c r="U98" s="119"/>
    </row>
    <row r="99" spans="2:21" s="1" customFormat="1" ht="29.25" customHeight="1">
      <c r="B99" s="33"/>
      <c r="C99" s="107" t="s">
        <v>90</v>
      </c>
      <c r="D99" s="108"/>
      <c r="E99" s="108"/>
      <c r="F99" s="108"/>
      <c r="G99" s="108"/>
      <c r="H99" s="108"/>
      <c r="I99" s="108"/>
      <c r="J99" s="108"/>
      <c r="K99" s="108"/>
      <c r="L99" s="276">
        <f>ROUND(SUM(N88+N97),2)</f>
        <v>0</v>
      </c>
      <c r="M99" s="276"/>
      <c r="N99" s="276"/>
      <c r="O99" s="276"/>
      <c r="P99" s="276"/>
      <c r="Q99" s="276"/>
      <c r="R99" s="35"/>
      <c r="T99" s="119"/>
      <c r="U99" s="119"/>
    </row>
    <row r="100" spans="2:21" s="1" customFormat="1" ht="8.25" customHeight="1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9"/>
      <c r="T100" s="119"/>
      <c r="U100" s="119"/>
    </row>
    <row r="102" spans="2:18" s="1" customFormat="1" ht="6.95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2"/>
    </row>
    <row r="103" spans="2:18" s="1" customFormat="1" ht="36.95" customHeight="1">
      <c r="B103" s="33"/>
      <c r="C103" s="243" t="s">
        <v>123</v>
      </c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35"/>
    </row>
    <row r="104" spans="2:18" s="1" customFormat="1" ht="6.95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18" s="1" customFormat="1" ht="30" customHeight="1">
      <c r="B105" s="33"/>
      <c r="C105" s="236" t="s">
        <v>17</v>
      </c>
      <c r="D105" s="235"/>
      <c r="E105" s="235"/>
      <c r="F105" s="291" t="str">
        <f>Rekapitulace!L78</f>
        <v>LIKVIDACE NEVYUŽÍVANÝCH VODOHOSPODÁŘSKÝCH OBJEKTŮ</v>
      </c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34"/>
      <c r="R105" s="35"/>
    </row>
    <row r="106" spans="2:18" s="1" customFormat="1" ht="36.95" customHeight="1">
      <c r="B106" s="33"/>
      <c r="C106" s="67" t="s">
        <v>98</v>
      </c>
      <c r="D106" s="34"/>
      <c r="E106" s="34"/>
      <c r="F106" s="265" t="str">
        <f>F7</f>
        <v>2017082-KOVÁNEC - KOVÁNEC-LIKVIDACE VODNÍHO ZDROJE</v>
      </c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34"/>
      <c r="R106" s="35"/>
    </row>
    <row r="107" spans="2:18" s="1" customFormat="1" ht="6.95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2:18" s="1" customFormat="1" ht="18" customHeight="1">
      <c r="B108" s="33"/>
      <c r="C108" s="30" t="s">
        <v>21</v>
      </c>
      <c r="D108" s="34"/>
      <c r="E108" s="34"/>
      <c r="F108" s="28" t="str">
        <f>F9</f>
        <v xml:space="preserve"> </v>
      </c>
      <c r="G108" s="34"/>
      <c r="H108" s="34"/>
      <c r="I108" s="34"/>
      <c r="J108" s="34"/>
      <c r="K108" s="30" t="s">
        <v>23</v>
      </c>
      <c r="L108" s="34"/>
      <c r="M108" s="281"/>
      <c r="N108" s="281"/>
      <c r="O108" s="281"/>
      <c r="P108" s="281"/>
      <c r="Q108" s="34"/>
      <c r="R108" s="35"/>
    </row>
    <row r="109" spans="2:18" s="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1" customFormat="1" ht="15">
      <c r="B110" s="33"/>
      <c r="C110" s="30" t="s">
        <v>25</v>
      </c>
      <c r="D110" s="34"/>
      <c r="E110" s="34"/>
      <c r="F110" s="28" t="str">
        <f>E12</f>
        <v>VODOVODY A KANALIZACE MLADÁ BOLESLAV A.S.</v>
      </c>
      <c r="G110" s="34"/>
      <c r="H110" s="34"/>
      <c r="I110" s="34"/>
      <c r="J110" s="34"/>
      <c r="K110" s="30" t="s">
        <v>31</v>
      </c>
      <c r="L110" s="34"/>
      <c r="M110" s="245" t="str">
        <f>E18</f>
        <v>ING.EVŽEN KOZÁK S.R.O.</v>
      </c>
      <c r="N110" s="245"/>
      <c r="O110" s="245"/>
      <c r="P110" s="245"/>
      <c r="Q110" s="245"/>
      <c r="R110" s="35"/>
    </row>
    <row r="111" spans="2:18" s="1" customFormat="1" ht="14.45" customHeight="1">
      <c r="B111" s="33"/>
      <c r="C111" s="30" t="s">
        <v>29</v>
      </c>
      <c r="D111" s="34"/>
      <c r="E111" s="34"/>
      <c r="F111" s="28" t="str">
        <f>IF(E15="","",E15)</f>
        <v>DLE VÝBĚROVÉHO ŘÍZENÍ</v>
      </c>
      <c r="G111" s="34"/>
      <c r="H111" s="34"/>
      <c r="I111" s="34"/>
      <c r="J111" s="34"/>
      <c r="K111" s="30" t="s">
        <v>34</v>
      </c>
      <c r="L111" s="34"/>
      <c r="M111" s="245" t="str">
        <f>E21</f>
        <v>ING.EVŽEN KOZÁK</v>
      </c>
      <c r="N111" s="245"/>
      <c r="O111" s="245"/>
      <c r="P111" s="245"/>
      <c r="Q111" s="245"/>
      <c r="R111" s="35"/>
    </row>
    <row r="112" spans="2:18" s="1" customFormat="1" ht="10.35" customHeight="1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27" s="8" customFormat="1" ht="29.25" customHeight="1">
      <c r="B113" s="133"/>
      <c r="C113" s="134" t="s">
        <v>124</v>
      </c>
      <c r="D113" s="135" t="s">
        <v>125</v>
      </c>
      <c r="E113" s="135" t="s">
        <v>56</v>
      </c>
      <c r="F113" s="296" t="s">
        <v>126</v>
      </c>
      <c r="G113" s="296"/>
      <c r="H113" s="296"/>
      <c r="I113" s="296"/>
      <c r="J113" s="135" t="s">
        <v>127</v>
      </c>
      <c r="K113" s="135" t="s">
        <v>128</v>
      </c>
      <c r="L113" s="296" t="s">
        <v>129</v>
      </c>
      <c r="M113" s="296"/>
      <c r="N113" s="296" t="s">
        <v>104</v>
      </c>
      <c r="O113" s="296"/>
      <c r="P113" s="296"/>
      <c r="Q113" s="297"/>
      <c r="R113" s="136"/>
      <c r="T113" s="78" t="s">
        <v>130</v>
      </c>
      <c r="U113" s="79" t="s">
        <v>38</v>
      </c>
      <c r="V113" s="79" t="s">
        <v>131</v>
      </c>
      <c r="W113" s="79" t="s">
        <v>132</v>
      </c>
      <c r="X113" s="79" t="s">
        <v>133</v>
      </c>
      <c r="Y113" s="79" t="s">
        <v>134</v>
      </c>
      <c r="Z113" s="79" t="s">
        <v>135</v>
      </c>
      <c r="AA113" s="80" t="s">
        <v>136</v>
      </c>
    </row>
    <row r="114" spans="2:63" s="1" customFormat="1" ht="29.25" customHeight="1">
      <c r="B114" s="33"/>
      <c r="C114" s="82" t="s">
        <v>100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298">
        <f>N115</f>
        <v>0</v>
      </c>
      <c r="O114" s="299"/>
      <c r="P114" s="299"/>
      <c r="Q114" s="299"/>
      <c r="R114" s="35"/>
      <c r="T114" s="81"/>
      <c r="U114" s="49"/>
      <c r="V114" s="49"/>
      <c r="W114" s="137">
        <f>W115</f>
        <v>114.95890000000001</v>
      </c>
      <c r="X114" s="49"/>
      <c r="Y114" s="137">
        <f>Y115</f>
        <v>39.19834068</v>
      </c>
      <c r="Z114" s="49"/>
      <c r="AA114" s="138">
        <f>AA115</f>
        <v>11.3952</v>
      </c>
      <c r="AT114" s="20" t="s">
        <v>72</v>
      </c>
      <c r="AU114" s="20" t="s">
        <v>106</v>
      </c>
      <c r="BK114" s="139">
        <f>BK115</f>
        <v>0</v>
      </c>
    </row>
    <row r="115" spans="2:63" s="9" customFormat="1" ht="37.35" customHeight="1">
      <c r="B115" s="140"/>
      <c r="C115" s="141"/>
      <c r="D115" s="142" t="s">
        <v>107</v>
      </c>
      <c r="E115" s="142"/>
      <c r="F115" s="142"/>
      <c r="G115" s="142"/>
      <c r="H115" s="142"/>
      <c r="I115" s="142"/>
      <c r="J115" s="142"/>
      <c r="K115" s="142"/>
      <c r="L115" s="142"/>
      <c r="M115" s="142"/>
      <c r="N115" s="300">
        <f>N116+N141+N147+N150+N170+N176</f>
        <v>0</v>
      </c>
      <c r="O115" s="287"/>
      <c r="P115" s="287"/>
      <c r="Q115" s="287"/>
      <c r="R115" s="143"/>
      <c r="T115" s="144"/>
      <c r="U115" s="141"/>
      <c r="V115" s="141"/>
      <c r="W115" s="145">
        <f>W116+W141+W147+W150+W170+W176</f>
        <v>114.95890000000001</v>
      </c>
      <c r="X115" s="141"/>
      <c r="Y115" s="145">
        <f>Y116+Y141+Y147+Y150+Y170+Y176</f>
        <v>39.19834068</v>
      </c>
      <c r="Z115" s="141"/>
      <c r="AA115" s="146">
        <f>AA116+AA141+AA147+AA150+AA170+AA176</f>
        <v>11.3952</v>
      </c>
      <c r="AR115" s="147" t="s">
        <v>80</v>
      </c>
      <c r="AT115" s="148" t="s">
        <v>72</v>
      </c>
      <c r="AU115" s="148" t="s">
        <v>73</v>
      </c>
      <c r="AY115" s="147" t="s">
        <v>137</v>
      </c>
      <c r="BK115" s="149">
        <f>BK116+BK141+BK147+BK150+BK170+BK176</f>
        <v>0</v>
      </c>
    </row>
    <row r="116" spans="2:63" s="9" customFormat="1" ht="19.9" customHeight="1">
      <c r="B116" s="140"/>
      <c r="C116" s="141"/>
      <c r="D116" s="150" t="s">
        <v>108</v>
      </c>
      <c r="E116" s="150"/>
      <c r="F116" s="150"/>
      <c r="G116" s="150"/>
      <c r="H116" s="150"/>
      <c r="I116" s="150"/>
      <c r="J116" s="150"/>
      <c r="K116" s="150"/>
      <c r="L116" s="150"/>
      <c r="M116" s="150"/>
      <c r="N116" s="301">
        <f>SUM(N117:N140)</f>
        <v>0</v>
      </c>
      <c r="O116" s="302"/>
      <c r="P116" s="302"/>
      <c r="Q116" s="302"/>
      <c r="R116" s="143"/>
      <c r="T116" s="144"/>
      <c r="U116" s="141"/>
      <c r="V116" s="141"/>
      <c r="W116" s="145">
        <f>SUM(W117:W140)</f>
        <v>36.765661</v>
      </c>
      <c r="X116" s="141"/>
      <c r="Y116" s="145">
        <f>SUM(Y117:Y140)</f>
        <v>31.8618</v>
      </c>
      <c r="Z116" s="141"/>
      <c r="AA116" s="146">
        <f>SUM(AA117:AA140)</f>
        <v>0</v>
      </c>
      <c r="AR116" s="147" t="s">
        <v>80</v>
      </c>
      <c r="AT116" s="148" t="s">
        <v>72</v>
      </c>
      <c r="AU116" s="148" t="s">
        <v>80</v>
      </c>
      <c r="AY116" s="147" t="s">
        <v>137</v>
      </c>
      <c r="BK116" s="149">
        <f>SUM(BK117:BK140)</f>
        <v>0</v>
      </c>
    </row>
    <row r="117" spans="2:65" s="1" customFormat="1" ht="25.5" customHeight="1">
      <c r="B117" s="33"/>
      <c r="C117" s="151">
        <v>1</v>
      </c>
      <c r="D117" s="151" t="s">
        <v>138</v>
      </c>
      <c r="E117" s="152" t="s">
        <v>270</v>
      </c>
      <c r="F117" s="312" t="s">
        <v>286</v>
      </c>
      <c r="G117" s="312"/>
      <c r="H117" s="312"/>
      <c r="I117" s="312"/>
      <c r="J117" s="153" t="s">
        <v>141</v>
      </c>
      <c r="K117" s="154">
        <v>3.713</v>
      </c>
      <c r="L117" s="233"/>
      <c r="M117" s="233"/>
      <c r="N117" s="307">
        <f>ROUND(L117*K117,2)</f>
        <v>0</v>
      </c>
      <c r="O117" s="307"/>
      <c r="P117" s="307"/>
      <c r="Q117" s="307"/>
      <c r="R117" s="35"/>
      <c r="T117" s="155" t="s">
        <v>19</v>
      </c>
      <c r="U117" s="42" t="s">
        <v>39</v>
      </c>
      <c r="V117" s="156">
        <v>6.062</v>
      </c>
      <c r="W117" s="156">
        <f>V117*K117</f>
        <v>22.508206</v>
      </c>
      <c r="X117" s="156">
        <v>0</v>
      </c>
      <c r="Y117" s="156">
        <f>X117*K117</f>
        <v>0</v>
      </c>
      <c r="Z117" s="156">
        <v>0</v>
      </c>
      <c r="AA117" s="157">
        <f>Z117*K117</f>
        <v>0</v>
      </c>
      <c r="AR117" s="20" t="s">
        <v>142</v>
      </c>
      <c r="AT117" s="20" t="s">
        <v>138</v>
      </c>
      <c r="AU117" s="20" t="s">
        <v>96</v>
      </c>
      <c r="AY117" s="20" t="s">
        <v>137</v>
      </c>
      <c r="BE117" s="158">
        <f>IF(U117="základní",N117,0)</f>
        <v>0</v>
      </c>
      <c r="BF117" s="158">
        <f>IF(U117="snížená",N117,0)</f>
        <v>0</v>
      </c>
      <c r="BG117" s="158">
        <f>IF(U117="zákl. přenesená",N117,0)</f>
        <v>0</v>
      </c>
      <c r="BH117" s="158">
        <f>IF(U117="sníž. přenesená",N117,0)</f>
        <v>0</v>
      </c>
      <c r="BI117" s="158">
        <f>IF(U117="nulová",N117,0)</f>
        <v>0</v>
      </c>
      <c r="BJ117" s="20" t="s">
        <v>80</v>
      </c>
      <c r="BK117" s="158">
        <f>ROUND(L117*K117,2)</f>
        <v>0</v>
      </c>
      <c r="BL117" s="20" t="s">
        <v>142</v>
      </c>
      <c r="BM117" s="20" t="s">
        <v>379</v>
      </c>
    </row>
    <row r="118" spans="2:51" s="10" customFormat="1" ht="16.5" customHeight="1">
      <c r="B118" s="159"/>
      <c r="C118" s="160"/>
      <c r="D118" s="160"/>
      <c r="E118" s="161" t="s">
        <v>19</v>
      </c>
      <c r="F118" s="308" t="s">
        <v>271</v>
      </c>
      <c r="G118" s="309"/>
      <c r="H118" s="309"/>
      <c r="I118" s="309"/>
      <c r="J118" s="160"/>
      <c r="K118" s="162">
        <v>3.713</v>
      </c>
      <c r="L118" s="233"/>
      <c r="M118" s="233"/>
      <c r="N118" s="160"/>
      <c r="O118" s="160"/>
      <c r="P118" s="160"/>
      <c r="Q118" s="160"/>
      <c r="R118" s="163"/>
      <c r="T118" s="164"/>
      <c r="U118" s="160"/>
      <c r="V118" s="160"/>
      <c r="W118" s="160"/>
      <c r="X118" s="160"/>
      <c r="Y118" s="160"/>
      <c r="Z118" s="160"/>
      <c r="AA118" s="165"/>
      <c r="AT118" s="166" t="s">
        <v>145</v>
      </c>
      <c r="AU118" s="166" t="s">
        <v>96</v>
      </c>
      <c r="AV118" s="10" t="s">
        <v>96</v>
      </c>
      <c r="AW118" s="10" t="s">
        <v>33</v>
      </c>
      <c r="AX118" s="10" t="s">
        <v>80</v>
      </c>
      <c r="AY118" s="166" t="s">
        <v>137</v>
      </c>
    </row>
    <row r="119" spans="2:65" s="1" customFormat="1" ht="38.25" customHeight="1">
      <c r="B119" s="33"/>
      <c r="C119" s="151">
        <v>2</v>
      </c>
      <c r="D119" s="151" t="s">
        <v>138</v>
      </c>
      <c r="E119" s="152" t="s">
        <v>272</v>
      </c>
      <c r="F119" s="312" t="s">
        <v>273</v>
      </c>
      <c r="G119" s="312"/>
      <c r="H119" s="312"/>
      <c r="I119" s="312"/>
      <c r="J119" s="153" t="s">
        <v>141</v>
      </c>
      <c r="K119" s="154">
        <v>6.72</v>
      </c>
      <c r="L119" s="233"/>
      <c r="M119" s="233"/>
      <c r="N119" s="307">
        <f>ROUND(L119*K119,2)</f>
        <v>0</v>
      </c>
      <c r="O119" s="307"/>
      <c r="P119" s="307"/>
      <c r="Q119" s="307"/>
      <c r="R119" s="35"/>
      <c r="T119" s="155" t="s">
        <v>19</v>
      </c>
      <c r="U119" s="42" t="s">
        <v>39</v>
      </c>
      <c r="V119" s="156">
        <v>0.083</v>
      </c>
      <c r="W119" s="156">
        <f>V119*K119</f>
        <v>0.55776</v>
      </c>
      <c r="X119" s="156">
        <v>0</v>
      </c>
      <c r="Y119" s="156">
        <f>X119*K119</f>
        <v>0</v>
      </c>
      <c r="Z119" s="156">
        <v>0</v>
      </c>
      <c r="AA119" s="157">
        <f>Z119*K119</f>
        <v>0</v>
      </c>
      <c r="AR119" s="20" t="s">
        <v>142</v>
      </c>
      <c r="AT119" s="20" t="s">
        <v>138</v>
      </c>
      <c r="AU119" s="20" t="s">
        <v>96</v>
      </c>
      <c r="AY119" s="20" t="s">
        <v>137</v>
      </c>
      <c r="BE119" s="158">
        <f>IF(U119="základní",N119,0)</f>
        <v>0</v>
      </c>
      <c r="BF119" s="158">
        <f>IF(U119="snížená",N119,0)</f>
        <v>0</v>
      </c>
      <c r="BG119" s="158">
        <f>IF(U119="zákl. přenesená",N119,0)</f>
        <v>0</v>
      </c>
      <c r="BH119" s="158">
        <f>IF(U119="sníž. přenesená",N119,0)</f>
        <v>0</v>
      </c>
      <c r="BI119" s="158">
        <f>IF(U119="nulová",N119,0)</f>
        <v>0</v>
      </c>
      <c r="BJ119" s="20" t="s">
        <v>80</v>
      </c>
      <c r="BK119" s="158">
        <f>ROUND(L119*K119,2)</f>
        <v>0</v>
      </c>
      <c r="BL119" s="20" t="s">
        <v>142</v>
      </c>
      <c r="BM119" s="20" t="s">
        <v>380</v>
      </c>
    </row>
    <row r="120" spans="2:51" s="10" customFormat="1" ht="16.5" customHeight="1">
      <c r="B120" s="159"/>
      <c r="C120" s="160"/>
      <c r="D120" s="160"/>
      <c r="E120" s="161" t="s">
        <v>19</v>
      </c>
      <c r="F120" s="308" t="s">
        <v>381</v>
      </c>
      <c r="G120" s="309"/>
      <c r="H120" s="309"/>
      <c r="I120" s="309"/>
      <c r="J120" s="160"/>
      <c r="K120" s="162">
        <v>6.72</v>
      </c>
      <c r="L120" s="233"/>
      <c r="M120" s="233"/>
      <c r="N120" s="160"/>
      <c r="O120" s="160"/>
      <c r="P120" s="160"/>
      <c r="Q120" s="160"/>
      <c r="R120" s="163"/>
      <c r="T120" s="164"/>
      <c r="U120" s="160"/>
      <c r="V120" s="160"/>
      <c r="W120" s="160"/>
      <c r="X120" s="160"/>
      <c r="Y120" s="160"/>
      <c r="Z120" s="160"/>
      <c r="AA120" s="165"/>
      <c r="AT120" s="166" t="s">
        <v>145</v>
      </c>
      <c r="AU120" s="166" t="s">
        <v>96</v>
      </c>
      <c r="AV120" s="10" t="s">
        <v>96</v>
      </c>
      <c r="AW120" s="10" t="s">
        <v>33</v>
      </c>
      <c r="AX120" s="10" t="s">
        <v>80</v>
      </c>
      <c r="AY120" s="166" t="s">
        <v>137</v>
      </c>
    </row>
    <row r="121" spans="2:65" s="1" customFormat="1" ht="51" customHeight="1">
      <c r="B121" s="33"/>
      <c r="C121" s="151">
        <v>3</v>
      </c>
      <c r="D121" s="151" t="s">
        <v>138</v>
      </c>
      <c r="E121" s="152" t="s">
        <v>274</v>
      </c>
      <c r="F121" s="312" t="s">
        <v>275</v>
      </c>
      <c r="G121" s="312"/>
      <c r="H121" s="312"/>
      <c r="I121" s="312"/>
      <c r="J121" s="153" t="s">
        <v>141</v>
      </c>
      <c r="K121" s="154">
        <f>K123</f>
        <v>67.2</v>
      </c>
      <c r="L121" s="233"/>
      <c r="M121" s="233"/>
      <c r="N121" s="307">
        <f>ROUND(L121*K121,2)</f>
        <v>0</v>
      </c>
      <c r="O121" s="307"/>
      <c r="P121" s="307"/>
      <c r="Q121" s="307"/>
      <c r="R121" s="35"/>
      <c r="T121" s="155" t="s">
        <v>19</v>
      </c>
      <c r="U121" s="42" t="s">
        <v>39</v>
      </c>
      <c r="V121" s="156">
        <v>0.004</v>
      </c>
      <c r="W121" s="156">
        <f>V121*K121</f>
        <v>0.26880000000000004</v>
      </c>
      <c r="X121" s="156">
        <v>0</v>
      </c>
      <c r="Y121" s="156">
        <f>X121*K121</f>
        <v>0</v>
      </c>
      <c r="Z121" s="156">
        <v>0</v>
      </c>
      <c r="AA121" s="157">
        <f>Z121*K121</f>
        <v>0</v>
      </c>
      <c r="AR121" s="20" t="s">
        <v>142</v>
      </c>
      <c r="AT121" s="20" t="s">
        <v>138</v>
      </c>
      <c r="AU121" s="20" t="s">
        <v>96</v>
      </c>
      <c r="AY121" s="20" t="s">
        <v>137</v>
      </c>
      <c r="BE121" s="158">
        <f>IF(U121="základní",N121,0)</f>
        <v>0</v>
      </c>
      <c r="BF121" s="158">
        <f>IF(U121="snížená",N121,0)</f>
        <v>0</v>
      </c>
      <c r="BG121" s="158">
        <f>IF(U121="zákl. přenesená",N121,0)</f>
        <v>0</v>
      </c>
      <c r="BH121" s="158">
        <f>IF(U121="sníž. přenesená",N121,0)</f>
        <v>0</v>
      </c>
      <c r="BI121" s="158">
        <f>IF(U121="nulová",N121,0)</f>
        <v>0</v>
      </c>
      <c r="BJ121" s="20" t="s">
        <v>80</v>
      </c>
      <c r="BK121" s="158">
        <f>ROUND(L121*K121,2)</f>
        <v>0</v>
      </c>
      <c r="BL121" s="20" t="s">
        <v>142</v>
      </c>
      <c r="BM121" s="20" t="s">
        <v>382</v>
      </c>
    </row>
    <row r="122" spans="2:51" s="10" customFormat="1" ht="16.5" customHeight="1">
      <c r="B122" s="159"/>
      <c r="C122" s="160"/>
      <c r="D122" s="160"/>
      <c r="E122" s="161" t="s">
        <v>19</v>
      </c>
      <c r="F122" s="308" t="s">
        <v>381</v>
      </c>
      <c r="G122" s="309"/>
      <c r="H122" s="309"/>
      <c r="I122" s="309"/>
      <c r="J122" s="160"/>
      <c r="K122" s="162">
        <v>6.72</v>
      </c>
      <c r="L122" s="233"/>
      <c r="M122" s="233"/>
      <c r="N122" s="160"/>
      <c r="O122" s="160"/>
      <c r="P122" s="160"/>
      <c r="Q122" s="160"/>
      <c r="R122" s="163"/>
      <c r="T122" s="164"/>
      <c r="U122" s="160"/>
      <c r="V122" s="160"/>
      <c r="W122" s="160"/>
      <c r="X122" s="160"/>
      <c r="Y122" s="160"/>
      <c r="Z122" s="160"/>
      <c r="AA122" s="165"/>
      <c r="AT122" s="166" t="s">
        <v>145</v>
      </c>
      <c r="AU122" s="166" t="s">
        <v>96</v>
      </c>
      <c r="AV122" s="10" t="s">
        <v>96</v>
      </c>
      <c r="AW122" s="10" t="s">
        <v>33</v>
      </c>
      <c r="AX122" s="10" t="s">
        <v>73</v>
      </c>
      <c r="AY122" s="166" t="s">
        <v>137</v>
      </c>
    </row>
    <row r="123" spans="2:51" s="10" customFormat="1" ht="25.5" customHeight="1">
      <c r="B123" s="159"/>
      <c r="C123" s="160"/>
      <c r="D123" s="160"/>
      <c r="E123" s="161" t="s">
        <v>19</v>
      </c>
      <c r="F123" s="310" t="s">
        <v>508</v>
      </c>
      <c r="G123" s="311"/>
      <c r="H123" s="311"/>
      <c r="I123" s="311"/>
      <c r="J123" s="160"/>
      <c r="K123" s="162">
        <f>K122*10</f>
        <v>67.2</v>
      </c>
      <c r="L123" s="233"/>
      <c r="M123" s="233"/>
      <c r="N123" s="160"/>
      <c r="O123" s="160"/>
      <c r="P123" s="160"/>
      <c r="Q123" s="160"/>
      <c r="R123" s="163"/>
      <c r="T123" s="164"/>
      <c r="U123" s="160"/>
      <c r="V123" s="160"/>
      <c r="W123" s="160"/>
      <c r="X123" s="160"/>
      <c r="Y123" s="160"/>
      <c r="Z123" s="160"/>
      <c r="AA123" s="165"/>
      <c r="AT123" s="166" t="s">
        <v>145</v>
      </c>
      <c r="AU123" s="166" t="s">
        <v>96</v>
      </c>
      <c r="AV123" s="10" t="s">
        <v>96</v>
      </c>
      <c r="AW123" s="10" t="s">
        <v>33</v>
      </c>
      <c r="AX123" s="10" t="s">
        <v>80</v>
      </c>
      <c r="AY123" s="166" t="s">
        <v>137</v>
      </c>
    </row>
    <row r="124" spans="2:51" s="10" customFormat="1" ht="16.5" customHeight="1">
      <c r="B124" s="159"/>
      <c r="C124" s="192">
        <v>4</v>
      </c>
      <c r="D124" s="193"/>
      <c r="E124" s="194">
        <v>167101101</v>
      </c>
      <c r="F124" s="324" t="s">
        <v>507</v>
      </c>
      <c r="G124" s="324"/>
      <c r="H124" s="324"/>
      <c r="I124" s="324"/>
      <c r="J124" s="153" t="s">
        <v>141</v>
      </c>
      <c r="K124" s="154">
        <f>K117</f>
        <v>3.713</v>
      </c>
      <c r="L124" s="233"/>
      <c r="M124" s="233"/>
      <c r="N124" s="307">
        <f>ROUND(L124*K124,2)</f>
        <v>0</v>
      </c>
      <c r="O124" s="307"/>
      <c r="P124" s="307"/>
      <c r="Q124" s="307"/>
      <c r="R124" s="163"/>
      <c r="T124" s="164"/>
      <c r="U124" s="190"/>
      <c r="V124" s="190"/>
      <c r="W124" s="190"/>
      <c r="X124" s="190"/>
      <c r="Y124" s="190"/>
      <c r="Z124" s="190"/>
      <c r="AA124" s="165"/>
      <c r="AT124" s="166"/>
      <c r="AU124" s="166"/>
      <c r="AY124" s="166"/>
    </row>
    <row r="125" spans="2:65" s="1" customFormat="1" ht="25.5" customHeight="1">
      <c r="B125" s="33"/>
      <c r="C125" s="151">
        <v>5</v>
      </c>
      <c r="D125" s="151" t="s">
        <v>138</v>
      </c>
      <c r="E125" s="152" t="s">
        <v>139</v>
      </c>
      <c r="F125" s="312" t="s">
        <v>140</v>
      </c>
      <c r="G125" s="312"/>
      <c r="H125" s="312"/>
      <c r="I125" s="312"/>
      <c r="J125" s="153" t="s">
        <v>141</v>
      </c>
      <c r="K125" s="154">
        <f>K131</f>
        <v>22.65</v>
      </c>
      <c r="L125" s="233"/>
      <c r="M125" s="233"/>
      <c r="N125" s="307">
        <f>ROUND(L125*K125,2)</f>
        <v>0</v>
      </c>
      <c r="O125" s="307"/>
      <c r="P125" s="307"/>
      <c r="Q125" s="307"/>
      <c r="R125" s="35"/>
      <c r="T125" s="155" t="s">
        <v>19</v>
      </c>
      <c r="U125" s="42" t="s">
        <v>39</v>
      </c>
      <c r="V125" s="156">
        <v>0.299</v>
      </c>
      <c r="W125" s="156">
        <f>V125*K125</f>
        <v>6.772349999999999</v>
      </c>
      <c r="X125" s="156">
        <v>0</v>
      </c>
      <c r="Y125" s="156">
        <f>X125*K125</f>
        <v>0</v>
      </c>
      <c r="Z125" s="156">
        <v>0</v>
      </c>
      <c r="AA125" s="157">
        <f>Z125*K125</f>
        <v>0</v>
      </c>
      <c r="AR125" s="20" t="s">
        <v>142</v>
      </c>
      <c r="AT125" s="20" t="s">
        <v>138</v>
      </c>
      <c r="AU125" s="20" t="s">
        <v>96</v>
      </c>
      <c r="AY125" s="20" t="s">
        <v>137</v>
      </c>
      <c r="BE125" s="158">
        <f>IF(U125="základní",N125,0)</f>
        <v>0</v>
      </c>
      <c r="BF125" s="158">
        <f>IF(U125="snížená",N125,0)</f>
        <v>0</v>
      </c>
      <c r="BG125" s="158">
        <f>IF(U125="zákl. přenesená",N125,0)</f>
        <v>0</v>
      </c>
      <c r="BH125" s="158">
        <f>IF(U125="sníž. přenesená",N125,0)</f>
        <v>0</v>
      </c>
      <c r="BI125" s="158">
        <f>IF(U125="nulová",N125,0)</f>
        <v>0</v>
      </c>
      <c r="BJ125" s="20" t="s">
        <v>80</v>
      </c>
      <c r="BK125" s="158">
        <f>ROUND(L125*K125,2)</f>
        <v>0</v>
      </c>
      <c r="BL125" s="20" t="s">
        <v>142</v>
      </c>
      <c r="BM125" s="20" t="s">
        <v>383</v>
      </c>
    </row>
    <row r="126" spans="2:51" s="10" customFormat="1" ht="16.5" customHeight="1">
      <c r="B126" s="159"/>
      <c r="C126" s="160"/>
      <c r="D126" s="160"/>
      <c r="E126" s="161" t="s">
        <v>19</v>
      </c>
      <c r="F126" s="308" t="s">
        <v>381</v>
      </c>
      <c r="G126" s="309"/>
      <c r="H126" s="309"/>
      <c r="I126" s="309"/>
      <c r="J126" s="160"/>
      <c r="K126" s="162">
        <v>6.72</v>
      </c>
      <c r="L126" s="233"/>
      <c r="M126" s="233"/>
      <c r="N126" s="160"/>
      <c r="O126" s="160"/>
      <c r="P126" s="160"/>
      <c r="Q126" s="160"/>
      <c r="R126" s="163"/>
      <c r="T126" s="164"/>
      <c r="U126" s="160"/>
      <c r="V126" s="160"/>
      <c r="W126" s="160"/>
      <c r="X126" s="160"/>
      <c r="Y126" s="160"/>
      <c r="Z126" s="160"/>
      <c r="AA126" s="165"/>
      <c r="AT126" s="166" t="s">
        <v>145</v>
      </c>
      <c r="AU126" s="166" t="s">
        <v>96</v>
      </c>
      <c r="AV126" s="10" t="s">
        <v>96</v>
      </c>
      <c r="AW126" s="10" t="s">
        <v>33</v>
      </c>
      <c r="AX126" s="10" t="s">
        <v>80</v>
      </c>
      <c r="AY126" s="166" t="s">
        <v>137</v>
      </c>
    </row>
    <row r="127" spans="2:51" s="10" customFormat="1" ht="25.5" customHeight="1">
      <c r="B127" s="159"/>
      <c r="C127" s="160"/>
      <c r="D127" s="160"/>
      <c r="E127" s="161" t="s">
        <v>19</v>
      </c>
      <c r="F127" s="308" t="s">
        <v>385</v>
      </c>
      <c r="G127" s="309"/>
      <c r="H127" s="309"/>
      <c r="I127" s="309"/>
      <c r="J127" s="160"/>
      <c r="K127" s="162">
        <v>8.854</v>
      </c>
      <c r="L127" s="233"/>
      <c r="M127" s="233"/>
      <c r="N127" s="160"/>
      <c r="O127" s="160"/>
      <c r="P127" s="160"/>
      <c r="Q127" s="160"/>
      <c r="R127" s="163"/>
      <c r="T127" s="164"/>
      <c r="U127" s="160"/>
      <c r="V127" s="160"/>
      <c r="W127" s="160"/>
      <c r="X127" s="160"/>
      <c r="Y127" s="160"/>
      <c r="Z127" s="160"/>
      <c r="AA127" s="165"/>
      <c r="AT127" s="166" t="s">
        <v>145</v>
      </c>
      <c r="AU127" s="166" t="s">
        <v>96</v>
      </c>
      <c r="AV127" s="10" t="s">
        <v>96</v>
      </c>
      <c r="AW127" s="10" t="s">
        <v>33</v>
      </c>
      <c r="AX127" s="10" t="s">
        <v>73</v>
      </c>
      <c r="AY127" s="166" t="s">
        <v>137</v>
      </c>
    </row>
    <row r="128" spans="2:51" s="10" customFormat="1" ht="25.5" customHeight="1">
      <c r="B128" s="159"/>
      <c r="C128" s="160"/>
      <c r="D128" s="160"/>
      <c r="E128" s="161" t="s">
        <v>19</v>
      </c>
      <c r="F128" s="310" t="s">
        <v>386</v>
      </c>
      <c r="G128" s="311"/>
      <c r="H128" s="311"/>
      <c r="I128" s="311"/>
      <c r="J128" s="160"/>
      <c r="K128" s="162">
        <v>1.53</v>
      </c>
      <c r="L128" s="233"/>
      <c r="M128" s="233"/>
      <c r="N128" s="160"/>
      <c r="O128" s="160"/>
      <c r="P128" s="160"/>
      <c r="Q128" s="160"/>
      <c r="R128" s="163"/>
      <c r="T128" s="164"/>
      <c r="U128" s="160"/>
      <c r="V128" s="160"/>
      <c r="W128" s="160"/>
      <c r="X128" s="160"/>
      <c r="Y128" s="160"/>
      <c r="Z128" s="160"/>
      <c r="AA128" s="165"/>
      <c r="AT128" s="166" t="s">
        <v>145</v>
      </c>
      <c r="AU128" s="166" t="s">
        <v>96</v>
      </c>
      <c r="AV128" s="10" t="s">
        <v>96</v>
      </c>
      <c r="AW128" s="10" t="s">
        <v>33</v>
      </c>
      <c r="AX128" s="10" t="s">
        <v>73</v>
      </c>
      <c r="AY128" s="166" t="s">
        <v>137</v>
      </c>
    </row>
    <row r="129" spans="2:51" s="10" customFormat="1" ht="25.5" customHeight="1">
      <c r="B129" s="159"/>
      <c r="C129" s="160"/>
      <c r="D129" s="160"/>
      <c r="E129" s="161" t="s">
        <v>19</v>
      </c>
      <c r="F129" s="310" t="s">
        <v>387</v>
      </c>
      <c r="G129" s="311"/>
      <c r="H129" s="311"/>
      <c r="I129" s="311"/>
      <c r="J129" s="160"/>
      <c r="K129" s="162">
        <v>0.663</v>
      </c>
      <c r="L129" s="233"/>
      <c r="M129" s="233"/>
      <c r="N129" s="160"/>
      <c r="O129" s="160"/>
      <c r="P129" s="160"/>
      <c r="Q129" s="160"/>
      <c r="R129" s="163"/>
      <c r="T129" s="164"/>
      <c r="U129" s="160"/>
      <c r="V129" s="160"/>
      <c r="W129" s="160"/>
      <c r="X129" s="160"/>
      <c r="Y129" s="160"/>
      <c r="Z129" s="160"/>
      <c r="AA129" s="165"/>
      <c r="AT129" s="166" t="s">
        <v>145</v>
      </c>
      <c r="AU129" s="166" t="s">
        <v>96</v>
      </c>
      <c r="AV129" s="10" t="s">
        <v>96</v>
      </c>
      <c r="AW129" s="10" t="s">
        <v>33</v>
      </c>
      <c r="AX129" s="10" t="s">
        <v>73</v>
      </c>
      <c r="AY129" s="166" t="s">
        <v>137</v>
      </c>
    </row>
    <row r="130" spans="2:51" s="10" customFormat="1" ht="25.5" customHeight="1">
      <c r="B130" s="159"/>
      <c r="C130" s="160"/>
      <c r="D130" s="160"/>
      <c r="E130" s="161" t="s">
        <v>19</v>
      </c>
      <c r="F130" s="310" t="s">
        <v>388</v>
      </c>
      <c r="G130" s="311"/>
      <c r="H130" s="311"/>
      <c r="I130" s="311"/>
      <c r="J130" s="160"/>
      <c r="K130" s="162">
        <v>4.883</v>
      </c>
      <c r="L130" s="233"/>
      <c r="M130" s="233"/>
      <c r="N130" s="160"/>
      <c r="O130" s="160"/>
      <c r="P130" s="160"/>
      <c r="Q130" s="160"/>
      <c r="R130" s="163"/>
      <c r="T130" s="164"/>
      <c r="U130" s="160"/>
      <c r="V130" s="160"/>
      <c r="W130" s="160"/>
      <c r="X130" s="160"/>
      <c r="Y130" s="160"/>
      <c r="Z130" s="160"/>
      <c r="AA130" s="165"/>
      <c r="AT130" s="166" t="s">
        <v>145</v>
      </c>
      <c r="AU130" s="166" t="s">
        <v>96</v>
      </c>
      <c r="AV130" s="10" t="s">
        <v>96</v>
      </c>
      <c r="AW130" s="10" t="s">
        <v>33</v>
      </c>
      <c r="AX130" s="10" t="s">
        <v>73</v>
      </c>
      <c r="AY130" s="166" t="s">
        <v>137</v>
      </c>
    </row>
    <row r="131" spans="2:51" s="11" customFormat="1" ht="16.5" customHeight="1">
      <c r="B131" s="167"/>
      <c r="C131" s="168"/>
      <c r="D131" s="168"/>
      <c r="E131" s="169" t="s">
        <v>19</v>
      </c>
      <c r="F131" s="303" t="s">
        <v>544</v>
      </c>
      <c r="G131" s="304"/>
      <c r="H131" s="304"/>
      <c r="I131" s="304"/>
      <c r="J131" s="168"/>
      <c r="K131" s="170">
        <f>SUM(K126:K130)</f>
        <v>22.65</v>
      </c>
      <c r="L131" s="233"/>
      <c r="M131" s="233"/>
      <c r="N131" s="168"/>
      <c r="O131" s="168"/>
      <c r="P131" s="168"/>
      <c r="Q131" s="168"/>
      <c r="R131" s="171"/>
      <c r="T131" s="172"/>
      <c r="U131" s="168"/>
      <c r="V131" s="168"/>
      <c r="W131" s="168"/>
      <c r="X131" s="168"/>
      <c r="Y131" s="168"/>
      <c r="Z131" s="168"/>
      <c r="AA131" s="173"/>
      <c r="AT131" s="174" t="s">
        <v>145</v>
      </c>
      <c r="AU131" s="174" t="s">
        <v>96</v>
      </c>
      <c r="AV131" s="11" t="s">
        <v>142</v>
      </c>
      <c r="AW131" s="11" t="s">
        <v>33</v>
      </c>
      <c r="AX131" s="11" t="s">
        <v>80</v>
      </c>
      <c r="AY131" s="174" t="s">
        <v>137</v>
      </c>
    </row>
    <row r="132" spans="2:65" s="1" customFormat="1" ht="16.5" customHeight="1">
      <c r="B132" s="33"/>
      <c r="C132" s="175">
        <v>6</v>
      </c>
      <c r="D132" s="175" t="s">
        <v>149</v>
      </c>
      <c r="E132" s="176" t="s">
        <v>156</v>
      </c>
      <c r="F132" s="305" t="s">
        <v>157</v>
      </c>
      <c r="G132" s="305"/>
      <c r="H132" s="305"/>
      <c r="I132" s="305"/>
      <c r="J132" s="177" t="s">
        <v>152</v>
      </c>
      <c r="K132" s="178">
        <f>K133</f>
        <v>31.86</v>
      </c>
      <c r="L132" s="233"/>
      <c r="M132" s="233"/>
      <c r="N132" s="306">
        <f>ROUND(L132*K132,2)</f>
        <v>0</v>
      </c>
      <c r="O132" s="307"/>
      <c r="P132" s="307"/>
      <c r="Q132" s="307"/>
      <c r="R132" s="35"/>
      <c r="T132" s="155" t="s">
        <v>19</v>
      </c>
      <c r="U132" s="42" t="s">
        <v>39</v>
      </c>
      <c r="V132" s="156">
        <v>0</v>
      </c>
      <c r="W132" s="156">
        <f>V132*K132</f>
        <v>0</v>
      </c>
      <c r="X132" s="156">
        <v>1</v>
      </c>
      <c r="Y132" s="156">
        <f>X132*K132</f>
        <v>31.86</v>
      </c>
      <c r="Z132" s="156">
        <v>0</v>
      </c>
      <c r="AA132" s="157">
        <f>Z132*K132</f>
        <v>0</v>
      </c>
      <c r="AR132" s="20" t="s">
        <v>153</v>
      </c>
      <c r="AT132" s="20" t="s">
        <v>149</v>
      </c>
      <c r="AU132" s="20" t="s">
        <v>96</v>
      </c>
      <c r="AY132" s="20" t="s">
        <v>137</v>
      </c>
      <c r="BE132" s="158">
        <f>IF(U132="základní",N132,0)</f>
        <v>0</v>
      </c>
      <c r="BF132" s="158">
        <f>IF(U132="snížená",N132,0)</f>
        <v>0</v>
      </c>
      <c r="BG132" s="158">
        <f>IF(U132="zákl. přenesená",N132,0)</f>
        <v>0</v>
      </c>
      <c r="BH132" s="158">
        <f>IF(U132="sníž. přenesená",N132,0)</f>
        <v>0</v>
      </c>
      <c r="BI132" s="158">
        <f>IF(U132="nulová",N132,0)</f>
        <v>0</v>
      </c>
      <c r="BJ132" s="20" t="s">
        <v>80</v>
      </c>
      <c r="BK132" s="158">
        <f>ROUND(L132*K132,2)</f>
        <v>0</v>
      </c>
      <c r="BL132" s="20" t="s">
        <v>142</v>
      </c>
      <c r="BM132" s="20" t="s">
        <v>384</v>
      </c>
    </row>
    <row r="133" spans="2:51" s="10" customFormat="1" ht="25.5" customHeight="1">
      <c r="B133" s="159"/>
      <c r="C133" s="203"/>
      <c r="D133" s="203"/>
      <c r="E133" s="161" t="s">
        <v>19</v>
      </c>
      <c r="F133" s="310" t="s">
        <v>543</v>
      </c>
      <c r="G133" s="311"/>
      <c r="H133" s="311"/>
      <c r="I133" s="311"/>
      <c r="J133" s="203"/>
      <c r="K133" s="162">
        <f>15.93*2</f>
        <v>31.86</v>
      </c>
      <c r="L133" s="233"/>
      <c r="M133" s="233"/>
      <c r="N133" s="203"/>
      <c r="O133" s="203"/>
      <c r="P133" s="203"/>
      <c r="Q133" s="203"/>
      <c r="R133" s="163"/>
      <c r="T133" s="164"/>
      <c r="U133" s="203"/>
      <c r="V133" s="203"/>
      <c r="W133" s="203"/>
      <c r="X133" s="203"/>
      <c r="Y133" s="203"/>
      <c r="Z133" s="203"/>
      <c r="AA133" s="165"/>
      <c r="AT133" s="166" t="s">
        <v>145</v>
      </c>
      <c r="AU133" s="166" t="s">
        <v>96</v>
      </c>
      <c r="AV133" s="10" t="s">
        <v>96</v>
      </c>
      <c r="AW133" s="10" t="s">
        <v>33</v>
      </c>
      <c r="AX133" s="10" t="s">
        <v>80</v>
      </c>
      <c r="AY133" s="166" t="s">
        <v>137</v>
      </c>
    </row>
    <row r="134" spans="2:65" s="1" customFormat="1" ht="38.25" customHeight="1">
      <c r="B134" s="33"/>
      <c r="C134" s="151">
        <v>7</v>
      </c>
      <c r="D134" s="151" t="s">
        <v>138</v>
      </c>
      <c r="E134" s="152" t="s">
        <v>276</v>
      </c>
      <c r="F134" s="312" t="s">
        <v>277</v>
      </c>
      <c r="G134" s="312"/>
      <c r="H134" s="312"/>
      <c r="I134" s="312"/>
      <c r="J134" s="153" t="s">
        <v>141</v>
      </c>
      <c r="K134" s="154">
        <v>3.713</v>
      </c>
      <c r="L134" s="233"/>
      <c r="M134" s="233"/>
      <c r="N134" s="307">
        <f>ROUND(L134*K134,2)</f>
        <v>0</v>
      </c>
      <c r="O134" s="307"/>
      <c r="P134" s="307"/>
      <c r="Q134" s="307"/>
      <c r="R134" s="35"/>
      <c r="T134" s="155" t="s">
        <v>19</v>
      </c>
      <c r="U134" s="42" t="s">
        <v>39</v>
      </c>
      <c r="V134" s="156">
        <v>0.465</v>
      </c>
      <c r="W134" s="156">
        <f>V134*K134</f>
        <v>1.7265450000000002</v>
      </c>
      <c r="X134" s="156">
        <v>0</v>
      </c>
      <c r="Y134" s="156">
        <f>X134*K134</f>
        <v>0</v>
      </c>
      <c r="Z134" s="156">
        <v>0</v>
      </c>
      <c r="AA134" s="157">
        <f>Z134*K134</f>
        <v>0</v>
      </c>
      <c r="AR134" s="20" t="s">
        <v>142</v>
      </c>
      <c r="AT134" s="20" t="s">
        <v>138</v>
      </c>
      <c r="AU134" s="20" t="s">
        <v>96</v>
      </c>
      <c r="AY134" s="20" t="s">
        <v>137</v>
      </c>
      <c r="BE134" s="158">
        <f>IF(U134="základní",N134,0)</f>
        <v>0</v>
      </c>
      <c r="BF134" s="158">
        <f>IF(U134="snížená",N134,0)</f>
        <v>0</v>
      </c>
      <c r="BG134" s="158">
        <f>IF(U134="zákl. přenesená",N134,0)</f>
        <v>0</v>
      </c>
      <c r="BH134" s="158">
        <f>IF(U134="sníž. přenesená",N134,0)</f>
        <v>0</v>
      </c>
      <c r="BI134" s="158">
        <f>IF(U134="nulová",N134,0)</f>
        <v>0</v>
      </c>
      <c r="BJ134" s="20" t="s">
        <v>80</v>
      </c>
      <c r="BK134" s="158">
        <f>ROUND(L134*K134,2)</f>
        <v>0</v>
      </c>
      <c r="BL134" s="20" t="s">
        <v>142</v>
      </c>
      <c r="BM134" s="20" t="s">
        <v>389</v>
      </c>
    </row>
    <row r="135" spans="2:51" s="10" customFormat="1" ht="25.5" customHeight="1">
      <c r="B135" s="159"/>
      <c r="C135" s="160"/>
      <c r="D135" s="160"/>
      <c r="E135" s="161" t="s">
        <v>19</v>
      </c>
      <c r="F135" s="308" t="s">
        <v>390</v>
      </c>
      <c r="G135" s="309"/>
      <c r="H135" s="309"/>
      <c r="I135" s="309"/>
      <c r="J135" s="160"/>
      <c r="K135" s="162">
        <v>3.713</v>
      </c>
      <c r="L135" s="233"/>
      <c r="M135" s="233"/>
      <c r="N135" s="160"/>
      <c r="O135" s="160"/>
      <c r="P135" s="160"/>
      <c r="Q135" s="160"/>
      <c r="R135" s="163"/>
      <c r="T135" s="164"/>
      <c r="U135" s="160"/>
      <c r="V135" s="160"/>
      <c r="W135" s="160"/>
      <c r="X135" s="160"/>
      <c r="Y135" s="160"/>
      <c r="Z135" s="160"/>
      <c r="AA135" s="165"/>
      <c r="AT135" s="166" t="s">
        <v>145</v>
      </c>
      <c r="AU135" s="166" t="s">
        <v>96</v>
      </c>
      <c r="AV135" s="10" t="s">
        <v>96</v>
      </c>
      <c r="AW135" s="10" t="s">
        <v>33</v>
      </c>
      <c r="AX135" s="10" t="s">
        <v>80</v>
      </c>
      <c r="AY135" s="166" t="s">
        <v>137</v>
      </c>
    </row>
    <row r="136" spans="2:65" s="1" customFormat="1" ht="38.25" customHeight="1">
      <c r="B136" s="33"/>
      <c r="C136" s="151">
        <v>8</v>
      </c>
      <c r="D136" s="151" t="s">
        <v>138</v>
      </c>
      <c r="E136" s="152" t="s">
        <v>160</v>
      </c>
      <c r="F136" s="312" t="s">
        <v>161</v>
      </c>
      <c r="G136" s="312"/>
      <c r="H136" s="312"/>
      <c r="I136" s="312"/>
      <c r="J136" s="153" t="s">
        <v>162</v>
      </c>
      <c r="K136" s="154">
        <v>36</v>
      </c>
      <c r="L136" s="233"/>
      <c r="M136" s="233"/>
      <c r="N136" s="307">
        <f>ROUND(L136*K136,2)</f>
        <v>0</v>
      </c>
      <c r="O136" s="307"/>
      <c r="P136" s="307"/>
      <c r="Q136" s="307"/>
      <c r="R136" s="35"/>
      <c r="T136" s="155" t="s">
        <v>19</v>
      </c>
      <c r="U136" s="42" t="s">
        <v>39</v>
      </c>
      <c r="V136" s="156">
        <v>0.13</v>
      </c>
      <c r="W136" s="156">
        <f>V136*K136</f>
        <v>4.68</v>
      </c>
      <c r="X136" s="156">
        <v>0</v>
      </c>
      <c r="Y136" s="156">
        <f>X136*K136</f>
        <v>0</v>
      </c>
      <c r="Z136" s="156">
        <v>0</v>
      </c>
      <c r="AA136" s="157">
        <f>Z136*K136</f>
        <v>0</v>
      </c>
      <c r="AR136" s="20" t="s">
        <v>142</v>
      </c>
      <c r="AT136" s="20" t="s">
        <v>138</v>
      </c>
      <c r="AU136" s="20" t="s">
        <v>96</v>
      </c>
      <c r="AY136" s="20" t="s">
        <v>137</v>
      </c>
      <c r="BE136" s="158">
        <f>IF(U136="základní",N136,0)</f>
        <v>0</v>
      </c>
      <c r="BF136" s="158">
        <f>IF(U136="snížená",N136,0)</f>
        <v>0</v>
      </c>
      <c r="BG136" s="158">
        <f>IF(U136="zákl. přenesená",N136,0)</f>
        <v>0</v>
      </c>
      <c r="BH136" s="158">
        <f>IF(U136="sníž. přenesená",N136,0)</f>
        <v>0</v>
      </c>
      <c r="BI136" s="158">
        <f>IF(U136="nulová",N136,0)</f>
        <v>0</v>
      </c>
      <c r="BJ136" s="20" t="s">
        <v>80</v>
      </c>
      <c r="BK136" s="158">
        <f>ROUND(L136*K136,2)</f>
        <v>0</v>
      </c>
      <c r="BL136" s="20" t="s">
        <v>142</v>
      </c>
      <c r="BM136" s="20" t="s">
        <v>391</v>
      </c>
    </row>
    <row r="137" spans="2:51" s="10" customFormat="1" ht="16.5" customHeight="1">
      <c r="B137" s="159"/>
      <c r="C137" s="160"/>
      <c r="D137" s="160"/>
      <c r="E137" s="161" t="s">
        <v>19</v>
      </c>
      <c r="F137" s="308" t="s">
        <v>392</v>
      </c>
      <c r="G137" s="309"/>
      <c r="H137" s="309"/>
      <c r="I137" s="309"/>
      <c r="J137" s="160"/>
      <c r="K137" s="162">
        <v>36</v>
      </c>
      <c r="L137" s="233"/>
      <c r="M137" s="233"/>
      <c r="N137" s="160"/>
      <c r="O137" s="160"/>
      <c r="P137" s="160"/>
      <c r="Q137" s="160"/>
      <c r="R137" s="163"/>
      <c r="T137" s="164"/>
      <c r="U137" s="160"/>
      <c r="V137" s="160"/>
      <c r="W137" s="160"/>
      <c r="X137" s="160"/>
      <c r="Y137" s="160"/>
      <c r="Z137" s="160"/>
      <c r="AA137" s="165"/>
      <c r="AT137" s="166" t="s">
        <v>145</v>
      </c>
      <c r="AU137" s="166" t="s">
        <v>96</v>
      </c>
      <c r="AV137" s="10" t="s">
        <v>96</v>
      </c>
      <c r="AW137" s="10" t="s">
        <v>33</v>
      </c>
      <c r="AX137" s="10" t="s">
        <v>80</v>
      </c>
      <c r="AY137" s="166" t="s">
        <v>137</v>
      </c>
    </row>
    <row r="138" spans="2:65" s="1" customFormat="1" ht="25.5" customHeight="1">
      <c r="B138" s="33"/>
      <c r="C138" s="151">
        <v>9</v>
      </c>
      <c r="D138" s="151" t="s">
        <v>138</v>
      </c>
      <c r="E138" s="152" t="s">
        <v>166</v>
      </c>
      <c r="F138" s="312" t="s">
        <v>167</v>
      </c>
      <c r="G138" s="312"/>
      <c r="H138" s="312"/>
      <c r="I138" s="312"/>
      <c r="J138" s="153" t="s">
        <v>162</v>
      </c>
      <c r="K138" s="154">
        <v>36</v>
      </c>
      <c r="L138" s="233"/>
      <c r="M138" s="233"/>
      <c r="N138" s="307">
        <f>ROUND(L138*K138,2)</f>
        <v>0</v>
      </c>
      <c r="O138" s="307"/>
      <c r="P138" s="307"/>
      <c r="Q138" s="307"/>
      <c r="R138" s="35"/>
      <c r="T138" s="155" t="s">
        <v>19</v>
      </c>
      <c r="U138" s="42" t="s">
        <v>39</v>
      </c>
      <c r="V138" s="156">
        <v>0.007</v>
      </c>
      <c r="W138" s="156">
        <f>V138*K138</f>
        <v>0.252</v>
      </c>
      <c r="X138" s="156">
        <v>0</v>
      </c>
      <c r="Y138" s="156">
        <f>X138*K138</f>
        <v>0</v>
      </c>
      <c r="Z138" s="156">
        <v>0</v>
      </c>
      <c r="AA138" s="157">
        <f>Z138*K138</f>
        <v>0</v>
      </c>
      <c r="AR138" s="20" t="s">
        <v>142</v>
      </c>
      <c r="AT138" s="20" t="s">
        <v>138</v>
      </c>
      <c r="AU138" s="20" t="s">
        <v>96</v>
      </c>
      <c r="AY138" s="20" t="s">
        <v>137</v>
      </c>
      <c r="BE138" s="158">
        <f>IF(U138="základní",N138,0)</f>
        <v>0</v>
      </c>
      <c r="BF138" s="158">
        <f>IF(U138="snížená",N138,0)</f>
        <v>0</v>
      </c>
      <c r="BG138" s="158">
        <f>IF(U138="zákl. přenesená",N138,0)</f>
        <v>0</v>
      </c>
      <c r="BH138" s="158">
        <f>IF(U138="sníž. přenesená",N138,0)</f>
        <v>0</v>
      </c>
      <c r="BI138" s="158">
        <f>IF(U138="nulová",N138,0)</f>
        <v>0</v>
      </c>
      <c r="BJ138" s="20" t="s">
        <v>80</v>
      </c>
      <c r="BK138" s="158">
        <f>ROUND(L138*K138,2)</f>
        <v>0</v>
      </c>
      <c r="BL138" s="20" t="s">
        <v>142</v>
      </c>
      <c r="BM138" s="20" t="s">
        <v>393</v>
      </c>
    </row>
    <row r="139" spans="2:51" s="10" customFormat="1" ht="16.5" customHeight="1">
      <c r="B139" s="159"/>
      <c r="C139" s="160"/>
      <c r="D139" s="160"/>
      <c r="E139" s="161" t="s">
        <v>19</v>
      </c>
      <c r="F139" s="308" t="s">
        <v>392</v>
      </c>
      <c r="G139" s="309"/>
      <c r="H139" s="309"/>
      <c r="I139" s="309"/>
      <c r="J139" s="160"/>
      <c r="K139" s="162">
        <v>36</v>
      </c>
      <c r="L139" s="233"/>
      <c r="M139" s="233"/>
      <c r="N139" s="160"/>
      <c r="O139" s="160"/>
      <c r="P139" s="160"/>
      <c r="Q139" s="160"/>
      <c r="R139" s="163"/>
      <c r="T139" s="164"/>
      <c r="U139" s="160"/>
      <c r="V139" s="160"/>
      <c r="W139" s="160"/>
      <c r="X139" s="160"/>
      <c r="Y139" s="160"/>
      <c r="Z139" s="160"/>
      <c r="AA139" s="165"/>
      <c r="AT139" s="166" t="s">
        <v>145</v>
      </c>
      <c r="AU139" s="166" t="s">
        <v>96</v>
      </c>
      <c r="AV139" s="10" t="s">
        <v>96</v>
      </c>
      <c r="AW139" s="10" t="s">
        <v>33</v>
      </c>
      <c r="AX139" s="10" t="s">
        <v>80</v>
      </c>
      <c r="AY139" s="166" t="s">
        <v>137</v>
      </c>
    </row>
    <row r="140" spans="2:65" s="1" customFormat="1" ht="16.5" customHeight="1">
      <c r="B140" s="33"/>
      <c r="C140" s="175">
        <v>10</v>
      </c>
      <c r="D140" s="175" t="s">
        <v>149</v>
      </c>
      <c r="E140" s="176" t="s">
        <v>170</v>
      </c>
      <c r="F140" s="305" t="s">
        <v>171</v>
      </c>
      <c r="G140" s="305"/>
      <c r="H140" s="305"/>
      <c r="I140" s="305"/>
      <c r="J140" s="177" t="s">
        <v>172</v>
      </c>
      <c r="K140" s="178">
        <v>1.8</v>
      </c>
      <c r="L140" s="233"/>
      <c r="M140" s="233"/>
      <c r="N140" s="306">
        <f>ROUND(L140*K140,2)</f>
        <v>0</v>
      </c>
      <c r="O140" s="307"/>
      <c r="P140" s="307"/>
      <c r="Q140" s="307"/>
      <c r="R140" s="35"/>
      <c r="T140" s="155" t="s">
        <v>19</v>
      </c>
      <c r="U140" s="42" t="s">
        <v>39</v>
      </c>
      <c r="V140" s="156">
        <v>0</v>
      </c>
      <c r="W140" s="156">
        <f>V140*K140</f>
        <v>0</v>
      </c>
      <c r="X140" s="156">
        <v>0.001</v>
      </c>
      <c r="Y140" s="156">
        <f>X140*K140</f>
        <v>0.0018000000000000002</v>
      </c>
      <c r="Z140" s="156">
        <v>0</v>
      </c>
      <c r="AA140" s="157">
        <f>Z140*K140</f>
        <v>0</v>
      </c>
      <c r="AR140" s="20" t="s">
        <v>153</v>
      </c>
      <c r="AT140" s="20" t="s">
        <v>149</v>
      </c>
      <c r="AU140" s="20" t="s">
        <v>96</v>
      </c>
      <c r="AY140" s="20" t="s">
        <v>137</v>
      </c>
      <c r="BE140" s="158">
        <f>IF(U140="základní",N140,0)</f>
        <v>0</v>
      </c>
      <c r="BF140" s="158">
        <f>IF(U140="snížená",N140,0)</f>
        <v>0</v>
      </c>
      <c r="BG140" s="158">
        <f>IF(U140="zákl. přenesená",N140,0)</f>
        <v>0</v>
      </c>
      <c r="BH140" s="158">
        <f>IF(U140="sníž. přenesená",N140,0)</f>
        <v>0</v>
      </c>
      <c r="BI140" s="158">
        <f>IF(U140="nulová",N140,0)</f>
        <v>0</v>
      </c>
      <c r="BJ140" s="20" t="s">
        <v>80</v>
      </c>
      <c r="BK140" s="158">
        <f>ROUND(L140*K140,2)</f>
        <v>0</v>
      </c>
      <c r="BL140" s="20" t="s">
        <v>142</v>
      </c>
      <c r="BM140" s="20" t="s">
        <v>394</v>
      </c>
    </row>
    <row r="141" spans="2:63" s="9" customFormat="1" ht="29.85" customHeight="1">
      <c r="B141" s="140"/>
      <c r="C141" s="141"/>
      <c r="D141" s="150" t="s">
        <v>109</v>
      </c>
      <c r="E141" s="150"/>
      <c r="F141" s="150"/>
      <c r="G141" s="150"/>
      <c r="H141" s="150"/>
      <c r="I141" s="150"/>
      <c r="J141" s="150"/>
      <c r="K141" s="150"/>
      <c r="L141" s="233"/>
      <c r="M141" s="233"/>
      <c r="N141" s="313">
        <f>SUM(N142:N146)</f>
        <v>0</v>
      </c>
      <c r="O141" s="314"/>
      <c r="P141" s="314"/>
      <c r="Q141" s="314"/>
      <c r="R141" s="143"/>
      <c r="T141" s="144"/>
      <c r="U141" s="141"/>
      <c r="V141" s="141"/>
      <c r="W141" s="145">
        <f>SUM(W142:W146)</f>
        <v>1.491588</v>
      </c>
      <c r="X141" s="141"/>
      <c r="Y141" s="145">
        <f>SUM(Y142:Y146)</f>
        <v>6.037161879999999</v>
      </c>
      <c r="Z141" s="141"/>
      <c r="AA141" s="146">
        <f>SUM(AA142:AA146)</f>
        <v>0</v>
      </c>
      <c r="AR141" s="147" t="s">
        <v>80</v>
      </c>
      <c r="AT141" s="148" t="s">
        <v>72</v>
      </c>
      <c r="AU141" s="148" t="s">
        <v>80</v>
      </c>
      <c r="AY141" s="147" t="s">
        <v>137</v>
      </c>
      <c r="BK141" s="149">
        <f>SUM(BK142:BK146)</f>
        <v>0</v>
      </c>
    </row>
    <row r="142" spans="2:65" s="1" customFormat="1" ht="16.5" customHeight="1">
      <c r="B142" s="33"/>
      <c r="C142" s="151">
        <v>11</v>
      </c>
      <c r="D142" s="151" t="s">
        <v>138</v>
      </c>
      <c r="E142" s="152" t="s">
        <v>174</v>
      </c>
      <c r="F142" s="312" t="s">
        <v>175</v>
      </c>
      <c r="G142" s="312"/>
      <c r="H142" s="312"/>
      <c r="I142" s="312"/>
      <c r="J142" s="153" t="s">
        <v>141</v>
      </c>
      <c r="K142" s="154">
        <v>2.132</v>
      </c>
      <c r="L142" s="233"/>
      <c r="M142" s="233"/>
      <c r="N142" s="307">
        <f>ROUND(L142*K142,2)</f>
        <v>0</v>
      </c>
      <c r="O142" s="307"/>
      <c r="P142" s="307"/>
      <c r="Q142" s="307"/>
      <c r="R142" s="35"/>
      <c r="T142" s="155" t="s">
        <v>19</v>
      </c>
      <c r="U142" s="42" t="s">
        <v>39</v>
      </c>
      <c r="V142" s="156">
        <v>0.584</v>
      </c>
      <c r="W142" s="156">
        <f>V142*K142</f>
        <v>1.245088</v>
      </c>
      <c r="X142" s="156">
        <v>2.25634</v>
      </c>
      <c r="Y142" s="156">
        <f>X142*K142</f>
        <v>4.81051688</v>
      </c>
      <c r="Z142" s="156">
        <v>0</v>
      </c>
      <c r="AA142" s="157">
        <f>Z142*K142</f>
        <v>0</v>
      </c>
      <c r="AR142" s="20" t="s">
        <v>142</v>
      </c>
      <c r="AT142" s="20" t="s">
        <v>138</v>
      </c>
      <c r="AU142" s="20" t="s">
        <v>96</v>
      </c>
      <c r="AY142" s="20" t="s">
        <v>137</v>
      </c>
      <c r="BE142" s="158">
        <f>IF(U142="základní",N142,0)</f>
        <v>0</v>
      </c>
      <c r="BF142" s="158">
        <f>IF(U142="snížená",N142,0)</f>
        <v>0</v>
      </c>
      <c r="BG142" s="158">
        <f>IF(U142="zákl. přenesená",N142,0)</f>
        <v>0</v>
      </c>
      <c r="BH142" s="158">
        <f>IF(U142="sníž. přenesená",N142,0)</f>
        <v>0</v>
      </c>
      <c r="BI142" s="158">
        <f>IF(U142="nulová",N142,0)</f>
        <v>0</v>
      </c>
      <c r="BJ142" s="20" t="s">
        <v>80</v>
      </c>
      <c r="BK142" s="158">
        <f>ROUND(L142*K142,2)</f>
        <v>0</v>
      </c>
      <c r="BL142" s="20" t="s">
        <v>142</v>
      </c>
      <c r="BM142" s="20" t="s">
        <v>395</v>
      </c>
    </row>
    <row r="143" spans="2:51" s="10" customFormat="1" ht="25.5" customHeight="1">
      <c r="B143" s="159"/>
      <c r="C143" s="160"/>
      <c r="D143" s="160"/>
      <c r="E143" s="161" t="s">
        <v>19</v>
      </c>
      <c r="F143" s="308" t="s">
        <v>396</v>
      </c>
      <c r="G143" s="309"/>
      <c r="H143" s="309"/>
      <c r="I143" s="309"/>
      <c r="J143" s="160"/>
      <c r="K143" s="162">
        <v>1.628</v>
      </c>
      <c r="L143" s="233"/>
      <c r="M143" s="233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145</v>
      </c>
      <c r="AU143" s="166" t="s">
        <v>96</v>
      </c>
      <c r="AV143" s="10" t="s">
        <v>96</v>
      </c>
      <c r="AW143" s="10" t="s">
        <v>33</v>
      </c>
      <c r="AX143" s="10" t="s">
        <v>73</v>
      </c>
      <c r="AY143" s="166" t="s">
        <v>137</v>
      </c>
    </row>
    <row r="144" spans="2:51" s="10" customFormat="1" ht="16.5" customHeight="1">
      <c r="B144" s="159"/>
      <c r="C144" s="160"/>
      <c r="D144" s="160"/>
      <c r="E144" s="161" t="s">
        <v>19</v>
      </c>
      <c r="F144" s="310" t="s">
        <v>397</v>
      </c>
      <c r="G144" s="311"/>
      <c r="H144" s="311"/>
      <c r="I144" s="311"/>
      <c r="J144" s="160"/>
      <c r="K144" s="162">
        <v>0.504</v>
      </c>
      <c r="L144" s="233"/>
      <c r="M144" s="233"/>
      <c r="N144" s="160"/>
      <c r="O144" s="160"/>
      <c r="P144" s="160"/>
      <c r="Q144" s="160"/>
      <c r="R144" s="163"/>
      <c r="T144" s="164"/>
      <c r="U144" s="160"/>
      <c r="V144" s="160"/>
      <c r="W144" s="160"/>
      <c r="X144" s="160"/>
      <c r="Y144" s="160"/>
      <c r="Z144" s="160"/>
      <c r="AA144" s="165"/>
      <c r="AT144" s="166" t="s">
        <v>145</v>
      </c>
      <c r="AU144" s="166" t="s">
        <v>96</v>
      </c>
      <c r="AV144" s="10" t="s">
        <v>96</v>
      </c>
      <c r="AW144" s="10" t="s">
        <v>33</v>
      </c>
      <c r="AX144" s="10" t="s">
        <v>73</v>
      </c>
      <c r="AY144" s="166" t="s">
        <v>137</v>
      </c>
    </row>
    <row r="145" spans="2:51" s="11" customFormat="1" ht="16.5" customHeight="1">
      <c r="B145" s="167"/>
      <c r="C145" s="168"/>
      <c r="D145" s="168"/>
      <c r="E145" s="169" t="s">
        <v>19</v>
      </c>
      <c r="F145" s="303" t="s">
        <v>148</v>
      </c>
      <c r="G145" s="304"/>
      <c r="H145" s="304"/>
      <c r="I145" s="304"/>
      <c r="J145" s="168"/>
      <c r="K145" s="170">
        <v>2.132</v>
      </c>
      <c r="L145" s="233"/>
      <c r="M145" s="233"/>
      <c r="N145" s="168"/>
      <c r="O145" s="168"/>
      <c r="P145" s="168"/>
      <c r="Q145" s="168"/>
      <c r="R145" s="171"/>
      <c r="T145" s="172"/>
      <c r="U145" s="168"/>
      <c r="V145" s="168"/>
      <c r="W145" s="168"/>
      <c r="X145" s="168"/>
      <c r="Y145" s="168"/>
      <c r="Z145" s="168"/>
      <c r="AA145" s="173"/>
      <c r="AT145" s="174" t="s">
        <v>145</v>
      </c>
      <c r="AU145" s="174" t="s">
        <v>96</v>
      </c>
      <c r="AV145" s="11" t="s">
        <v>142</v>
      </c>
      <c r="AW145" s="11" t="s">
        <v>33</v>
      </c>
      <c r="AX145" s="11" t="s">
        <v>80</v>
      </c>
      <c r="AY145" s="174" t="s">
        <v>137</v>
      </c>
    </row>
    <row r="146" spans="2:65" s="1" customFormat="1" ht="25.5" customHeight="1">
      <c r="B146" s="33"/>
      <c r="C146" s="151">
        <v>12</v>
      </c>
      <c r="D146" s="151" t="s">
        <v>138</v>
      </c>
      <c r="E146" s="152" t="s">
        <v>398</v>
      </c>
      <c r="F146" s="312" t="s">
        <v>399</v>
      </c>
      <c r="G146" s="312"/>
      <c r="H146" s="312"/>
      <c r="I146" s="312"/>
      <c r="J146" s="153" t="s">
        <v>141</v>
      </c>
      <c r="K146" s="154">
        <v>0.5</v>
      </c>
      <c r="L146" s="233"/>
      <c r="M146" s="233"/>
      <c r="N146" s="307">
        <f>ROUND(L146*K146,2)</f>
        <v>0</v>
      </c>
      <c r="O146" s="307"/>
      <c r="P146" s="307"/>
      <c r="Q146" s="307"/>
      <c r="R146" s="35"/>
      <c r="T146" s="155" t="s">
        <v>19</v>
      </c>
      <c r="U146" s="42" t="s">
        <v>39</v>
      </c>
      <c r="V146" s="156">
        <v>0.493</v>
      </c>
      <c r="W146" s="156">
        <f>V146*K146</f>
        <v>0.2465</v>
      </c>
      <c r="X146" s="156">
        <v>2.45329</v>
      </c>
      <c r="Y146" s="156">
        <f>X146*K146</f>
        <v>1.226645</v>
      </c>
      <c r="Z146" s="156">
        <v>0</v>
      </c>
      <c r="AA146" s="157">
        <f>Z146*K146</f>
        <v>0</v>
      </c>
      <c r="AR146" s="20" t="s">
        <v>142</v>
      </c>
      <c r="AT146" s="20" t="s">
        <v>138</v>
      </c>
      <c r="AU146" s="20" t="s">
        <v>96</v>
      </c>
      <c r="AY146" s="20" t="s">
        <v>137</v>
      </c>
      <c r="BE146" s="158">
        <f>IF(U146="základní",N146,0)</f>
        <v>0</v>
      </c>
      <c r="BF146" s="158">
        <f>IF(U146="snížená",N146,0)</f>
        <v>0</v>
      </c>
      <c r="BG146" s="158">
        <f>IF(U146="zákl. přenesená",N146,0)</f>
        <v>0</v>
      </c>
      <c r="BH146" s="158">
        <f>IF(U146="sníž. přenesená",N146,0)</f>
        <v>0</v>
      </c>
      <c r="BI146" s="158">
        <f>IF(U146="nulová",N146,0)</f>
        <v>0</v>
      </c>
      <c r="BJ146" s="20" t="s">
        <v>80</v>
      </c>
      <c r="BK146" s="158">
        <f>ROUND(L146*K146,2)</f>
        <v>0</v>
      </c>
      <c r="BL146" s="20" t="s">
        <v>142</v>
      </c>
      <c r="BM146" s="20" t="s">
        <v>400</v>
      </c>
    </row>
    <row r="147" spans="2:63" s="9" customFormat="1" ht="29.85" customHeight="1">
      <c r="B147" s="140"/>
      <c r="C147" s="141"/>
      <c r="D147" s="150" t="s">
        <v>110</v>
      </c>
      <c r="E147" s="150"/>
      <c r="F147" s="150"/>
      <c r="G147" s="150"/>
      <c r="H147" s="150"/>
      <c r="I147" s="150"/>
      <c r="J147" s="150"/>
      <c r="K147" s="150"/>
      <c r="L147" s="233"/>
      <c r="M147" s="233"/>
      <c r="N147" s="313">
        <f>N148</f>
        <v>0</v>
      </c>
      <c r="O147" s="314"/>
      <c r="P147" s="314"/>
      <c r="Q147" s="314"/>
      <c r="R147" s="143"/>
      <c r="T147" s="144"/>
      <c r="U147" s="141"/>
      <c r="V147" s="141"/>
      <c r="W147" s="145">
        <f>SUM(W148:W149)</f>
        <v>1.144125</v>
      </c>
      <c r="X147" s="141"/>
      <c r="Y147" s="145">
        <f>SUM(Y148:Y149)</f>
        <v>0</v>
      </c>
      <c r="Z147" s="141"/>
      <c r="AA147" s="146">
        <f>SUM(AA148:AA149)</f>
        <v>0</v>
      </c>
      <c r="AR147" s="147" t="s">
        <v>80</v>
      </c>
      <c r="AT147" s="148" t="s">
        <v>72</v>
      </c>
      <c r="AU147" s="148" t="s">
        <v>80</v>
      </c>
      <c r="AY147" s="147" t="s">
        <v>137</v>
      </c>
      <c r="BK147" s="149">
        <f>SUM(BK148:BK149)</f>
        <v>0</v>
      </c>
    </row>
    <row r="148" spans="2:65" s="1" customFormat="1" ht="25.5" customHeight="1">
      <c r="B148" s="33"/>
      <c r="C148" s="151">
        <v>13</v>
      </c>
      <c r="D148" s="151" t="s">
        <v>138</v>
      </c>
      <c r="E148" s="152" t="s">
        <v>279</v>
      </c>
      <c r="F148" s="312" t="s">
        <v>305</v>
      </c>
      <c r="G148" s="312"/>
      <c r="H148" s="312"/>
      <c r="I148" s="312"/>
      <c r="J148" s="153" t="s">
        <v>141</v>
      </c>
      <c r="K148" s="154">
        <v>0.675</v>
      </c>
      <c r="L148" s="233"/>
      <c r="M148" s="233"/>
      <c r="N148" s="307">
        <f>ROUND(L148*K148,2)</f>
        <v>0</v>
      </c>
      <c r="O148" s="307"/>
      <c r="P148" s="307"/>
      <c r="Q148" s="307"/>
      <c r="R148" s="35"/>
      <c r="T148" s="155" t="s">
        <v>19</v>
      </c>
      <c r="U148" s="42" t="s">
        <v>39</v>
      </c>
      <c r="V148" s="156">
        <v>1.695</v>
      </c>
      <c r="W148" s="156">
        <f>V148*K148</f>
        <v>1.144125</v>
      </c>
      <c r="X148" s="156">
        <v>0</v>
      </c>
      <c r="Y148" s="156">
        <f>X148*K148</f>
        <v>0</v>
      </c>
      <c r="Z148" s="156">
        <v>0</v>
      </c>
      <c r="AA148" s="157">
        <f>Z148*K148</f>
        <v>0</v>
      </c>
      <c r="AR148" s="20" t="s">
        <v>142</v>
      </c>
      <c r="AT148" s="20" t="s">
        <v>138</v>
      </c>
      <c r="AU148" s="20" t="s">
        <v>96</v>
      </c>
      <c r="AY148" s="20" t="s">
        <v>137</v>
      </c>
      <c r="BE148" s="158">
        <f>IF(U148="základní",N148,0)</f>
        <v>0</v>
      </c>
      <c r="BF148" s="158">
        <f>IF(U148="snížená",N148,0)</f>
        <v>0</v>
      </c>
      <c r="BG148" s="158">
        <f>IF(U148="zákl. přenesená",N148,0)</f>
        <v>0</v>
      </c>
      <c r="BH148" s="158">
        <f>IF(U148="sníž. přenesená",N148,0)</f>
        <v>0</v>
      </c>
      <c r="BI148" s="158">
        <f>IF(U148="nulová",N148,0)</f>
        <v>0</v>
      </c>
      <c r="BJ148" s="20" t="s">
        <v>80</v>
      </c>
      <c r="BK148" s="158">
        <f>ROUND(L148*K148,2)</f>
        <v>0</v>
      </c>
      <c r="BL148" s="20" t="s">
        <v>142</v>
      </c>
      <c r="BM148" s="20" t="s">
        <v>401</v>
      </c>
    </row>
    <row r="149" spans="2:51" s="10" customFormat="1" ht="16.5" customHeight="1">
      <c r="B149" s="159"/>
      <c r="C149" s="160"/>
      <c r="D149" s="160"/>
      <c r="E149" s="161" t="s">
        <v>19</v>
      </c>
      <c r="F149" s="308" t="s">
        <v>402</v>
      </c>
      <c r="G149" s="309"/>
      <c r="H149" s="309"/>
      <c r="I149" s="309"/>
      <c r="J149" s="160"/>
      <c r="K149" s="162">
        <v>0.675</v>
      </c>
      <c r="L149" s="233"/>
      <c r="M149" s="233"/>
      <c r="N149" s="160"/>
      <c r="O149" s="160"/>
      <c r="P149" s="160"/>
      <c r="Q149" s="160"/>
      <c r="R149" s="163"/>
      <c r="T149" s="164"/>
      <c r="U149" s="160"/>
      <c r="V149" s="160"/>
      <c r="W149" s="160"/>
      <c r="X149" s="160"/>
      <c r="Y149" s="160"/>
      <c r="Z149" s="160"/>
      <c r="AA149" s="165"/>
      <c r="AT149" s="166" t="s">
        <v>145</v>
      </c>
      <c r="AU149" s="166" t="s">
        <v>96</v>
      </c>
      <c r="AV149" s="10" t="s">
        <v>96</v>
      </c>
      <c r="AW149" s="10" t="s">
        <v>33</v>
      </c>
      <c r="AX149" s="10" t="s">
        <v>80</v>
      </c>
      <c r="AY149" s="166" t="s">
        <v>137</v>
      </c>
    </row>
    <row r="150" spans="2:63" s="9" customFormat="1" ht="29.85" customHeight="1">
      <c r="B150" s="140"/>
      <c r="C150" s="141"/>
      <c r="D150" s="150" t="s">
        <v>111</v>
      </c>
      <c r="E150" s="150"/>
      <c r="F150" s="150"/>
      <c r="G150" s="150"/>
      <c r="H150" s="150"/>
      <c r="I150" s="150"/>
      <c r="J150" s="150"/>
      <c r="K150" s="150"/>
      <c r="L150" s="233"/>
      <c r="M150" s="233"/>
      <c r="N150" s="301">
        <f>SUM(N151:N169)</f>
        <v>0</v>
      </c>
      <c r="O150" s="302"/>
      <c r="P150" s="302"/>
      <c r="Q150" s="302"/>
      <c r="R150" s="143"/>
      <c r="T150" s="144"/>
      <c r="U150" s="141"/>
      <c r="V150" s="141"/>
      <c r="W150" s="145">
        <f>SUM(W152:W169)</f>
        <v>15.052</v>
      </c>
      <c r="X150" s="141"/>
      <c r="Y150" s="145">
        <f>SUM(Y152:Y169)</f>
        <v>1.2993788</v>
      </c>
      <c r="Z150" s="141"/>
      <c r="AA150" s="146">
        <f>SUM(AA152:AA169)</f>
        <v>0</v>
      </c>
      <c r="AR150" s="147" t="s">
        <v>80</v>
      </c>
      <c r="AT150" s="148" t="s">
        <v>72</v>
      </c>
      <c r="AU150" s="148" t="s">
        <v>80</v>
      </c>
      <c r="AY150" s="147" t="s">
        <v>137</v>
      </c>
      <c r="BK150" s="149">
        <f>SUM(BK152:BK169)</f>
        <v>0</v>
      </c>
    </row>
    <row r="151" spans="2:63" s="9" customFormat="1" ht="29.85" customHeight="1">
      <c r="B151" s="140"/>
      <c r="C151" s="186">
        <v>14</v>
      </c>
      <c r="D151" s="186" t="s">
        <v>138</v>
      </c>
      <c r="E151" s="187"/>
      <c r="F151" s="333" t="s">
        <v>491</v>
      </c>
      <c r="G151" s="334"/>
      <c r="H151" s="334"/>
      <c r="I151" s="334"/>
      <c r="J151" s="188" t="s">
        <v>184</v>
      </c>
      <c r="K151" s="189">
        <v>1</v>
      </c>
      <c r="L151" s="233"/>
      <c r="M151" s="233"/>
      <c r="N151" s="306">
        <f>ROUND(L151*K151,2)</f>
        <v>0</v>
      </c>
      <c r="O151" s="307"/>
      <c r="P151" s="307"/>
      <c r="Q151" s="307"/>
      <c r="R151" s="143"/>
      <c r="T151" s="144"/>
      <c r="U151" s="141"/>
      <c r="V151" s="141"/>
      <c r="W151" s="145"/>
      <c r="X151" s="141"/>
      <c r="Y151" s="145"/>
      <c r="Z151" s="141"/>
      <c r="AA151" s="146"/>
      <c r="AR151" s="147"/>
      <c r="AT151" s="148"/>
      <c r="AU151" s="148"/>
      <c r="AY151" s="147"/>
      <c r="BK151" s="149"/>
    </row>
    <row r="152" spans="2:65" s="1" customFormat="1" ht="16.5" customHeight="1">
      <c r="B152" s="33"/>
      <c r="C152" s="175">
        <v>15</v>
      </c>
      <c r="D152" s="175" t="s">
        <v>149</v>
      </c>
      <c r="E152" s="176" t="s">
        <v>403</v>
      </c>
      <c r="F152" s="332" t="s">
        <v>404</v>
      </c>
      <c r="G152" s="332"/>
      <c r="H152" s="332"/>
      <c r="I152" s="332"/>
      <c r="J152" s="177" t="s">
        <v>184</v>
      </c>
      <c r="K152" s="178">
        <v>1</v>
      </c>
      <c r="L152" s="233"/>
      <c r="M152" s="233"/>
      <c r="N152" s="306">
        <f>ROUND(L152*K152,2)</f>
        <v>0</v>
      </c>
      <c r="O152" s="307"/>
      <c r="P152" s="307"/>
      <c r="Q152" s="307"/>
      <c r="R152" s="35"/>
      <c r="T152" s="155" t="s">
        <v>19</v>
      </c>
      <c r="U152" s="42" t="s">
        <v>39</v>
      </c>
      <c r="V152" s="156">
        <v>0</v>
      </c>
      <c r="W152" s="156">
        <f>V152*K152</f>
        <v>0</v>
      </c>
      <c r="X152" s="156">
        <v>0.001251</v>
      </c>
      <c r="Y152" s="156">
        <f>X152*K152</f>
        <v>0.001251</v>
      </c>
      <c r="Z152" s="156">
        <v>0</v>
      </c>
      <c r="AA152" s="157">
        <f>Z152*K152</f>
        <v>0</v>
      </c>
      <c r="AR152" s="20" t="s">
        <v>153</v>
      </c>
      <c r="AT152" s="20" t="s">
        <v>149</v>
      </c>
      <c r="AU152" s="20" t="s">
        <v>96</v>
      </c>
      <c r="AY152" s="20" t="s">
        <v>137</v>
      </c>
      <c r="BE152" s="158">
        <f>IF(U152="základní",N152,0)</f>
        <v>0</v>
      </c>
      <c r="BF152" s="158">
        <f>IF(U152="snížená",N152,0)</f>
        <v>0</v>
      </c>
      <c r="BG152" s="158">
        <f>IF(U152="zákl. přenesená",N152,0)</f>
        <v>0</v>
      </c>
      <c r="BH152" s="158">
        <f>IF(U152="sníž. přenesená",N152,0)</f>
        <v>0</v>
      </c>
      <c r="BI152" s="158">
        <f>IF(U152="nulová",N152,0)</f>
        <v>0</v>
      </c>
      <c r="BJ152" s="20" t="s">
        <v>80</v>
      </c>
      <c r="BK152" s="158">
        <f>ROUND(L152*K152,2)</f>
        <v>0</v>
      </c>
      <c r="BL152" s="20" t="s">
        <v>142</v>
      </c>
      <c r="BM152" s="20" t="s">
        <v>405</v>
      </c>
    </row>
    <row r="153" spans="2:47" s="1" customFormat="1" ht="16.5" customHeight="1">
      <c r="B153" s="33"/>
      <c r="C153" s="34"/>
      <c r="D153" s="34"/>
      <c r="E153" s="34"/>
      <c r="F153" s="335" t="s">
        <v>406</v>
      </c>
      <c r="G153" s="336"/>
      <c r="H153" s="336"/>
      <c r="I153" s="336"/>
      <c r="J153" s="34"/>
      <c r="K153" s="34"/>
      <c r="L153" s="233"/>
      <c r="M153" s="233"/>
      <c r="N153" s="34"/>
      <c r="O153" s="34"/>
      <c r="P153" s="34"/>
      <c r="Q153" s="34"/>
      <c r="R153" s="35"/>
      <c r="T153" s="185"/>
      <c r="U153" s="34"/>
      <c r="V153" s="34"/>
      <c r="W153" s="34"/>
      <c r="X153" s="34"/>
      <c r="Y153" s="34"/>
      <c r="Z153" s="34"/>
      <c r="AA153" s="76"/>
      <c r="AT153" s="20" t="s">
        <v>407</v>
      </c>
      <c r="AU153" s="20" t="s">
        <v>96</v>
      </c>
    </row>
    <row r="154" spans="2:65" s="1" customFormat="1" ht="38.25" customHeight="1">
      <c r="B154" s="33"/>
      <c r="C154" s="175">
        <v>16</v>
      </c>
      <c r="D154" s="175" t="s">
        <v>149</v>
      </c>
      <c r="E154" s="176" t="s">
        <v>408</v>
      </c>
      <c r="F154" s="332" t="s">
        <v>409</v>
      </c>
      <c r="G154" s="332"/>
      <c r="H154" s="332"/>
      <c r="I154" s="332"/>
      <c r="J154" s="177" t="s">
        <v>184</v>
      </c>
      <c r="K154" s="178">
        <v>1</v>
      </c>
      <c r="L154" s="233"/>
      <c r="M154" s="233"/>
      <c r="N154" s="306">
        <f aca="true" t="shared" si="0" ref="N154:N169">ROUND(L154*K154,2)</f>
        <v>0</v>
      </c>
      <c r="O154" s="307"/>
      <c r="P154" s="307"/>
      <c r="Q154" s="307"/>
      <c r="R154" s="35"/>
      <c r="T154" s="155" t="s">
        <v>19</v>
      </c>
      <c r="U154" s="42" t="s">
        <v>39</v>
      </c>
      <c r="V154" s="156">
        <v>0</v>
      </c>
      <c r="W154" s="156">
        <f aca="true" t="shared" si="1" ref="W154:W169">V154*K154</f>
        <v>0</v>
      </c>
      <c r="X154" s="156">
        <v>0.0037</v>
      </c>
      <c r="Y154" s="156">
        <f aca="true" t="shared" si="2" ref="Y154:Y169">X154*K154</f>
        <v>0.0037</v>
      </c>
      <c r="Z154" s="156">
        <v>0</v>
      </c>
      <c r="AA154" s="157">
        <f aca="true" t="shared" si="3" ref="AA154:AA169">Z154*K154</f>
        <v>0</v>
      </c>
      <c r="AR154" s="20" t="s">
        <v>153</v>
      </c>
      <c r="AT154" s="20" t="s">
        <v>149</v>
      </c>
      <c r="AU154" s="20" t="s">
        <v>96</v>
      </c>
      <c r="AY154" s="20" t="s">
        <v>137</v>
      </c>
      <c r="BE154" s="158">
        <f aca="true" t="shared" si="4" ref="BE154:BE169">IF(U154="základní",N154,0)</f>
        <v>0</v>
      </c>
      <c r="BF154" s="158">
        <f aca="true" t="shared" si="5" ref="BF154:BF169">IF(U154="snížená",N154,0)</f>
        <v>0</v>
      </c>
      <c r="BG154" s="158">
        <f aca="true" t="shared" si="6" ref="BG154:BG169">IF(U154="zákl. přenesená",N154,0)</f>
        <v>0</v>
      </c>
      <c r="BH154" s="158">
        <f aca="true" t="shared" si="7" ref="BH154:BH169">IF(U154="sníž. přenesená",N154,0)</f>
        <v>0</v>
      </c>
      <c r="BI154" s="158">
        <f aca="true" t="shared" si="8" ref="BI154:BI169">IF(U154="nulová",N154,0)</f>
        <v>0</v>
      </c>
      <c r="BJ154" s="20" t="s">
        <v>80</v>
      </c>
      <c r="BK154" s="158">
        <f aca="true" t="shared" si="9" ref="BK154:BK169">ROUND(L154*K154,2)</f>
        <v>0</v>
      </c>
      <c r="BL154" s="20" t="s">
        <v>142</v>
      </c>
      <c r="BM154" s="20" t="s">
        <v>410</v>
      </c>
    </row>
    <row r="155" spans="2:65" s="1" customFormat="1" ht="25.5" customHeight="1">
      <c r="B155" s="33"/>
      <c r="C155" s="151">
        <v>17</v>
      </c>
      <c r="D155" s="151" t="s">
        <v>138</v>
      </c>
      <c r="E155" s="152" t="s">
        <v>411</v>
      </c>
      <c r="F155" s="325" t="s">
        <v>412</v>
      </c>
      <c r="G155" s="325"/>
      <c r="H155" s="325"/>
      <c r="I155" s="325"/>
      <c r="J155" s="153" t="s">
        <v>184</v>
      </c>
      <c r="K155" s="154">
        <v>1</v>
      </c>
      <c r="L155" s="233"/>
      <c r="M155" s="233"/>
      <c r="N155" s="307">
        <f t="shared" si="0"/>
        <v>0</v>
      </c>
      <c r="O155" s="307"/>
      <c r="P155" s="307"/>
      <c r="Q155" s="307"/>
      <c r="R155" s="35"/>
      <c r="T155" s="155" t="s">
        <v>19</v>
      </c>
      <c r="U155" s="42" t="s">
        <v>39</v>
      </c>
      <c r="V155" s="156">
        <v>9.183</v>
      </c>
      <c r="W155" s="156">
        <f t="shared" si="1"/>
        <v>9.183</v>
      </c>
      <c r="X155" s="156">
        <v>0</v>
      </c>
      <c r="Y155" s="156">
        <f t="shared" si="2"/>
        <v>0</v>
      </c>
      <c r="Z155" s="156">
        <v>0</v>
      </c>
      <c r="AA155" s="157">
        <f t="shared" si="3"/>
        <v>0</v>
      </c>
      <c r="AR155" s="20" t="s">
        <v>142</v>
      </c>
      <c r="AT155" s="20" t="s">
        <v>138</v>
      </c>
      <c r="AU155" s="20" t="s">
        <v>96</v>
      </c>
      <c r="AY155" s="20" t="s">
        <v>137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20" t="s">
        <v>80</v>
      </c>
      <c r="BK155" s="158">
        <f t="shared" si="9"/>
        <v>0</v>
      </c>
      <c r="BL155" s="20" t="s">
        <v>142</v>
      </c>
      <c r="BM155" s="20" t="s">
        <v>413</v>
      </c>
    </row>
    <row r="156" spans="2:65" s="1" customFormat="1" ht="25.5" customHeight="1">
      <c r="B156" s="33"/>
      <c r="C156" s="186">
        <v>18</v>
      </c>
      <c r="D156" s="186" t="s">
        <v>138</v>
      </c>
      <c r="E156" s="187" t="s">
        <v>489</v>
      </c>
      <c r="F156" s="330" t="s">
        <v>490</v>
      </c>
      <c r="G156" s="331"/>
      <c r="H156" s="331"/>
      <c r="I156" s="331"/>
      <c r="J156" s="188" t="s">
        <v>184</v>
      </c>
      <c r="K156" s="189">
        <v>1</v>
      </c>
      <c r="L156" s="233"/>
      <c r="M156" s="233"/>
      <c r="N156" s="306">
        <f>ROUND(L156*K156,2)</f>
        <v>0</v>
      </c>
      <c r="O156" s="307"/>
      <c r="P156" s="307"/>
      <c r="Q156" s="307"/>
      <c r="R156" s="35"/>
      <c r="T156" s="155"/>
      <c r="U156" s="42"/>
      <c r="V156" s="156"/>
      <c r="W156" s="156"/>
      <c r="X156" s="156"/>
      <c r="Y156" s="156"/>
      <c r="Z156" s="156"/>
      <c r="AA156" s="157"/>
      <c r="AR156" s="20"/>
      <c r="AT156" s="20"/>
      <c r="AU156" s="20"/>
      <c r="AY156" s="20"/>
      <c r="BE156" s="158"/>
      <c r="BF156" s="158"/>
      <c r="BG156" s="158"/>
      <c r="BH156" s="158"/>
      <c r="BI156" s="158"/>
      <c r="BJ156" s="20"/>
      <c r="BK156" s="158"/>
      <c r="BL156" s="20"/>
      <c r="BM156" s="20"/>
    </row>
    <row r="157" spans="2:65" s="1" customFormat="1" ht="38.25" customHeight="1">
      <c r="B157" s="33"/>
      <c r="C157" s="175">
        <v>19</v>
      </c>
      <c r="D157" s="175" t="s">
        <v>149</v>
      </c>
      <c r="E157" s="176" t="s">
        <v>420</v>
      </c>
      <c r="F157" s="332" t="s">
        <v>421</v>
      </c>
      <c r="G157" s="332"/>
      <c r="H157" s="332"/>
      <c r="I157" s="332"/>
      <c r="J157" s="177" t="s">
        <v>184</v>
      </c>
      <c r="K157" s="178">
        <v>1</v>
      </c>
      <c r="L157" s="233"/>
      <c r="M157" s="233"/>
      <c r="N157" s="306">
        <f aca="true" t="shared" si="10" ref="N157">ROUND(L157*K157,2)</f>
        <v>0</v>
      </c>
      <c r="O157" s="307"/>
      <c r="P157" s="307"/>
      <c r="Q157" s="307"/>
      <c r="R157" s="35"/>
      <c r="T157" s="155" t="s">
        <v>19</v>
      </c>
      <c r="U157" s="42" t="s">
        <v>39</v>
      </c>
      <c r="V157" s="156">
        <v>0</v>
      </c>
      <c r="W157" s="156">
        <f aca="true" t="shared" si="11" ref="W157">V157*K157</f>
        <v>0</v>
      </c>
      <c r="X157" s="156">
        <v>0.0122</v>
      </c>
      <c r="Y157" s="156">
        <f aca="true" t="shared" si="12" ref="Y157">X157*K157</f>
        <v>0.0122</v>
      </c>
      <c r="Z157" s="156">
        <v>0</v>
      </c>
      <c r="AA157" s="157">
        <f aca="true" t="shared" si="13" ref="AA157">Z157*K157</f>
        <v>0</v>
      </c>
      <c r="AR157" s="20" t="s">
        <v>153</v>
      </c>
      <c r="AT157" s="20" t="s">
        <v>149</v>
      </c>
      <c r="AU157" s="20" t="s">
        <v>96</v>
      </c>
      <c r="AY157" s="20" t="s">
        <v>137</v>
      </c>
      <c r="BE157" s="158">
        <f aca="true" t="shared" si="14" ref="BE157">IF(U157="základní",N157,0)</f>
        <v>0</v>
      </c>
      <c r="BF157" s="158">
        <f aca="true" t="shared" si="15" ref="BF157">IF(U157="snížená",N157,0)</f>
        <v>0</v>
      </c>
      <c r="BG157" s="158">
        <f aca="true" t="shared" si="16" ref="BG157">IF(U157="zákl. přenesená",N157,0)</f>
        <v>0</v>
      </c>
      <c r="BH157" s="158">
        <f aca="true" t="shared" si="17" ref="BH157">IF(U157="sníž. přenesená",N157,0)</f>
        <v>0</v>
      </c>
      <c r="BI157" s="158">
        <f aca="true" t="shared" si="18" ref="BI157">IF(U157="nulová",N157,0)</f>
        <v>0</v>
      </c>
      <c r="BJ157" s="20" t="s">
        <v>80</v>
      </c>
      <c r="BK157" s="158">
        <f aca="true" t="shared" si="19" ref="BK157">ROUND(L157*K157,2)</f>
        <v>0</v>
      </c>
      <c r="BL157" s="20" t="s">
        <v>142</v>
      </c>
      <c r="BM157" s="20" t="s">
        <v>422</v>
      </c>
    </row>
    <row r="158" spans="2:65" s="1" customFormat="1" ht="25.5" customHeight="1">
      <c r="B158" s="33"/>
      <c r="C158" s="151">
        <v>20</v>
      </c>
      <c r="D158" s="151" t="s">
        <v>138</v>
      </c>
      <c r="E158" s="152" t="s">
        <v>426</v>
      </c>
      <c r="F158" s="312" t="s">
        <v>427</v>
      </c>
      <c r="G158" s="312"/>
      <c r="H158" s="312"/>
      <c r="I158" s="312"/>
      <c r="J158" s="153" t="s">
        <v>184</v>
      </c>
      <c r="K158" s="154">
        <v>1</v>
      </c>
      <c r="L158" s="233"/>
      <c r="M158" s="233"/>
      <c r="N158" s="307">
        <f t="shared" si="0"/>
        <v>0</v>
      </c>
      <c r="O158" s="307"/>
      <c r="P158" s="307"/>
      <c r="Q158" s="307"/>
      <c r="R158" s="35"/>
      <c r="T158" s="155" t="s">
        <v>19</v>
      </c>
      <c r="U158" s="42" t="s">
        <v>39</v>
      </c>
      <c r="V158" s="156">
        <v>1.554</v>
      </c>
      <c r="W158" s="156">
        <f t="shared" si="1"/>
        <v>1.554</v>
      </c>
      <c r="X158" s="156">
        <v>0.0008</v>
      </c>
      <c r="Y158" s="156">
        <f t="shared" si="2"/>
        <v>0.0008</v>
      </c>
      <c r="Z158" s="156">
        <v>0</v>
      </c>
      <c r="AA158" s="157">
        <f t="shared" si="3"/>
        <v>0</v>
      </c>
      <c r="AR158" s="20" t="s">
        <v>142</v>
      </c>
      <c r="AT158" s="20" t="s">
        <v>138</v>
      </c>
      <c r="AU158" s="20" t="s">
        <v>96</v>
      </c>
      <c r="AY158" s="20" t="s">
        <v>137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20" t="s">
        <v>80</v>
      </c>
      <c r="BK158" s="158">
        <f t="shared" si="9"/>
        <v>0</v>
      </c>
      <c r="BL158" s="20" t="s">
        <v>142</v>
      </c>
      <c r="BM158" s="20" t="s">
        <v>428</v>
      </c>
    </row>
    <row r="159" spans="2:65" s="1" customFormat="1" ht="25.5" customHeight="1">
      <c r="B159" s="33"/>
      <c r="C159" s="175">
        <v>21</v>
      </c>
      <c r="D159" s="175" t="s">
        <v>149</v>
      </c>
      <c r="E159" s="176" t="s">
        <v>423</v>
      </c>
      <c r="F159" s="329" t="s">
        <v>424</v>
      </c>
      <c r="G159" s="329"/>
      <c r="H159" s="329"/>
      <c r="I159" s="329"/>
      <c r="J159" s="177" t="s">
        <v>184</v>
      </c>
      <c r="K159" s="178">
        <v>1</v>
      </c>
      <c r="L159" s="233"/>
      <c r="M159" s="233"/>
      <c r="N159" s="306">
        <f aca="true" t="shared" si="20" ref="N159:N160">ROUND(L159*K159,2)</f>
        <v>0</v>
      </c>
      <c r="O159" s="307"/>
      <c r="P159" s="307"/>
      <c r="Q159" s="307"/>
      <c r="R159" s="35"/>
      <c r="T159" s="155" t="s">
        <v>19</v>
      </c>
      <c r="U159" s="42" t="s">
        <v>39</v>
      </c>
      <c r="V159" s="156">
        <v>0</v>
      </c>
      <c r="W159" s="156">
        <f aca="true" t="shared" si="21" ref="W159:W160">V159*K159</f>
        <v>0</v>
      </c>
      <c r="X159" s="156">
        <v>0.01555</v>
      </c>
      <c r="Y159" s="156">
        <f aca="true" t="shared" si="22" ref="Y159:Y160">X159*K159</f>
        <v>0.01555</v>
      </c>
      <c r="Z159" s="156">
        <v>0</v>
      </c>
      <c r="AA159" s="157">
        <f aca="true" t="shared" si="23" ref="AA159:AA160">Z159*K159</f>
        <v>0</v>
      </c>
      <c r="AR159" s="20" t="s">
        <v>153</v>
      </c>
      <c r="AT159" s="20" t="s">
        <v>149</v>
      </c>
      <c r="AU159" s="20" t="s">
        <v>96</v>
      </c>
      <c r="AY159" s="20" t="s">
        <v>137</v>
      </c>
      <c r="BE159" s="158">
        <f aca="true" t="shared" si="24" ref="BE159:BE160">IF(U159="základní",N159,0)</f>
        <v>0</v>
      </c>
      <c r="BF159" s="158">
        <f aca="true" t="shared" si="25" ref="BF159:BF160">IF(U159="snížená",N159,0)</f>
        <v>0</v>
      </c>
      <c r="BG159" s="158">
        <f aca="true" t="shared" si="26" ref="BG159:BG160">IF(U159="zákl. přenesená",N159,0)</f>
        <v>0</v>
      </c>
      <c r="BH159" s="158">
        <f aca="true" t="shared" si="27" ref="BH159:BH160">IF(U159="sníž. přenesená",N159,0)</f>
        <v>0</v>
      </c>
      <c r="BI159" s="158">
        <f aca="true" t="shared" si="28" ref="BI159:BI160">IF(U159="nulová",N159,0)</f>
        <v>0</v>
      </c>
      <c r="BJ159" s="20" t="s">
        <v>80</v>
      </c>
      <c r="BK159" s="158">
        <f aca="true" t="shared" si="29" ref="BK159:BK160">ROUND(L159*K159,2)</f>
        <v>0</v>
      </c>
      <c r="BL159" s="20" t="s">
        <v>142</v>
      </c>
      <c r="BM159" s="20" t="s">
        <v>425</v>
      </c>
    </row>
    <row r="160" spans="2:65" s="1" customFormat="1" ht="25.5" customHeight="1">
      <c r="B160" s="33"/>
      <c r="C160" s="175">
        <v>22</v>
      </c>
      <c r="D160" s="175" t="s">
        <v>149</v>
      </c>
      <c r="E160" s="176" t="s">
        <v>417</v>
      </c>
      <c r="F160" s="329" t="s">
        <v>418</v>
      </c>
      <c r="G160" s="329"/>
      <c r="H160" s="329"/>
      <c r="I160" s="329"/>
      <c r="J160" s="177" t="s">
        <v>184</v>
      </c>
      <c r="K160" s="178">
        <v>1</v>
      </c>
      <c r="L160" s="233"/>
      <c r="M160" s="233"/>
      <c r="N160" s="306">
        <f t="shared" si="20"/>
        <v>0</v>
      </c>
      <c r="O160" s="307"/>
      <c r="P160" s="307"/>
      <c r="Q160" s="307"/>
      <c r="R160" s="35"/>
      <c r="T160" s="155" t="s">
        <v>19</v>
      </c>
      <c r="U160" s="42" t="s">
        <v>39</v>
      </c>
      <c r="V160" s="156">
        <v>0</v>
      </c>
      <c r="W160" s="156">
        <f t="shared" si="21"/>
        <v>0</v>
      </c>
      <c r="X160" s="156">
        <v>0.0035</v>
      </c>
      <c r="Y160" s="156">
        <f t="shared" si="22"/>
        <v>0.0035</v>
      </c>
      <c r="Z160" s="156">
        <v>0</v>
      </c>
      <c r="AA160" s="157">
        <f t="shared" si="23"/>
        <v>0</v>
      </c>
      <c r="AR160" s="20" t="s">
        <v>153</v>
      </c>
      <c r="AT160" s="20" t="s">
        <v>149</v>
      </c>
      <c r="AU160" s="20" t="s">
        <v>96</v>
      </c>
      <c r="AY160" s="20" t="s">
        <v>137</v>
      </c>
      <c r="BE160" s="158">
        <f t="shared" si="24"/>
        <v>0</v>
      </c>
      <c r="BF160" s="158">
        <f t="shared" si="25"/>
        <v>0</v>
      </c>
      <c r="BG160" s="158">
        <f t="shared" si="26"/>
        <v>0</v>
      </c>
      <c r="BH160" s="158">
        <f t="shared" si="27"/>
        <v>0</v>
      </c>
      <c r="BI160" s="158">
        <f t="shared" si="28"/>
        <v>0</v>
      </c>
      <c r="BJ160" s="20" t="s">
        <v>80</v>
      </c>
      <c r="BK160" s="158">
        <f t="shared" si="29"/>
        <v>0</v>
      </c>
      <c r="BL160" s="20" t="s">
        <v>142</v>
      </c>
      <c r="BM160" s="20" t="s">
        <v>419</v>
      </c>
    </row>
    <row r="161" spans="2:65" s="1" customFormat="1" ht="16.5" customHeight="1">
      <c r="B161" s="33"/>
      <c r="C161" s="151">
        <v>23</v>
      </c>
      <c r="D161" s="151" t="s">
        <v>138</v>
      </c>
      <c r="E161" s="152" t="s">
        <v>429</v>
      </c>
      <c r="F161" s="312" t="s">
        <v>430</v>
      </c>
      <c r="G161" s="312"/>
      <c r="H161" s="312"/>
      <c r="I161" s="312"/>
      <c r="J161" s="153" t="s">
        <v>184</v>
      </c>
      <c r="K161" s="154">
        <v>1</v>
      </c>
      <c r="L161" s="233"/>
      <c r="M161" s="233"/>
      <c r="N161" s="307">
        <f t="shared" si="0"/>
        <v>0</v>
      </c>
      <c r="O161" s="307"/>
      <c r="P161" s="307"/>
      <c r="Q161" s="307"/>
      <c r="R161" s="35"/>
      <c r="T161" s="155" t="s">
        <v>19</v>
      </c>
      <c r="U161" s="42" t="s">
        <v>39</v>
      </c>
      <c r="V161" s="156">
        <v>0.708</v>
      </c>
      <c r="W161" s="156">
        <f t="shared" si="1"/>
        <v>0.708</v>
      </c>
      <c r="X161" s="156">
        <v>0.00034</v>
      </c>
      <c r="Y161" s="156">
        <f t="shared" si="2"/>
        <v>0.00034</v>
      </c>
      <c r="Z161" s="156">
        <v>0</v>
      </c>
      <c r="AA161" s="157">
        <f t="shared" si="3"/>
        <v>0</v>
      </c>
      <c r="AR161" s="20" t="s">
        <v>142</v>
      </c>
      <c r="AT161" s="20" t="s">
        <v>138</v>
      </c>
      <c r="AU161" s="20" t="s">
        <v>96</v>
      </c>
      <c r="AY161" s="20" t="s">
        <v>137</v>
      </c>
      <c r="BE161" s="158">
        <f t="shared" si="4"/>
        <v>0</v>
      </c>
      <c r="BF161" s="158">
        <f t="shared" si="5"/>
        <v>0</v>
      </c>
      <c r="BG161" s="158">
        <f t="shared" si="6"/>
        <v>0</v>
      </c>
      <c r="BH161" s="158">
        <f t="shared" si="7"/>
        <v>0</v>
      </c>
      <c r="BI161" s="158">
        <f t="shared" si="8"/>
        <v>0</v>
      </c>
      <c r="BJ161" s="20" t="s">
        <v>80</v>
      </c>
      <c r="BK161" s="158">
        <f t="shared" si="9"/>
        <v>0</v>
      </c>
      <c r="BL161" s="20" t="s">
        <v>142</v>
      </c>
      <c r="BM161" s="20" t="s">
        <v>431</v>
      </c>
    </row>
    <row r="162" spans="2:65" s="1" customFormat="1" ht="25.5" customHeight="1">
      <c r="B162" s="33"/>
      <c r="C162" s="175">
        <v>24</v>
      </c>
      <c r="D162" s="175" t="s">
        <v>149</v>
      </c>
      <c r="E162" s="176" t="s">
        <v>414</v>
      </c>
      <c r="F162" s="329" t="s">
        <v>415</v>
      </c>
      <c r="G162" s="329"/>
      <c r="H162" s="329"/>
      <c r="I162" s="329"/>
      <c r="J162" s="177" t="s">
        <v>184</v>
      </c>
      <c r="K162" s="178">
        <v>1</v>
      </c>
      <c r="L162" s="233"/>
      <c r="M162" s="233"/>
      <c r="N162" s="306">
        <f t="shared" si="0"/>
        <v>0</v>
      </c>
      <c r="O162" s="307"/>
      <c r="P162" s="307"/>
      <c r="Q162" s="307"/>
      <c r="R162" s="35"/>
      <c r="T162" s="155" t="s">
        <v>19</v>
      </c>
      <c r="U162" s="42" t="s">
        <v>39</v>
      </c>
      <c r="V162" s="156">
        <v>0</v>
      </c>
      <c r="W162" s="156">
        <f t="shared" si="1"/>
        <v>0</v>
      </c>
      <c r="X162" s="156">
        <v>0.0325</v>
      </c>
      <c r="Y162" s="156">
        <f t="shared" si="2"/>
        <v>0.0325</v>
      </c>
      <c r="Z162" s="156">
        <v>0</v>
      </c>
      <c r="AA162" s="157">
        <f t="shared" si="3"/>
        <v>0</v>
      </c>
      <c r="AR162" s="20" t="s">
        <v>153</v>
      </c>
      <c r="AT162" s="20" t="s">
        <v>149</v>
      </c>
      <c r="AU162" s="20" t="s">
        <v>96</v>
      </c>
      <c r="AY162" s="20" t="s">
        <v>137</v>
      </c>
      <c r="BE162" s="158">
        <f t="shared" si="4"/>
        <v>0</v>
      </c>
      <c r="BF162" s="158">
        <f t="shared" si="5"/>
        <v>0</v>
      </c>
      <c r="BG162" s="158">
        <f t="shared" si="6"/>
        <v>0</v>
      </c>
      <c r="BH162" s="158">
        <f t="shared" si="7"/>
        <v>0</v>
      </c>
      <c r="BI162" s="158">
        <f t="shared" si="8"/>
        <v>0</v>
      </c>
      <c r="BJ162" s="20" t="s">
        <v>80</v>
      </c>
      <c r="BK162" s="158">
        <f t="shared" si="9"/>
        <v>0</v>
      </c>
      <c r="BL162" s="20" t="s">
        <v>142</v>
      </c>
      <c r="BM162" s="20" t="s">
        <v>416</v>
      </c>
    </row>
    <row r="163" spans="2:65" s="1" customFormat="1" ht="25.5" customHeight="1">
      <c r="B163" s="33"/>
      <c r="C163" s="151">
        <v>25</v>
      </c>
      <c r="D163" s="151" t="s">
        <v>138</v>
      </c>
      <c r="E163" s="152" t="s">
        <v>432</v>
      </c>
      <c r="F163" s="312" t="s">
        <v>433</v>
      </c>
      <c r="G163" s="312"/>
      <c r="H163" s="312"/>
      <c r="I163" s="312"/>
      <c r="J163" s="153" t="s">
        <v>184</v>
      </c>
      <c r="K163" s="154">
        <v>1</v>
      </c>
      <c r="L163" s="233"/>
      <c r="M163" s="233"/>
      <c r="N163" s="307">
        <f t="shared" si="0"/>
        <v>0</v>
      </c>
      <c r="O163" s="307"/>
      <c r="P163" s="307"/>
      <c r="Q163" s="307"/>
      <c r="R163" s="35"/>
      <c r="T163" s="155" t="s">
        <v>19</v>
      </c>
      <c r="U163" s="42" t="s">
        <v>39</v>
      </c>
      <c r="V163" s="156">
        <v>1.562</v>
      </c>
      <c r="W163" s="156">
        <f t="shared" si="1"/>
        <v>1.562</v>
      </c>
      <c r="X163" s="156">
        <v>0.00918</v>
      </c>
      <c r="Y163" s="156">
        <f t="shared" si="2"/>
        <v>0.00918</v>
      </c>
      <c r="Z163" s="156">
        <v>0</v>
      </c>
      <c r="AA163" s="157">
        <f t="shared" si="3"/>
        <v>0</v>
      </c>
      <c r="AR163" s="20" t="s">
        <v>142</v>
      </c>
      <c r="AT163" s="20" t="s">
        <v>138</v>
      </c>
      <c r="AU163" s="20" t="s">
        <v>96</v>
      </c>
      <c r="AY163" s="20" t="s">
        <v>137</v>
      </c>
      <c r="BE163" s="158">
        <f t="shared" si="4"/>
        <v>0</v>
      </c>
      <c r="BF163" s="158">
        <f t="shared" si="5"/>
        <v>0</v>
      </c>
      <c r="BG163" s="158">
        <f t="shared" si="6"/>
        <v>0</v>
      </c>
      <c r="BH163" s="158">
        <f t="shared" si="7"/>
        <v>0</v>
      </c>
      <c r="BI163" s="158">
        <f t="shared" si="8"/>
        <v>0</v>
      </c>
      <c r="BJ163" s="20" t="s">
        <v>80</v>
      </c>
      <c r="BK163" s="158">
        <f t="shared" si="9"/>
        <v>0</v>
      </c>
      <c r="BL163" s="20" t="s">
        <v>142</v>
      </c>
      <c r="BM163" s="20" t="s">
        <v>434</v>
      </c>
    </row>
    <row r="164" spans="2:65" s="1" customFormat="1" ht="25.5" customHeight="1">
      <c r="B164" s="33"/>
      <c r="C164" s="175">
        <v>26</v>
      </c>
      <c r="D164" s="175" t="s">
        <v>149</v>
      </c>
      <c r="E164" s="176" t="s">
        <v>435</v>
      </c>
      <c r="F164" s="305" t="s">
        <v>436</v>
      </c>
      <c r="G164" s="305"/>
      <c r="H164" s="305"/>
      <c r="I164" s="305"/>
      <c r="J164" s="177" t="s">
        <v>184</v>
      </c>
      <c r="K164" s="178">
        <v>1</v>
      </c>
      <c r="L164" s="233"/>
      <c r="M164" s="233"/>
      <c r="N164" s="306">
        <f t="shared" si="0"/>
        <v>0</v>
      </c>
      <c r="O164" s="307"/>
      <c r="P164" s="307"/>
      <c r="Q164" s="307"/>
      <c r="R164" s="35"/>
      <c r="T164" s="155" t="s">
        <v>19</v>
      </c>
      <c r="U164" s="42" t="s">
        <v>39</v>
      </c>
      <c r="V164" s="156">
        <v>0</v>
      </c>
      <c r="W164" s="156">
        <f t="shared" si="1"/>
        <v>0</v>
      </c>
      <c r="X164" s="156">
        <v>0.5</v>
      </c>
      <c r="Y164" s="156">
        <f t="shared" si="2"/>
        <v>0.5</v>
      </c>
      <c r="Z164" s="156">
        <v>0</v>
      </c>
      <c r="AA164" s="157">
        <f t="shared" si="3"/>
        <v>0</v>
      </c>
      <c r="AR164" s="20" t="s">
        <v>153</v>
      </c>
      <c r="AT164" s="20" t="s">
        <v>149</v>
      </c>
      <c r="AU164" s="20" t="s">
        <v>96</v>
      </c>
      <c r="AY164" s="20" t="s">
        <v>137</v>
      </c>
      <c r="BE164" s="158">
        <f t="shared" si="4"/>
        <v>0</v>
      </c>
      <c r="BF164" s="158">
        <f t="shared" si="5"/>
        <v>0</v>
      </c>
      <c r="BG164" s="158">
        <f t="shared" si="6"/>
        <v>0</v>
      </c>
      <c r="BH164" s="158">
        <f t="shared" si="7"/>
        <v>0</v>
      </c>
      <c r="BI164" s="158">
        <f t="shared" si="8"/>
        <v>0</v>
      </c>
      <c r="BJ164" s="20" t="s">
        <v>80</v>
      </c>
      <c r="BK164" s="158">
        <f t="shared" si="9"/>
        <v>0</v>
      </c>
      <c r="BL164" s="20" t="s">
        <v>142</v>
      </c>
      <c r="BM164" s="20" t="s">
        <v>437</v>
      </c>
    </row>
    <row r="165" spans="2:65" s="1" customFormat="1" ht="25.5" customHeight="1">
      <c r="B165" s="33"/>
      <c r="C165" s="175">
        <v>27</v>
      </c>
      <c r="D165" s="175" t="s">
        <v>149</v>
      </c>
      <c r="E165" s="176" t="s">
        <v>438</v>
      </c>
      <c r="F165" s="305" t="s">
        <v>439</v>
      </c>
      <c r="G165" s="305"/>
      <c r="H165" s="305"/>
      <c r="I165" s="305"/>
      <c r="J165" s="177" t="s">
        <v>184</v>
      </c>
      <c r="K165" s="178">
        <v>1</v>
      </c>
      <c r="L165" s="233"/>
      <c r="M165" s="233"/>
      <c r="N165" s="306">
        <f t="shared" si="0"/>
        <v>0</v>
      </c>
      <c r="O165" s="307"/>
      <c r="P165" s="307"/>
      <c r="Q165" s="307"/>
      <c r="R165" s="35"/>
      <c r="T165" s="155" t="s">
        <v>19</v>
      </c>
      <c r="U165" s="42" t="s">
        <v>39</v>
      </c>
      <c r="V165" s="156">
        <v>0</v>
      </c>
      <c r="W165" s="156">
        <f t="shared" si="1"/>
        <v>0</v>
      </c>
      <c r="X165" s="156">
        <v>0.247</v>
      </c>
      <c r="Y165" s="156">
        <f t="shared" si="2"/>
        <v>0.247</v>
      </c>
      <c r="Z165" s="156">
        <v>0</v>
      </c>
      <c r="AA165" s="157">
        <f t="shared" si="3"/>
        <v>0</v>
      </c>
      <c r="AR165" s="20" t="s">
        <v>153</v>
      </c>
      <c r="AT165" s="20" t="s">
        <v>149</v>
      </c>
      <c r="AU165" s="20" t="s">
        <v>96</v>
      </c>
      <c r="AY165" s="20" t="s">
        <v>137</v>
      </c>
      <c r="BE165" s="158">
        <f t="shared" si="4"/>
        <v>0</v>
      </c>
      <c r="BF165" s="158">
        <f t="shared" si="5"/>
        <v>0</v>
      </c>
      <c r="BG165" s="158">
        <f t="shared" si="6"/>
        <v>0</v>
      </c>
      <c r="BH165" s="158">
        <f t="shared" si="7"/>
        <v>0</v>
      </c>
      <c r="BI165" s="158">
        <f t="shared" si="8"/>
        <v>0</v>
      </c>
      <c r="BJ165" s="20" t="s">
        <v>80</v>
      </c>
      <c r="BK165" s="158">
        <f t="shared" si="9"/>
        <v>0</v>
      </c>
      <c r="BL165" s="20" t="s">
        <v>142</v>
      </c>
      <c r="BM165" s="20" t="s">
        <v>440</v>
      </c>
    </row>
    <row r="166" spans="2:65" s="1" customFormat="1" ht="16.5" customHeight="1">
      <c r="B166" s="33"/>
      <c r="C166" s="151">
        <v>28</v>
      </c>
      <c r="D166" s="151" t="s">
        <v>138</v>
      </c>
      <c r="E166" s="152" t="s">
        <v>441</v>
      </c>
      <c r="F166" s="312" t="s">
        <v>442</v>
      </c>
      <c r="G166" s="312"/>
      <c r="H166" s="312"/>
      <c r="I166" s="312"/>
      <c r="J166" s="153" t="s">
        <v>184</v>
      </c>
      <c r="K166" s="154">
        <v>1</v>
      </c>
      <c r="L166" s="233"/>
      <c r="M166" s="233"/>
      <c r="N166" s="307">
        <f t="shared" si="0"/>
        <v>0</v>
      </c>
      <c r="O166" s="307"/>
      <c r="P166" s="307"/>
      <c r="Q166" s="307"/>
      <c r="R166" s="35"/>
      <c r="T166" s="155" t="s">
        <v>19</v>
      </c>
      <c r="U166" s="42" t="s">
        <v>39</v>
      </c>
      <c r="V166" s="156">
        <v>0.863</v>
      </c>
      <c r="W166" s="156">
        <f t="shared" si="1"/>
        <v>0.863</v>
      </c>
      <c r="X166" s="156">
        <v>0.1014978</v>
      </c>
      <c r="Y166" s="156">
        <f t="shared" si="2"/>
        <v>0.1014978</v>
      </c>
      <c r="Z166" s="156">
        <v>0</v>
      </c>
      <c r="AA166" s="157">
        <f t="shared" si="3"/>
        <v>0</v>
      </c>
      <c r="AR166" s="20" t="s">
        <v>142</v>
      </c>
      <c r="AT166" s="20" t="s">
        <v>138</v>
      </c>
      <c r="AU166" s="20" t="s">
        <v>96</v>
      </c>
      <c r="AY166" s="20" t="s">
        <v>137</v>
      </c>
      <c r="BE166" s="158">
        <f t="shared" si="4"/>
        <v>0</v>
      </c>
      <c r="BF166" s="158">
        <f t="shared" si="5"/>
        <v>0</v>
      </c>
      <c r="BG166" s="158">
        <f t="shared" si="6"/>
        <v>0</v>
      </c>
      <c r="BH166" s="158">
        <f t="shared" si="7"/>
        <v>0</v>
      </c>
      <c r="BI166" s="158">
        <f t="shared" si="8"/>
        <v>0</v>
      </c>
      <c r="BJ166" s="20" t="s">
        <v>80</v>
      </c>
      <c r="BK166" s="158">
        <f t="shared" si="9"/>
        <v>0</v>
      </c>
      <c r="BL166" s="20" t="s">
        <v>142</v>
      </c>
      <c r="BM166" s="20" t="s">
        <v>443</v>
      </c>
    </row>
    <row r="167" spans="2:65" s="1" customFormat="1" ht="16.5" customHeight="1">
      <c r="B167" s="33"/>
      <c r="C167" s="175">
        <v>29</v>
      </c>
      <c r="D167" s="175" t="s">
        <v>149</v>
      </c>
      <c r="E167" s="176" t="s">
        <v>444</v>
      </c>
      <c r="F167" s="329" t="s">
        <v>445</v>
      </c>
      <c r="G167" s="329"/>
      <c r="H167" s="329"/>
      <c r="I167" s="329"/>
      <c r="J167" s="177" t="s">
        <v>184</v>
      </c>
      <c r="K167" s="178">
        <v>1</v>
      </c>
      <c r="L167" s="233"/>
      <c r="M167" s="233"/>
      <c r="N167" s="306">
        <f t="shared" si="0"/>
        <v>0</v>
      </c>
      <c r="O167" s="307"/>
      <c r="P167" s="307"/>
      <c r="Q167" s="307"/>
      <c r="R167" s="35"/>
      <c r="T167" s="155" t="s">
        <v>19</v>
      </c>
      <c r="U167" s="42" t="s">
        <v>39</v>
      </c>
      <c r="V167" s="156">
        <v>0</v>
      </c>
      <c r="W167" s="156">
        <f t="shared" si="1"/>
        <v>0</v>
      </c>
      <c r="X167" s="156">
        <v>0.0133</v>
      </c>
      <c r="Y167" s="156">
        <f t="shared" si="2"/>
        <v>0.0133</v>
      </c>
      <c r="Z167" s="156">
        <v>0</v>
      </c>
      <c r="AA167" s="157">
        <f t="shared" si="3"/>
        <v>0</v>
      </c>
      <c r="AR167" s="20" t="s">
        <v>153</v>
      </c>
      <c r="AT167" s="20" t="s">
        <v>149</v>
      </c>
      <c r="AU167" s="20" t="s">
        <v>96</v>
      </c>
      <c r="AY167" s="20" t="s">
        <v>137</v>
      </c>
      <c r="BE167" s="158">
        <f t="shared" si="4"/>
        <v>0</v>
      </c>
      <c r="BF167" s="158">
        <f t="shared" si="5"/>
        <v>0</v>
      </c>
      <c r="BG167" s="158">
        <f t="shared" si="6"/>
        <v>0</v>
      </c>
      <c r="BH167" s="158">
        <f t="shared" si="7"/>
        <v>0</v>
      </c>
      <c r="BI167" s="158">
        <f t="shared" si="8"/>
        <v>0</v>
      </c>
      <c r="BJ167" s="20" t="s">
        <v>80</v>
      </c>
      <c r="BK167" s="158">
        <f t="shared" si="9"/>
        <v>0</v>
      </c>
      <c r="BL167" s="20" t="s">
        <v>142</v>
      </c>
      <c r="BM167" s="20" t="s">
        <v>446</v>
      </c>
    </row>
    <row r="168" spans="2:65" s="1" customFormat="1" ht="16.5" customHeight="1">
      <c r="B168" s="33"/>
      <c r="C168" s="151">
        <v>30</v>
      </c>
      <c r="D168" s="151" t="s">
        <v>138</v>
      </c>
      <c r="E168" s="152" t="s">
        <v>447</v>
      </c>
      <c r="F168" s="312" t="s">
        <v>448</v>
      </c>
      <c r="G168" s="312"/>
      <c r="H168" s="312"/>
      <c r="I168" s="312"/>
      <c r="J168" s="153" t="s">
        <v>184</v>
      </c>
      <c r="K168" s="154">
        <v>1</v>
      </c>
      <c r="L168" s="233"/>
      <c r="M168" s="233"/>
      <c r="N168" s="307">
        <f t="shared" si="0"/>
        <v>0</v>
      </c>
      <c r="O168" s="307"/>
      <c r="P168" s="307"/>
      <c r="Q168" s="307"/>
      <c r="R168" s="35"/>
      <c r="T168" s="155" t="s">
        <v>19</v>
      </c>
      <c r="U168" s="42" t="s">
        <v>39</v>
      </c>
      <c r="V168" s="156">
        <v>1.182</v>
      </c>
      <c r="W168" s="156">
        <f t="shared" si="1"/>
        <v>1.182</v>
      </c>
      <c r="X168" s="156">
        <v>0.32906</v>
      </c>
      <c r="Y168" s="156">
        <f t="shared" si="2"/>
        <v>0.32906</v>
      </c>
      <c r="Z168" s="156">
        <v>0</v>
      </c>
      <c r="AA168" s="157">
        <f t="shared" si="3"/>
        <v>0</v>
      </c>
      <c r="AR168" s="20" t="s">
        <v>142</v>
      </c>
      <c r="AT168" s="20" t="s">
        <v>138</v>
      </c>
      <c r="AU168" s="20" t="s">
        <v>96</v>
      </c>
      <c r="AY168" s="20" t="s">
        <v>137</v>
      </c>
      <c r="BE168" s="158">
        <f t="shared" si="4"/>
        <v>0</v>
      </c>
      <c r="BF168" s="158">
        <f t="shared" si="5"/>
        <v>0</v>
      </c>
      <c r="BG168" s="158">
        <f t="shared" si="6"/>
        <v>0</v>
      </c>
      <c r="BH168" s="158">
        <f t="shared" si="7"/>
        <v>0</v>
      </c>
      <c r="BI168" s="158">
        <f t="shared" si="8"/>
        <v>0</v>
      </c>
      <c r="BJ168" s="20" t="s">
        <v>80</v>
      </c>
      <c r="BK168" s="158">
        <f t="shared" si="9"/>
        <v>0</v>
      </c>
      <c r="BL168" s="20" t="s">
        <v>142</v>
      </c>
      <c r="BM168" s="20" t="s">
        <v>449</v>
      </c>
    </row>
    <row r="169" spans="2:65" s="1" customFormat="1" ht="16.5" customHeight="1">
      <c r="B169" s="33"/>
      <c r="C169" s="175">
        <v>31</v>
      </c>
      <c r="D169" s="175" t="s">
        <v>149</v>
      </c>
      <c r="E169" s="176" t="s">
        <v>450</v>
      </c>
      <c r="F169" s="329" t="s">
        <v>451</v>
      </c>
      <c r="G169" s="329"/>
      <c r="H169" s="329"/>
      <c r="I169" s="329"/>
      <c r="J169" s="177" t="s">
        <v>184</v>
      </c>
      <c r="K169" s="178">
        <v>1</v>
      </c>
      <c r="L169" s="233"/>
      <c r="M169" s="233"/>
      <c r="N169" s="306">
        <f t="shared" si="0"/>
        <v>0</v>
      </c>
      <c r="O169" s="307"/>
      <c r="P169" s="307"/>
      <c r="Q169" s="307"/>
      <c r="R169" s="35"/>
      <c r="T169" s="155" t="s">
        <v>19</v>
      </c>
      <c r="U169" s="42" t="s">
        <v>39</v>
      </c>
      <c r="V169" s="156">
        <v>0</v>
      </c>
      <c r="W169" s="156">
        <f t="shared" si="1"/>
        <v>0</v>
      </c>
      <c r="X169" s="156">
        <v>0.0295</v>
      </c>
      <c r="Y169" s="156">
        <f t="shared" si="2"/>
        <v>0.0295</v>
      </c>
      <c r="Z169" s="156">
        <v>0</v>
      </c>
      <c r="AA169" s="157">
        <f t="shared" si="3"/>
        <v>0</v>
      </c>
      <c r="AR169" s="20" t="s">
        <v>153</v>
      </c>
      <c r="AT169" s="20" t="s">
        <v>149</v>
      </c>
      <c r="AU169" s="20" t="s">
        <v>96</v>
      </c>
      <c r="AY169" s="20" t="s">
        <v>137</v>
      </c>
      <c r="BE169" s="158">
        <f t="shared" si="4"/>
        <v>0</v>
      </c>
      <c r="BF169" s="158">
        <f t="shared" si="5"/>
        <v>0</v>
      </c>
      <c r="BG169" s="158">
        <f t="shared" si="6"/>
        <v>0</v>
      </c>
      <c r="BH169" s="158">
        <f t="shared" si="7"/>
        <v>0</v>
      </c>
      <c r="BI169" s="158">
        <f t="shared" si="8"/>
        <v>0</v>
      </c>
      <c r="BJ169" s="20" t="s">
        <v>80</v>
      </c>
      <c r="BK169" s="158">
        <f t="shared" si="9"/>
        <v>0</v>
      </c>
      <c r="BL169" s="20" t="s">
        <v>142</v>
      </c>
      <c r="BM169" s="20" t="s">
        <v>452</v>
      </c>
    </row>
    <row r="170" spans="2:63" s="9" customFormat="1" ht="29.85" customHeight="1">
      <c r="B170" s="140"/>
      <c r="C170" s="141"/>
      <c r="D170" s="150" t="s">
        <v>112</v>
      </c>
      <c r="E170" s="150"/>
      <c r="F170" s="150"/>
      <c r="G170" s="150"/>
      <c r="H170" s="150"/>
      <c r="I170" s="150"/>
      <c r="J170" s="150"/>
      <c r="K170" s="150"/>
      <c r="L170" s="233"/>
      <c r="M170" s="233"/>
      <c r="N170" s="313">
        <f>SUM(N171:N175)</f>
        <v>0</v>
      </c>
      <c r="O170" s="314"/>
      <c r="P170" s="314"/>
      <c r="Q170" s="314"/>
      <c r="R170" s="143"/>
      <c r="T170" s="144"/>
      <c r="U170" s="141"/>
      <c r="V170" s="141"/>
      <c r="W170" s="145">
        <f>SUM(W171:W175)</f>
        <v>38.604336</v>
      </c>
      <c r="X170" s="141"/>
      <c r="Y170" s="145">
        <f>SUM(Y171:Y175)</f>
        <v>0</v>
      </c>
      <c r="Z170" s="141"/>
      <c r="AA170" s="146">
        <f>SUM(AA171:AA175)</f>
        <v>11.3952</v>
      </c>
      <c r="AR170" s="147" t="s">
        <v>80</v>
      </c>
      <c r="AT170" s="148" t="s">
        <v>72</v>
      </c>
      <c r="AU170" s="148" t="s">
        <v>80</v>
      </c>
      <c r="AY170" s="147" t="s">
        <v>137</v>
      </c>
      <c r="BK170" s="149">
        <f>SUM(BK171:BK175)</f>
        <v>0</v>
      </c>
    </row>
    <row r="171" spans="2:65" s="1" customFormat="1" ht="16.5" customHeight="1">
      <c r="B171" s="33"/>
      <c r="C171" s="151">
        <v>32</v>
      </c>
      <c r="D171" s="151" t="s">
        <v>138</v>
      </c>
      <c r="E171" s="152" t="s">
        <v>453</v>
      </c>
      <c r="F171" s="312" t="s">
        <v>454</v>
      </c>
      <c r="G171" s="312"/>
      <c r="H171" s="312"/>
      <c r="I171" s="312"/>
      <c r="J171" s="153" t="s">
        <v>141</v>
      </c>
      <c r="K171" s="154">
        <v>3.876</v>
      </c>
      <c r="L171" s="233"/>
      <c r="M171" s="233"/>
      <c r="N171" s="307">
        <f>ROUND(L171*K171,2)</f>
        <v>0</v>
      </c>
      <c r="O171" s="307"/>
      <c r="P171" s="307"/>
      <c r="Q171" s="307"/>
      <c r="R171" s="35"/>
      <c r="T171" s="155" t="s">
        <v>19</v>
      </c>
      <c r="U171" s="42" t="s">
        <v>39</v>
      </c>
      <c r="V171" s="156">
        <v>6.436</v>
      </c>
      <c r="W171" s="156">
        <f>V171*K171</f>
        <v>24.945936</v>
      </c>
      <c r="X171" s="156">
        <v>0</v>
      </c>
      <c r="Y171" s="156">
        <f>X171*K171</f>
        <v>0</v>
      </c>
      <c r="Z171" s="156">
        <v>2</v>
      </c>
      <c r="AA171" s="157">
        <f>Z171*K171</f>
        <v>7.752</v>
      </c>
      <c r="AR171" s="20" t="s">
        <v>142</v>
      </c>
      <c r="AT171" s="20" t="s">
        <v>138</v>
      </c>
      <c r="AU171" s="20" t="s">
        <v>96</v>
      </c>
      <c r="AY171" s="20" t="s">
        <v>137</v>
      </c>
      <c r="BE171" s="158">
        <f>IF(U171="základní",N171,0)</f>
        <v>0</v>
      </c>
      <c r="BF171" s="158">
        <f>IF(U171="snížená",N171,0)</f>
        <v>0</v>
      </c>
      <c r="BG171" s="158">
        <f>IF(U171="zákl. přenesená",N171,0)</f>
        <v>0</v>
      </c>
      <c r="BH171" s="158">
        <f>IF(U171="sníž. přenesená",N171,0)</f>
        <v>0</v>
      </c>
      <c r="BI171" s="158">
        <f>IF(U171="nulová",N171,0)</f>
        <v>0</v>
      </c>
      <c r="BJ171" s="20" t="s">
        <v>80</v>
      </c>
      <c r="BK171" s="158">
        <f>ROUND(L171*K171,2)</f>
        <v>0</v>
      </c>
      <c r="BL171" s="20" t="s">
        <v>142</v>
      </c>
      <c r="BM171" s="20" t="s">
        <v>455</v>
      </c>
    </row>
    <row r="172" spans="2:51" s="10" customFormat="1" ht="16.5" customHeight="1">
      <c r="B172" s="159"/>
      <c r="C172" s="160"/>
      <c r="D172" s="160"/>
      <c r="E172" s="161" t="s">
        <v>19</v>
      </c>
      <c r="F172" s="308" t="s">
        <v>456</v>
      </c>
      <c r="G172" s="309"/>
      <c r="H172" s="309"/>
      <c r="I172" s="309"/>
      <c r="J172" s="160"/>
      <c r="K172" s="162">
        <v>3.876</v>
      </c>
      <c r="L172" s="233"/>
      <c r="M172" s="233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145</v>
      </c>
      <c r="AU172" s="166" t="s">
        <v>96</v>
      </c>
      <c r="AV172" s="10" t="s">
        <v>96</v>
      </c>
      <c r="AW172" s="10" t="s">
        <v>33</v>
      </c>
      <c r="AX172" s="10" t="s">
        <v>80</v>
      </c>
      <c r="AY172" s="166" t="s">
        <v>137</v>
      </c>
    </row>
    <row r="173" spans="2:65" s="1" customFormat="1" ht="25.5" customHeight="1">
      <c r="B173" s="33"/>
      <c r="C173" s="151">
        <v>33</v>
      </c>
      <c r="D173" s="151" t="s">
        <v>138</v>
      </c>
      <c r="E173" s="152" t="s">
        <v>280</v>
      </c>
      <c r="F173" s="312" t="s">
        <v>281</v>
      </c>
      <c r="G173" s="312"/>
      <c r="H173" s="312"/>
      <c r="I173" s="312"/>
      <c r="J173" s="153" t="s">
        <v>141</v>
      </c>
      <c r="K173" s="154">
        <v>0.72</v>
      </c>
      <c r="L173" s="233"/>
      <c r="M173" s="233"/>
      <c r="N173" s="307">
        <f>ROUND(L173*K173,2)</f>
        <v>0</v>
      </c>
      <c r="O173" s="307"/>
      <c r="P173" s="307"/>
      <c r="Q173" s="307"/>
      <c r="R173" s="35"/>
      <c r="T173" s="155" t="s">
        <v>19</v>
      </c>
      <c r="U173" s="42" t="s">
        <v>39</v>
      </c>
      <c r="V173" s="156">
        <v>6.72</v>
      </c>
      <c r="W173" s="156">
        <f>V173*K173</f>
        <v>4.8384</v>
      </c>
      <c r="X173" s="156">
        <v>0</v>
      </c>
      <c r="Y173" s="156">
        <f>X173*K173</f>
        <v>0</v>
      </c>
      <c r="Z173" s="156">
        <v>2.4</v>
      </c>
      <c r="AA173" s="157">
        <f>Z173*K173</f>
        <v>1.728</v>
      </c>
      <c r="AR173" s="20" t="s">
        <v>142</v>
      </c>
      <c r="AT173" s="20" t="s">
        <v>138</v>
      </c>
      <c r="AU173" s="20" t="s">
        <v>96</v>
      </c>
      <c r="AY173" s="20" t="s">
        <v>137</v>
      </c>
      <c r="BE173" s="158">
        <f>IF(U173="základní",N173,0)</f>
        <v>0</v>
      </c>
      <c r="BF173" s="158">
        <f>IF(U173="snížená",N173,0)</f>
        <v>0</v>
      </c>
      <c r="BG173" s="158">
        <f>IF(U173="zákl. přenesená",N173,0)</f>
        <v>0</v>
      </c>
      <c r="BH173" s="158">
        <f>IF(U173="sníž. přenesená",N173,0)</f>
        <v>0</v>
      </c>
      <c r="BI173" s="158">
        <f>IF(U173="nulová",N173,0)</f>
        <v>0</v>
      </c>
      <c r="BJ173" s="20" t="s">
        <v>80</v>
      </c>
      <c r="BK173" s="158">
        <f>ROUND(L173*K173,2)</f>
        <v>0</v>
      </c>
      <c r="BL173" s="20" t="s">
        <v>142</v>
      </c>
      <c r="BM173" s="20" t="s">
        <v>457</v>
      </c>
    </row>
    <row r="174" spans="2:51" s="10" customFormat="1" ht="16.5" customHeight="1">
      <c r="B174" s="159"/>
      <c r="C174" s="160"/>
      <c r="D174" s="160"/>
      <c r="E174" s="161" t="s">
        <v>19</v>
      </c>
      <c r="F174" s="308" t="s">
        <v>458</v>
      </c>
      <c r="G174" s="309"/>
      <c r="H174" s="309"/>
      <c r="I174" s="309"/>
      <c r="J174" s="160"/>
      <c r="K174" s="162">
        <v>0.72</v>
      </c>
      <c r="L174" s="233"/>
      <c r="M174" s="233"/>
      <c r="N174" s="160"/>
      <c r="O174" s="160"/>
      <c r="P174" s="160"/>
      <c r="Q174" s="160"/>
      <c r="R174" s="163"/>
      <c r="T174" s="164"/>
      <c r="U174" s="160"/>
      <c r="V174" s="160"/>
      <c r="W174" s="160"/>
      <c r="X174" s="160"/>
      <c r="Y174" s="160"/>
      <c r="Z174" s="160"/>
      <c r="AA174" s="165"/>
      <c r="AT174" s="166" t="s">
        <v>145</v>
      </c>
      <c r="AU174" s="166" t="s">
        <v>96</v>
      </c>
      <c r="AV174" s="10" t="s">
        <v>96</v>
      </c>
      <c r="AW174" s="10" t="s">
        <v>33</v>
      </c>
      <c r="AX174" s="10" t="s">
        <v>80</v>
      </c>
      <c r="AY174" s="166" t="s">
        <v>137</v>
      </c>
    </row>
    <row r="175" spans="2:65" s="1" customFormat="1" ht="25.5" customHeight="1">
      <c r="B175" s="33"/>
      <c r="C175" s="151">
        <v>34</v>
      </c>
      <c r="D175" s="151" t="s">
        <v>138</v>
      </c>
      <c r="E175" s="152" t="s">
        <v>459</v>
      </c>
      <c r="F175" s="312" t="s">
        <v>460</v>
      </c>
      <c r="G175" s="312"/>
      <c r="H175" s="312"/>
      <c r="I175" s="312"/>
      <c r="J175" s="153" t="s">
        <v>184</v>
      </c>
      <c r="K175" s="154">
        <v>28</v>
      </c>
      <c r="L175" s="233"/>
      <c r="M175" s="233"/>
      <c r="N175" s="307">
        <f>ROUND(L175*K175,2)</f>
        <v>0</v>
      </c>
      <c r="O175" s="307"/>
      <c r="P175" s="307"/>
      <c r="Q175" s="307"/>
      <c r="R175" s="35"/>
      <c r="T175" s="155" t="s">
        <v>19</v>
      </c>
      <c r="U175" s="42" t="s">
        <v>39</v>
      </c>
      <c r="V175" s="156">
        <v>0.315</v>
      </c>
      <c r="W175" s="156">
        <f>V175*K175</f>
        <v>8.82</v>
      </c>
      <c r="X175" s="156">
        <v>0</v>
      </c>
      <c r="Y175" s="156">
        <f>X175*K175</f>
        <v>0</v>
      </c>
      <c r="Z175" s="156">
        <v>0.0684</v>
      </c>
      <c r="AA175" s="157">
        <f>Z175*K175</f>
        <v>1.9152</v>
      </c>
      <c r="AR175" s="20" t="s">
        <v>142</v>
      </c>
      <c r="AT175" s="20" t="s">
        <v>138</v>
      </c>
      <c r="AU175" s="20" t="s">
        <v>96</v>
      </c>
      <c r="AY175" s="20" t="s">
        <v>137</v>
      </c>
      <c r="BE175" s="158">
        <f>IF(U175="základní",N175,0)</f>
        <v>0</v>
      </c>
      <c r="BF175" s="158">
        <f>IF(U175="snížená",N175,0)</f>
        <v>0</v>
      </c>
      <c r="BG175" s="158">
        <f>IF(U175="zákl. přenesená",N175,0)</f>
        <v>0</v>
      </c>
      <c r="BH175" s="158">
        <f>IF(U175="sníž. přenesená",N175,0)</f>
        <v>0</v>
      </c>
      <c r="BI175" s="158">
        <f>IF(U175="nulová",N175,0)</f>
        <v>0</v>
      </c>
      <c r="BJ175" s="20" t="s">
        <v>80</v>
      </c>
      <c r="BK175" s="158">
        <f>ROUND(L175*K175,2)</f>
        <v>0</v>
      </c>
      <c r="BL175" s="20" t="s">
        <v>142</v>
      </c>
      <c r="BM175" s="20" t="s">
        <v>461</v>
      </c>
    </row>
    <row r="176" spans="2:63" s="9" customFormat="1" ht="29.85" customHeight="1">
      <c r="B176" s="140"/>
      <c r="C176" s="141"/>
      <c r="D176" s="150" t="s">
        <v>113</v>
      </c>
      <c r="E176" s="150"/>
      <c r="F176" s="150"/>
      <c r="G176" s="150"/>
      <c r="H176" s="150"/>
      <c r="I176" s="150"/>
      <c r="J176" s="150"/>
      <c r="K176" s="150"/>
      <c r="L176" s="233"/>
      <c r="M176" s="233"/>
      <c r="N176" s="313">
        <f>SUM(N177:N179)</f>
        <v>0</v>
      </c>
      <c r="O176" s="314"/>
      <c r="P176" s="314"/>
      <c r="Q176" s="314"/>
      <c r="R176" s="143"/>
      <c r="T176" s="144"/>
      <c r="U176" s="141"/>
      <c r="V176" s="141"/>
      <c r="W176" s="145">
        <f>SUM(W177:W179)</f>
        <v>21.90119</v>
      </c>
      <c r="X176" s="141"/>
      <c r="Y176" s="145">
        <f>SUM(Y177:Y179)</f>
        <v>0</v>
      </c>
      <c r="Z176" s="141"/>
      <c r="AA176" s="146">
        <f>SUM(AA177:AA179)</f>
        <v>0</v>
      </c>
      <c r="AR176" s="147" t="s">
        <v>80</v>
      </c>
      <c r="AT176" s="148" t="s">
        <v>72</v>
      </c>
      <c r="AU176" s="148" t="s">
        <v>80</v>
      </c>
      <c r="AY176" s="147" t="s">
        <v>137</v>
      </c>
      <c r="BK176" s="149">
        <f>SUM(BK177:BK179)</f>
        <v>0</v>
      </c>
    </row>
    <row r="177" spans="2:65" s="1" customFormat="1" ht="25.5" customHeight="1">
      <c r="B177" s="33"/>
      <c r="C177" s="151">
        <v>35</v>
      </c>
      <c r="D177" s="151" t="s">
        <v>138</v>
      </c>
      <c r="E177" s="152" t="s">
        <v>462</v>
      </c>
      <c r="F177" s="312" t="s">
        <v>218</v>
      </c>
      <c r="G177" s="312"/>
      <c r="H177" s="312"/>
      <c r="I177" s="312"/>
      <c r="J177" s="153" t="s">
        <v>152</v>
      </c>
      <c r="K177" s="154">
        <v>11.395</v>
      </c>
      <c r="L177" s="233"/>
      <c r="M177" s="233"/>
      <c r="N177" s="307">
        <f>ROUND(L177*K177,2)</f>
        <v>0</v>
      </c>
      <c r="O177" s="307"/>
      <c r="P177" s="307"/>
      <c r="Q177" s="307"/>
      <c r="R177" s="35"/>
      <c r="T177" s="155" t="s">
        <v>19</v>
      </c>
      <c r="U177" s="42" t="s">
        <v>39</v>
      </c>
      <c r="V177" s="156">
        <v>0.125</v>
      </c>
      <c r="W177" s="156">
        <f>V177*K177</f>
        <v>1.424375</v>
      </c>
      <c r="X177" s="156">
        <v>0</v>
      </c>
      <c r="Y177" s="156">
        <f>X177*K177</f>
        <v>0</v>
      </c>
      <c r="Z177" s="156">
        <v>0</v>
      </c>
      <c r="AA177" s="157">
        <f>Z177*K177</f>
        <v>0</v>
      </c>
      <c r="AR177" s="20" t="s">
        <v>142</v>
      </c>
      <c r="AT177" s="20" t="s">
        <v>138</v>
      </c>
      <c r="AU177" s="20" t="s">
        <v>96</v>
      </c>
      <c r="AY177" s="20" t="s">
        <v>137</v>
      </c>
      <c r="BE177" s="158">
        <f>IF(U177="základní",N177,0)</f>
        <v>0</v>
      </c>
      <c r="BF177" s="158">
        <f>IF(U177="snížená",N177,0)</f>
        <v>0</v>
      </c>
      <c r="BG177" s="158">
        <f>IF(U177="zákl. přenesená",N177,0)</f>
        <v>0</v>
      </c>
      <c r="BH177" s="158">
        <f>IF(U177="sníž. přenesená",N177,0)</f>
        <v>0</v>
      </c>
      <c r="BI177" s="158">
        <f>IF(U177="nulová",N177,0)</f>
        <v>0</v>
      </c>
      <c r="BJ177" s="20" t="s">
        <v>80</v>
      </c>
      <c r="BK177" s="158">
        <f>ROUND(L177*K177,2)</f>
        <v>0</v>
      </c>
      <c r="BL177" s="20" t="s">
        <v>142</v>
      </c>
      <c r="BM177" s="20" t="s">
        <v>463</v>
      </c>
    </row>
    <row r="178" spans="2:65" s="1" customFormat="1" ht="25.5" customHeight="1">
      <c r="B178" s="33"/>
      <c r="C178" s="151">
        <v>36</v>
      </c>
      <c r="D178" s="151" t="s">
        <v>138</v>
      </c>
      <c r="E178" s="152" t="s">
        <v>220</v>
      </c>
      <c r="F178" s="312" t="s">
        <v>502</v>
      </c>
      <c r="G178" s="312"/>
      <c r="H178" s="312"/>
      <c r="I178" s="312"/>
      <c r="J178" s="153" t="s">
        <v>152</v>
      </c>
      <c r="K178" s="154">
        <v>11.395</v>
      </c>
      <c r="L178" s="233"/>
      <c r="M178" s="233"/>
      <c r="N178" s="307">
        <f>ROUND(L178*K178,2)</f>
        <v>0</v>
      </c>
      <c r="O178" s="307"/>
      <c r="P178" s="307"/>
      <c r="Q178" s="307"/>
      <c r="R178" s="35"/>
      <c r="T178" s="155" t="s">
        <v>19</v>
      </c>
      <c r="U178" s="42" t="s">
        <v>39</v>
      </c>
      <c r="V178" s="156">
        <v>0</v>
      </c>
      <c r="W178" s="156">
        <f>V178*K178</f>
        <v>0</v>
      </c>
      <c r="X178" s="156">
        <v>0</v>
      </c>
      <c r="Y178" s="156">
        <f>X178*K178</f>
        <v>0</v>
      </c>
      <c r="Z178" s="156">
        <v>0</v>
      </c>
      <c r="AA178" s="157">
        <f>Z178*K178</f>
        <v>0</v>
      </c>
      <c r="AR178" s="20" t="s">
        <v>142</v>
      </c>
      <c r="AT178" s="20" t="s">
        <v>138</v>
      </c>
      <c r="AU178" s="20" t="s">
        <v>96</v>
      </c>
      <c r="AY178" s="20" t="s">
        <v>137</v>
      </c>
      <c r="BE178" s="158">
        <f>IF(U178="základní",N178,0)</f>
        <v>0</v>
      </c>
      <c r="BF178" s="158">
        <f>IF(U178="snížená",N178,0)</f>
        <v>0</v>
      </c>
      <c r="BG178" s="158">
        <f>IF(U178="zákl. přenesená",N178,0)</f>
        <v>0</v>
      </c>
      <c r="BH178" s="158">
        <f>IF(U178="sníž. přenesená",N178,0)</f>
        <v>0</v>
      </c>
      <c r="BI178" s="158">
        <f>IF(U178="nulová",N178,0)</f>
        <v>0</v>
      </c>
      <c r="BJ178" s="20" t="s">
        <v>80</v>
      </c>
      <c r="BK178" s="158">
        <f>ROUND(L178*K178,2)</f>
        <v>0</v>
      </c>
      <c r="BL178" s="20" t="s">
        <v>142</v>
      </c>
      <c r="BM178" s="20" t="s">
        <v>464</v>
      </c>
    </row>
    <row r="179" spans="2:65" s="1" customFormat="1" ht="25.5" customHeight="1">
      <c r="B179" s="33"/>
      <c r="C179" s="151">
        <v>37</v>
      </c>
      <c r="D179" s="151" t="s">
        <v>138</v>
      </c>
      <c r="E179" s="152" t="s">
        <v>223</v>
      </c>
      <c r="F179" s="312" t="s">
        <v>224</v>
      </c>
      <c r="G179" s="312"/>
      <c r="H179" s="312"/>
      <c r="I179" s="312"/>
      <c r="J179" s="153" t="s">
        <v>152</v>
      </c>
      <c r="K179" s="154">
        <v>11.395</v>
      </c>
      <c r="L179" s="233"/>
      <c r="M179" s="233"/>
      <c r="N179" s="307">
        <f>ROUND(L179*K179,2)</f>
        <v>0</v>
      </c>
      <c r="O179" s="307"/>
      <c r="P179" s="307"/>
      <c r="Q179" s="307"/>
      <c r="R179" s="35"/>
      <c r="T179" s="155" t="s">
        <v>19</v>
      </c>
      <c r="U179" s="179" t="s">
        <v>39</v>
      </c>
      <c r="V179" s="180">
        <v>1.797</v>
      </c>
      <c r="W179" s="180">
        <f>V179*K179</f>
        <v>20.476815</v>
      </c>
      <c r="X179" s="180">
        <v>0</v>
      </c>
      <c r="Y179" s="180">
        <f>X179*K179</f>
        <v>0</v>
      </c>
      <c r="Z179" s="180">
        <v>0</v>
      </c>
      <c r="AA179" s="181">
        <f>Z179*K179</f>
        <v>0</v>
      </c>
      <c r="AR179" s="20" t="s">
        <v>142</v>
      </c>
      <c r="AT179" s="20" t="s">
        <v>138</v>
      </c>
      <c r="AU179" s="20" t="s">
        <v>96</v>
      </c>
      <c r="AY179" s="20" t="s">
        <v>137</v>
      </c>
      <c r="BE179" s="158">
        <f>IF(U179="základní",N179,0)</f>
        <v>0</v>
      </c>
      <c r="BF179" s="158">
        <f>IF(U179="snížená",N179,0)</f>
        <v>0</v>
      </c>
      <c r="BG179" s="158">
        <f>IF(U179="zákl. přenesená",N179,0)</f>
        <v>0</v>
      </c>
      <c r="BH179" s="158">
        <f>IF(U179="sníž. přenesená",N179,0)</f>
        <v>0</v>
      </c>
      <c r="BI179" s="158">
        <f>IF(U179="nulová",N179,0)</f>
        <v>0</v>
      </c>
      <c r="BJ179" s="20" t="s">
        <v>80</v>
      </c>
      <c r="BK179" s="158">
        <f>ROUND(L179*K179,2)</f>
        <v>0</v>
      </c>
      <c r="BL179" s="20" t="s">
        <v>142</v>
      </c>
      <c r="BM179" s="20" t="s">
        <v>465</v>
      </c>
    </row>
    <row r="180" spans="2:18" s="1" customFormat="1" ht="6.95" customHeight="1">
      <c r="B180" s="57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9"/>
    </row>
  </sheetData>
  <sheetProtection algorithmName="SHA-512" hashValue="a0bCN2hMh2IWo2tVO9yWves6OF96yjfHZFgpvWIaZL+vNmNFLRGowLFuMW9cXus0aU9qGORM2duL646cDDhBow==" saltValue="nfim/0zbPRia6m084WZE8w==" spinCount="100000" sheet="1" objects="1" scenarios="1"/>
  <mergeCells count="160">
    <mergeCell ref="F151:I151"/>
    <mergeCell ref="N151:Q151"/>
    <mergeCell ref="N159:Q159"/>
    <mergeCell ref="F162:I162"/>
    <mergeCell ref="N162:Q162"/>
    <mergeCell ref="F160:I160"/>
    <mergeCell ref="N160:Q160"/>
    <mergeCell ref="F161:I161"/>
    <mergeCell ref="N161:Q161"/>
    <mergeCell ref="F152:I152"/>
    <mergeCell ref="N152:Q152"/>
    <mergeCell ref="F153:I153"/>
    <mergeCell ref="F154:I154"/>
    <mergeCell ref="N154:Q154"/>
    <mergeCell ref="F179:I179"/>
    <mergeCell ref="N179:Q179"/>
    <mergeCell ref="F156:I156"/>
    <mergeCell ref="N156:Q156"/>
    <mergeCell ref="F157:I157"/>
    <mergeCell ref="N157:Q157"/>
    <mergeCell ref="F159:I159"/>
    <mergeCell ref="F178:I178"/>
    <mergeCell ref="N178:Q178"/>
    <mergeCell ref="F174:I174"/>
    <mergeCell ref="F175:I175"/>
    <mergeCell ref="N175:Q175"/>
    <mergeCell ref="N176:Q176"/>
    <mergeCell ref="F177:I177"/>
    <mergeCell ref="N177:Q177"/>
    <mergeCell ref="N170:Q170"/>
    <mergeCell ref="F171:I171"/>
    <mergeCell ref="N171:Q171"/>
    <mergeCell ref="F172:I172"/>
    <mergeCell ref="F173:I173"/>
    <mergeCell ref="N173:Q173"/>
    <mergeCell ref="F168:I168"/>
    <mergeCell ref="N168:Q168"/>
    <mergeCell ref="F169:I169"/>
    <mergeCell ref="N169:Q169"/>
    <mergeCell ref="F166:I166"/>
    <mergeCell ref="N166:Q166"/>
    <mergeCell ref="F167:I167"/>
    <mergeCell ref="N167:Q167"/>
    <mergeCell ref="F164:I164"/>
    <mergeCell ref="N164:Q164"/>
    <mergeCell ref="F165:I165"/>
    <mergeCell ref="N165:Q165"/>
    <mergeCell ref="F163:I163"/>
    <mergeCell ref="N163:Q163"/>
    <mergeCell ref="F158:I158"/>
    <mergeCell ref="N158:Q158"/>
    <mergeCell ref="F155:I155"/>
    <mergeCell ref="N155:Q155"/>
    <mergeCell ref="N147:Q147"/>
    <mergeCell ref="F148:I148"/>
    <mergeCell ref="N148:Q148"/>
    <mergeCell ref="F149:I149"/>
    <mergeCell ref="N150:Q150"/>
    <mergeCell ref="F143:I143"/>
    <mergeCell ref="F144:I144"/>
    <mergeCell ref="F145:I145"/>
    <mergeCell ref="F146:I146"/>
    <mergeCell ref="N146:Q146"/>
    <mergeCell ref="F142:I142"/>
    <mergeCell ref="N142:Q142"/>
    <mergeCell ref="F136:I136"/>
    <mergeCell ref="N136:Q136"/>
    <mergeCell ref="F137:I137"/>
    <mergeCell ref="F138:I138"/>
    <mergeCell ref="N138:Q138"/>
    <mergeCell ref="F127:I127"/>
    <mergeCell ref="F128:I128"/>
    <mergeCell ref="F129:I129"/>
    <mergeCell ref="F133:I133"/>
    <mergeCell ref="F139:I139"/>
    <mergeCell ref="F140:I140"/>
    <mergeCell ref="N140:Q140"/>
    <mergeCell ref="N141:Q141"/>
    <mergeCell ref="F130:I130"/>
    <mergeCell ref="F131:I131"/>
    <mergeCell ref="F134:I134"/>
    <mergeCell ref="N134:Q134"/>
    <mergeCell ref="F135:I135"/>
    <mergeCell ref="F132:I132"/>
    <mergeCell ref="N132:Q132"/>
    <mergeCell ref="F122:I122"/>
    <mergeCell ref="F123:I123"/>
    <mergeCell ref="F125:I125"/>
    <mergeCell ref="N125:Q125"/>
    <mergeCell ref="F126:I126"/>
    <mergeCell ref="F118:I118"/>
    <mergeCell ref="F119:I119"/>
    <mergeCell ref="N119:Q119"/>
    <mergeCell ref="F120:I120"/>
    <mergeCell ref="F121:I121"/>
    <mergeCell ref="N121:Q121"/>
    <mergeCell ref="F124:I124"/>
    <mergeCell ref="N124:Q124"/>
    <mergeCell ref="N114:Q114"/>
    <mergeCell ref="N115:Q115"/>
    <mergeCell ref="N116:Q116"/>
    <mergeCell ref="F117:I117"/>
    <mergeCell ref="N117:Q117"/>
    <mergeCell ref="F106:P106"/>
    <mergeCell ref="M108:P108"/>
    <mergeCell ref="M110:Q110"/>
    <mergeCell ref="M111:Q111"/>
    <mergeCell ref="F113:I113"/>
    <mergeCell ref="L113:M113"/>
    <mergeCell ref="N113:Q113"/>
    <mergeCell ref="N94:Q94"/>
    <mergeCell ref="N95:Q95"/>
    <mergeCell ref="N97:Q97"/>
    <mergeCell ref="L99:Q99"/>
    <mergeCell ref="C103:Q103"/>
    <mergeCell ref="F105:P105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rowBreaks count="1" manualBreakCount="1"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7"/>
  <sheetViews>
    <sheetView workbookViewId="0" topLeftCell="A67">
      <selection activeCell="L114" sqref="L114:L1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</cols>
  <sheetData>
    <row r="1" spans="1:66" ht="21.75" customHeight="1">
      <c r="A1" s="109"/>
      <c r="B1" s="13"/>
      <c r="C1" s="13"/>
      <c r="D1" s="14" t="s">
        <v>1</v>
      </c>
      <c r="E1" s="13"/>
      <c r="F1" s="15" t="s">
        <v>91</v>
      </c>
      <c r="G1" s="15"/>
      <c r="H1" s="277" t="s">
        <v>92</v>
      </c>
      <c r="I1" s="277"/>
      <c r="J1" s="277"/>
      <c r="K1" s="277"/>
      <c r="L1" s="15" t="s">
        <v>93</v>
      </c>
      <c r="M1" s="13"/>
      <c r="N1" s="13"/>
      <c r="O1" s="14" t="s">
        <v>94</v>
      </c>
      <c r="P1" s="13"/>
      <c r="Q1" s="13"/>
      <c r="R1" s="13"/>
      <c r="S1" s="15" t="s">
        <v>95</v>
      </c>
      <c r="T1" s="15"/>
      <c r="U1" s="109"/>
      <c r="V1" s="10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239" t="s">
        <v>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S2" s="241" t="s">
        <v>8</v>
      </c>
      <c r="T2" s="242"/>
      <c r="U2" s="242"/>
      <c r="V2" s="242"/>
      <c r="W2" s="242"/>
      <c r="X2" s="242"/>
      <c r="Y2" s="242"/>
      <c r="Z2" s="242"/>
      <c r="AA2" s="242"/>
      <c r="AB2" s="242"/>
      <c r="AC2" s="242"/>
      <c r="AT2" s="20" t="s">
        <v>89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96</v>
      </c>
    </row>
    <row r="4" spans="2:46" ht="36.95" customHeight="1">
      <c r="B4" s="24"/>
      <c r="C4" s="243" t="s">
        <v>97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5"/>
      <c r="T4" s="19" t="s">
        <v>13</v>
      </c>
      <c r="AT4" s="20" t="s">
        <v>6</v>
      </c>
    </row>
    <row r="5" spans="2:1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2:18" ht="25.35" customHeight="1">
      <c r="B6" s="24"/>
      <c r="C6" s="26"/>
      <c r="D6" s="30" t="s">
        <v>17</v>
      </c>
      <c r="E6" s="26"/>
      <c r="F6" s="278" t="e">
        <f>#REF!</f>
        <v>#REF!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6"/>
      <c r="R6" s="25"/>
    </row>
    <row r="7" spans="2:18" s="1" customFormat="1" ht="32.85" customHeight="1">
      <c r="B7" s="33"/>
      <c r="C7" s="34"/>
      <c r="D7" s="29" t="s">
        <v>98</v>
      </c>
      <c r="E7" s="34"/>
      <c r="F7" s="247" t="s">
        <v>466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34"/>
      <c r="R7" s="35"/>
    </row>
    <row r="8" spans="2:18" s="1" customFormat="1" ht="14.45" customHeight="1">
      <c r="B8" s="33"/>
      <c r="C8" s="34"/>
      <c r="D8" s="30" t="s">
        <v>18</v>
      </c>
      <c r="E8" s="34"/>
      <c r="F8" s="28" t="s">
        <v>19</v>
      </c>
      <c r="G8" s="34"/>
      <c r="H8" s="34"/>
      <c r="I8" s="34"/>
      <c r="J8" s="34"/>
      <c r="K8" s="34"/>
      <c r="L8" s="34"/>
      <c r="M8" s="30" t="s">
        <v>20</v>
      </c>
      <c r="N8" s="34"/>
      <c r="O8" s="28" t="s">
        <v>19</v>
      </c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34"/>
      <c r="M9" s="30" t="s">
        <v>23</v>
      </c>
      <c r="N9" s="34"/>
      <c r="O9" s="281" t="e">
        <f>#REF!</f>
        <v>#REF!</v>
      </c>
      <c r="P9" s="281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25</v>
      </c>
      <c r="E11" s="34"/>
      <c r="F11" s="34"/>
      <c r="G11" s="34"/>
      <c r="H11" s="34"/>
      <c r="I11" s="34"/>
      <c r="J11" s="34"/>
      <c r="K11" s="34"/>
      <c r="L11" s="34"/>
      <c r="M11" s="30" t="s">
        <v>26</v>
      </c>
      <c r="N11" s="34"/>
      <c r="O11" s="245" t="s">
        <v>19</v>
      </c>
      <c r="P11" s="245"/>
      <c r="Q11" s="34"/>
      <c r="R11" s="35"/>
    </row>
    <row r="12" spans="2:18" s="1" customFormat="1" ht="18" customHeight="1">
      <c r="B12" s="33"/>
      <c r="C12" s="34"/>
      <c r="D12" s="34"/>
      <c r="E12" s="28" t="s">
        <v>27</v>
      </c>
      <c r="F12" s="34"/>
      <c r="G12" s="34"/>
      <c r="H12" s="34"/>
      <c r="I12" s="34"/>
      <c r="J12" s="34"/>
      <c r="K12" s="34"/>
      <c r="L12" s="34"/>
      <c r="M12" s="30" t="s">
        <v>28</v>
      </c>
      <c r="N12" s="34"/>
      <c r="O12" s="245" t="s">
        <v>19</v>
      </c>
      <c r="P12" s="245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29</v>
      </c>
      <c r="E14" s="34"/>
      <c r="F14" s="34"/>
      <c r="G14" s="34"/>
      <c r="H14" s="34"/>
      <c r="I14" s="34"/>
      <c r="J14" s="34"/>
      <c r="K14" s="34"/>
      <c r="L14" s="34"/>
      <c r="M14" s="30" t="s">
        <v>26</v>
      </c>
      <c r="N14" s="34"/>
      <c r="O14" s="245" t="s">
        <v>19</v>
      </c>
      <c r="P14" s="245"/>
      <c r="Q14" s="34"/>
      <c r="R14" s="35"/>
    </row>
    <row r="15" spans="2:18" s="1" customFormat="1" ht="18" customHeight="1">
      <c r="B15" s="33"/>
      <c r="C15" s="34"/>
      <c r="D15" s="34"/>
      <c r="E15" s="28" t="s">
        <v>30</v>
      </c>
      <c r="F15" s="34"/>
      <c r="G15" s="34"/>
      <c r="H15" s="34"/>
      <c r="I15" s="34"/>
      <c r="J15" s="34"/>
      <c r="K15" s="34"/>
      <c r="L15" s="34"/>
      <c r="M15" s="30" t="s">
        <v>28</v>
      </c>
      <c r="N15" s="34"/>
      <c r="O15" s="245" t="s">
        <v>19</v>
      </c>
      <c r="P15" s="245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31</v>
      </c>
      <c r="E17" s="34"/>
      <c r="F17" s="34"/>
      <c r="G17" s="34"/>
      <c r="H17" s="34"/>
      <c r="I17" s="34"/>
      <c r="J17" s="34"/>
      <c r="K17" s="34"/>
      <c r="L17" s="34"/>
      <c r="M17" s="30" t="s">
        <v>26</v>
      </c>
      <c r="N17" s="34"/>
      <c r="O17" s="245" t="s">
        <v>19</v>
      </c>
      <c r="P17" s="245"/>
      <c r="Q17" s="34"/>
      <c r="R17" s="35"/>
    </row>
    <row r="18" spans="2:18" s="1" customFormat="1" ht="18" customHeight="1">
      <c r="B18" s="33"/>
      <c r="C18" s="34"/>
      <c r="D18" s="34"/>
      <c r="E18" s="28" t="s">
        <v>32</v>
      </c>
      <c r="F18" s="34"/>
      <c r="G18" s="34"/>
      <c r="H18" s="34"/>
      <c r="I18" s="34"/>
      <c r="J18" s="34"/>
      <c r="K18" s="34"/>
      <c r="L18" s="34"/>
      <c r="M18" s="30" t="s">
        <v>28</v>
      </c>
      <c r="N18" s="34"/>
      <c r="O18" s="245" t="s">
        <v>19</v>
      </c>
      <c r="P18" s="245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34</v>
      </c>
      <c r="E20" s="34"/>
      <c r="F20" s="34"/>
      <c r="G20" s="34"/>
      <c r="H20" s="34"/>
      <c r="I20" s="34"/>
      <c r="J20" s="34"/>
      <c r="K20" s="34"/>
      <c r="L20" s="34"/>
      <c r="M20" s="30" t="s">
        <v>26</v>
      </c>
      <c r="N20" s="34"/>
      <c r="O20" s="245" t="s">
        <v>19</v>
      </c>
      <c r="P20" s="245"/>
      <c r="Q20" s="34"/>
      <c r="R20" s="35"/>
    </row>
    <row r="21" spans="2:18" s="1" customFormat="1" ht="18" customHeight="1">
      <c r="B21" s="33"/>
      <c r="C21" s="34"/>
      <c r="D21" s="34"/>
      <c r="E21" s="28" t="s">
        <v>35</v>
      </c>
      <c r="F21" s="34"/>
      <c r="G21" s="34"/>
      <c r="H21" s="34"/>
      <c r="I21" s="34"/>
      <c r="J21" s="34"/>
      <c r="K21" s="34"/>
      <c r="L21" s="34"/>
      <c r="M21" s="30" t="s">
        <v>28</v>
      </c>
      <c r="N21" s="34"/>
      <c r="O21" s="245" t="s">
        <v>19</v>
      </c>
      <c r="P21" s="245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38" t="s">
        <v>19</v>
      </c>
      <c r="F24" s="238"/>
      <c r="G24" s="238"/>
      <c r="H24" s="238"/>
      <c r="I24" s="238"/>
      <c r="J24" s="238"/>
      <c r="K24" s="238"/>
      <c r="L24" s="238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10" t="s">
        <v>100</v>
      </c>
      <c r="E27" s="34"/>
      <c r="F27" s="34"/>
      <c r="G27" s="34"/>
      <c r="H27" s="34"/>
      <c r="I27" s="34"/>
      <c r="J27" s="34"/>
      <c r="K27" s="34"/>
      <c r="L27" s="34"/>
      <c r="M27" s="248">
        <f>N88</f>
        <v>0</v>
      </c>
      <c r="N27" s="248"/>
      <c r="O27" s="248"/>
      <c r="P27" s="248"/>
      <c r="Q27" s="34"/>
      <c r="R27" s="35"/>
    </row>
    <row r="28" spans="2:18" s="1" customFormat="1" ht="14.45" customHeight="1">
      <c r="B28" s="33"/>
      <c r="C28" s="34"/>
      <c r="D28" s="32" t="s">
        <v>101</v>
      </c>
      <c r="E28" s="34"/>
      <c r="F28" s="34"/>
      <c r="G28" s="34"/>
      <c r="H28" s="34"/>
      <c r="I28" s="34"/>
      <c r="J28" s="34"/>
      <c r="K28" s="34"/>
      <c r="L28" s="34"/>
      <c r="M28" s="248">
        <f>N93</f>
        <v>0</v>
      </c>
      <c r="N28" s="248"/>
      <c r="O28" s="248"/>
      <c r="P28" s="248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1" t="s">
        <v>37</v>
      </c>
      <c r="E30" s="34"/>
      <c r="F30" s="34"/>
      <c r="G30" s="34"/>
      <c r="H30" s="34"/>
      <c r="I30" s="34"/>
      <c r="J30" s="34"/>
      <c r="K30" s="34"/>
      <c r="L30" s="34"/>
      <c r="M30" s="285">
        <f>ROUND(M27+M28,2)</f>
        <v>0</v>
      </c>
      <c r="N30" s="280"/>
      <c r="O30" s="280"/>
      <c r="P30" s="280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38</v>
      </c>
      <c r="E32" s="40" t="s">
        <v>39</v>
      </c>
      <c r="F32" s="41">
        <v>0.21</v>
      </c>
      <c r="G32" s="112" t="s">
        <v>40</v>
      </c>
      <c r="H32" s="282">
        <f>ROUND((SUM(BE93:BE94)+SUM(BE111:BE125)),2)</f>
        <v>0</v>
      </c>
      <c r="I32" s="280"/>
      <c r="J32" s="280"/>
      <c r="K32" s="34"/>
      <c r="L32" s="34"/>
      <c r="M32" s="282">
        <f>ROUND(ROUND((SUM(BE93:BE94)+SUM(BE111:BE125)),2)*F32,2)</f>
        <v>0</v>
      </c>
      <c r="N32" s="280"/>
      <c r="O32" s="280"/>
      <c r="P32" s="280"/>
      <c r="Q32" s="34"/>
      <c r="R32" s="35"/>
    </row>
    <row r="33" spans="2:18" s="1" customFormat="1" ht="14.45" customHeight="1">
      <c r="B33" s="33"/>
      <c r="C33" s="34"/>
      <c r="D33" s="34"/>
      <c r="E33" s="40" t="s">
        <v>41</v>
      </c>
      <c r="F33" s="41">
        <v>0.15</v>
      </c>
      <c r="G33" s="112" t="s">
        <v>40</v>
      </c>
      <c r="H33" s="282">
        <f>ROUND((SUM(BF93:BF94)+SUM(BF111:BF125)),2)</f>
        <v>0</v>
      </c>
      <c r="I33" s="280"/>
      <c r="J33" s="280"/>
      <c r="K33" s="34"/>
      <c r="L33" s="34"/>
      <c r="M33" s="282">
        <f>ROUND(ROUND((SUM(BF93:BF94)+SUM(BF111:BF125)),2)*F33,2)</f>
        <v>0</v>
      </c>
      <c r="N33" s="280"/>
      <c r="O33" s="280"/>
      <c r="P33" s="280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42</v>
      </c>
      <c r="F34" s="41">
        <v>0.21</v>
      </c>
      <c r="G34" s="112" t="s">
        <v>40</v>
      </c>
      <c r="H34" s="282">
        <f>ROUND((SUM(BG93:BG94)+SUM(BG111:BG125)),2)</f>
        <v>0</v>
      </c>
      <c r="I34" s="280"/>
      <c r="J34" s="280"/>
      <c r="K34" s="34"/>
      <c r="L34" s="34"/>
      <c r="M34" s="282">
        <v>0</v>
      </c>
      <c r="N34" s="280"/>
      <c r="O34" s="280"/>
      <c r="P34" s="280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43</v>
      </c>
      <c r="F35" s="41">
        <v>0.15</v>
      </c>
      <c r="G35" s="112" t="s">
        <v>40</v>
      </c>
      <c r="H35" s="282">
        <f>ROUND((SUM(BH93:BH94)+SUM(BH111:BH125)),2)</f>
        <v>0</v>
      </c>
      <c r="I35" s="280"/>
      <c r="J35" s="280"/>
      <c r="K35" s="34"/>
      <c r="L35" s="34"/>
      <c r="M35" s="282">
        <v>0</v>
      </c>
      <c r="N35" s="280"/>
      <c r="O35" s="280"/>
      <c r="P35" s="280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44</v>
      </c>
      <c r="F36" s="41">
        <v>0</v>
      </c>
      <c r="G36" s="112" t="s">
        <v>40</v>
      </c>
      <c r="H36" s="282">
        <f>ROUND((SUM(BI93:BI94)+SUM(BI111:BI125)),2)</f>
        <v>0</v>
      </c>
      <c r="I36" s="280"/>
      <c r="J36" s="280"/>
      <c r="K36" s="34"/>
      <c r="L36" s="34"/>
      <c r="M36" s="282">
        <v>0</v>
      </c>
      <c r="N36" s="280"/>
      <c r="O36" s="280"/>
      <c r="P36" s="280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3" t="s">
        <v>45</v>
      </c>
      <c r="E38" s="77"/>
      <c r="F38" s="77"/>
      <c r="G38" s="114" t="s">
        <v>46</v>
      </c>
      <c r="H38" s="115" t="s">
        <v>47</v>
      </c>
      <c r="I38" s="77"/>
      <c r="J38" s="77"/>
      <c r="K38" s="77"/>
      <c r="L38" s="283">
        <f>SUM(M30:M36)</f>
        <v>0</v>
      </c>
      <c r="M38" s="283"/>
      <c r="N38" s="283"/>
      <c r="O38" s="283"/>
      <c r="P38" s="284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 ht="13.5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3.5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 ht="13.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 ht="13.5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 ht="13.5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 ht="13.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3.5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48</v>
      </c>
      <c r="E50" s="49"/>
      <c r="F50" s="49"/>
      <c r="G50" s="49"/>
      <c r="H50" s="50"/>
      <c r="I50" s="34"/>
      <c r="J50" s="48" t="s">
        <v>49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 ht="13.5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 ht="13.5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 ht="13.5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 ht="13.5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 ht="13.5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 ht="13.5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 ht="13.5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50</v>
      </c>
      <c r="E59" s="54"/>
      <c r="F59" s="54"/>
      <c r="G59" s="55" t="s">
        <v>51</v>
      </c>
      <c r="H59" s="56"/>
      <c r="I59" s="34"/>
      <c r="J59" s="53" t="s">
        <v>50</v>
      </c>
      <c r="K59" s="54"/>
      <c r="L59" s="54"/>
      <c r="M59" s="54"/>
      <c r="N59" s="55" t="s">
        <v>51</v>
      </c>
      <c r="O59" s="54"/>
      <c r="P59" s="56"/>
      <c r="Q59" s="34"/>
      <c r="R59" s="35"/>
    </row>
    <row r="60" spans="2:18" ht="13.5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52</v>
      </c>
      <c r="E61" s="49"/>
      <c r="F61" s="49"/>
      <c r="G61" s="49"/>
      <c r="H61" s="50"/>
      <c r="I61" s="34"/>
      <c r="J61" s="48" t="s">
        <v>53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 ht="13.5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 ht="13.5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 ht="13.5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 ht="13.5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 ht="13.5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 ht="13.5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 ht="13.5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50</v>
      </c>
      <c r="E70" s="54"/>
      <c r="F70" s="54"/>
      <c r="G70" s="55" t="s">
        <v>51</v>
      </c>
      <c r="H70" s="56"/>
      <c r="I70" s="34"/>
      <c r="J70" s="53" t="s">
        <v>50</v>
      </c>
      <c r="K70" s="54"/>
      <c r="L70" s="54"/>
      <c r="M70" s="54"/>
      <c r="N70" s="55" t="s">
        <v>51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</row>
    <row r="76" spans="2:21" s="1" customFormat="1" ht="36.95" customHeight="1">
      <c r="B76" s="33"/>
      <c r="C76" s="243" t="s">
        <v>102</v>
      </c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35"/>
      <c r="T76" s="119"/>
      <c r="U76" s="119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19"/>
      <c r="U77" s="119"/>
    </row>
    <row r="78" spans="2:21" s="1" customFormat="1" ht="30" customHeight="1">
      <c r="B78" s="33"/>
      <c r="C78" s="236" t="s">
        <v>17</v>
      </c>
      <c r="D78" s="235"/>
      <c r="E78" s="235"/>
      <c r="F78" s="291" t="str">
        <f>F102</f>
        <v>LIKVIDACE NEVYUŽÍVANÝCH VODOHOSPODÁŘSKÝCH OBJEKTŮ</v>
      </c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34"/>
      <c r="R78" s="35"/>
      <c r="T78" s="119"/>
      <c r="U78" s="119"/>
    </row>
    <row r="79" spans="2:21" s="1" customFormat="1" ht="36.95" customHeight="1">
      <c r="B79" s="33"/>
      <c r="C79" s="67" t="s">
        <v>98</v>
      </c>
      <c r="D79" s="34"/>
      <c r="E79" s="34"/>
      <c r="F79" s="265" t="str">
        <f>F7</f>
        <v>2017082-VON - VEDLEJŠÍ A OSTATNÍ NÁKLADY</v>
      </c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34"/>
      <c r="R79" s="35"/>
      <c r="T79" s="119"/>
      <c r="U79" s="119"/>
    </row>
    <row r="80" spans="2:21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19"/>
      <c r="U80" s="119"/>
    </row>
    <row r="81" spans="2:21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34"/>
      <c r="M81" s="281"/>
      <c r="N81" s="281"/>
      <c r="O81" s="281"/>
      <c r="P81" s="281"/>
      <c r="Q81" s="34"/>
      <c r="R81" s="35"/>
      <c r="T81" s="119"/>
      <c r="U81" s="119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19"/>
      <c r="U82" s="119"/>
    </row>
    <row r="83" spans="2:21" s="1" customFormat="1" ht="15">
      <c r="B83" s="33"/>
      <c r="C83" s="30" t="s">
        <v>25</v>
      </c>
      <c r="D83" s="34"/>
      <c r="E83" s="34"/>
      <c r="F83" s="28" t="str">
        <f>E12</f>
        <v>VODOVODY A KANALIZACE MLADÁ BOLESLAV A.S.</v>
      </c>
      <c r="G83" s="34"/>
      <c r="H83" s="34"/>
      <c r="I83" s="34"/>
      <c r="J83" s="34"/>
      <c r="K83" s="30" t="s">
        <v>31</v>
      </c>
      <c r="L83" s="34"/>
      <c r="M83" s="245" t="str">
        <f>E18</f>
        <v>ING.EVŽEN KOZÁK S.R.O.</v>
      </c>
      <c r="N83" s="245"/>
      <c r="O83" s="245"/>
      <c r="P83" s="245"/>
      <c r="Q83" s="245"/>
      <c r="R83" s="35"/>
      <c r="T83" s="119"/>
      <c r="U83" s="119"/>
    </row>
    <row r="84" spans="2:21" s="1" customFormat="1" ht="14.45" customHeight="1">
      <c r="B84" s="33"/>
      <c r="C84" s="30" t="s">
        <v>29</v>
      </c>
      <c r="D84" s="34"/>
      <c r="E84" s="34"/>
      <c r="F84" s="28" t="str">
        <f>IF(E15="","",E15)</f>
        <v>DLE VÝBĚROVÉHO ŘÍZENÍ</v>
      </c>
      <c r="G84" s="34"/>
      <c r="H84" s="34"/>
      <c r="I84" s="34"/>
      <c r="J84" s="34"/>
      <c r="K84" s="30" t="s">
        <v>34</v>
      </c>
      <c r="L84" s="34"/>
      <c r="M84" s="245" t="str">
        <f>E21</f>
        <v>ING.EVŽEN KOZÁK</v>
      </c>
      <c r="N84" s="245"/>
      <c r="O84" s="245"/>
      <c r="P84" s="245"/>
      <c r="Q84" s="245"/>
      <c r="R84" s="35"/>
      <c r="T84" s="119"/>
      <c r="U84" s="119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19"/>
      <c r="U85" s="119"/>
    </row>
    <row r="86" spans="2:21" s="1" customFormat="1" ht="29.25" customHeight="1">
      <c r="B86" s="33"/>
      <c r="C86" s="293" t="s">
        <v>103</v>
      </c>
      <c r="D86" s="294"/>
      <c r="E86" s="294"/>
      <c r="F86" s="294"/>
      <c r="G86" s="294"/>
      <c r="H86" s="108"/>
      <c r="I86" s="108"/>
      <c r="J86" s="108"/>
      <c r="K86" s="108"/>
      <c r="L86" s="108"/>
      <c r="M86" s="108"/>
      <c r="N86" s="293" t="s">
        <v>104</v>
      </c>
      <c r="O86" s="294"/>
      <c r="P86" s="294"/>
      <c r="Q86" s="294"/>
      <c r="R86" s="35"/>
      <c r="T86" s="119"/>
      <c r="U86" s="119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19"/>
      <c r="U87" s="119"/>
    </row>
    <row r="88" spans="2:47" s="1" customFormat="1" ht="29.25" customHeight="1">
      <c r="B88" s="33"/>
      <c r="C88" s="120" t="s">
        <v>105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70">
        <f>N89</f>
        <v>0</v>
      </c>
      <c r="O88" s="286"/>
      <c r="P88" s="286"/>
      <c r="Q88" s="286"/>
      <c r="R88" s="35"/>
      <c r="T88" s="119"/>
      <c r="U88" s="119"/>
      <c r="AU88" s="20" t="s">
        <v>106</v>
      </c>
    </row>
    <row r="89" spans="2:21" s="6" customFormat="1" ht="24.95" customHeight="1">
      <c r="B89" s="121"/>
      <c r="C89" s="122"/>
      <c r="D89" s="123" t="s">
        <v>467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87">
        <f>N90+N91</f>
        <v>0</v>
      </c>
      <c r="O89" s="288"/>
      <c r="P89" s="288"/>
      <c r="Q89" s="288"/>
      <c r="R89" s="124"/>
      <c r="T89" s="125"/>
      <c r="U89" s="125"/>
    </row>
    <row r="90" spans="2:21" s="7" customFormat="1" ht="19.9" customHeight="1">
      <c r="B90" s="126"/>
      <c r="C90" s="127"/>
      <c r="D90" s="128" t="s">
        <v>468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89">
        <f>N113</f>
        <v>0</v>
      </c>
      <c r="O90" s="290"/>
      <c r="P90" s="290"/>
      <c r="Q90" s="290"/>
      <c r="R90" s="129"/>
      <c r="T90" s="130"/>
      <c r="U90" s="130"/>
    </row>
    <row r="91" spans="2:21" s="7" customFormat="1" ht="19.9" customHeight="1">
      <c r="B91" s="126"/>
      <c r="C91" s="127"/>
      <c r="D91" s="128" t="s">
        <v>469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89">
        <f>N119</f>
        <v>0</v>
      </c>
      <c r="O91" s="290"/>
      <c r="P91" s="290"/>
      <c r="Q91" s="290"/>
      <c r="R91" s="129"/>
      <c r="T91" s="130"/>
      <c r="U91" s="130"/>
    </row>
    <row r="92" spans="2:21" s="1" customFormat="1" ht="21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  <c r="T92" s="119"/>
      <c r="U92" s="119"/>
    </row>
    <row r="93" spans="2:21" s="1" customFormat="1" ht="29.25" customHeight="1">
      <c r="B93" s="33"/>
      <c r="C93" s="120" t="s">
        <v>122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286">
        <v>0</v>
      </c>
      <c r="O93" s="295"/>
      <c r="P93" s="295"/>
      <c r="Q93" s="295"/>
      <c r="R93" s="35"/>
      <c r="T93" s="131"/>
      <c r="U93" s="132" t="s">
        <v>38</v>
      </c>
    </row>
    <row r="94" spans="2:21" s="1" customFormat="1" ht="18" customHeight="1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  <c r="T94" s="119"/>
      <c r="U94" s="119"/>
    </row>
    <row r="95" spans="2:21" s="1" customFormat="1" ht="29.25" customHeight="1">
      <c r="B95" s="33"/>
      <c r="C95" s="107" t="s">
        <v>90</v>
      </c>
      <c r="D95" s="108"/>
      <c r="E95" s="108"/>
      <c r="F95" s="108"/>
      <c r="G95" s="108"/>
      <c r="H95" s="108"/>
      <c r="I95" s="108"/>
      <c r="J95" s="108"/>
      <c r="K95" s="108"/>
      <c r="L95" s="276">
        <f>N88</f>
        <v>0</v>
      </c>
      <c r="M95" s="276"/>
      <c r="N95" s="276"/>
      <c r="O95" s="276"/>
      <c r="P95" s="276"/>
      <c r="Q95" s="276"/>
      <c r="R95" s="35"/>
      <c r="T95" s="119"/>
      <c r="U95" s="119"/>
    </row>
    <row r="96" spans="2:21" s="1" customFormat="1" ht="6.95" customHeight="1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9"/>
      <c r="T96" s="119"/>
      <c r="U96" s="119"/>
    </row>
    <row r="99" spans="2:18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2"/>
    </row>
    <row r="100" spans="2:18" s="1" customFormat="1" ht="36.95" customHeight="1">
      <c r="B100" s="33"/>
      <c r="C100" s="243" t="s">
        <v>123</v>
      </c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35"/>
    </row>
    <row r="101" spans="2:18" s="1" customFormat="1" ht="6.9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18" s="1" customFormat="1" ht="30" customHeight="1">
      <c r="B102" s="33"/>
      <c r="C102" s="236" t="s">
        <v>17</v>
      </c>
      <c r="D102" s="235"/>
      <c r="E102" s="235"/>
      <c r="F102" s="291" t="str">
        <f>Rekapitulace!L78</f>
        <v>LIKVIDACE NEVYUŽÍVANÝCH VODOHOSPODÁŘSKÝCH OBJEKTŮ</v>
      </c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34"/>
      <c r="R102" s="35"/>
    </row>
    <row r="103" spans="2:18" s="1" customFormat="1" ht="36.95" customHeight="1">
      <c r="B103" s="33"/>
      <c r="C103" s="67" t="s">
        <v>98</v>
      </c>
      <c r="D103" s="34"/>
      <c r="E103" s="34"/>
      <c r="F103" s="265" t="str">
        <f>F7</f>
        <v>2017082-VON - VEDLEJŠÍ A OSTATNÍ NÁKLADY</v>
      </c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34"/>
      <c r="R103" s="35"/>
    </row>
    <row r="104" spans="2:18" s="1" customFormat="1" ht="6.95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18" s="1" customFormat="1" ht="18" customHeight="1">
      <c r="B105" s="33"/>
      <c r="C105" s="30" t="s">
        <v>21</v>
      </c>
      <c r="D105" s="34"/>
      <c r="E105" s="34"/>
      <c r="F105" s="28" t="str">
        <f>F9</f>
        <v xml:space="preserve"> </v>
      </c>
      <c r="G105" s="34"/>
      <c r="H105" s="34"/>
      <c r="I105" s="34"/>
      <c r="J105" s="34"/>
      <c r="K105" s="30" t="s">
        <v>23</v>
      </c>
      <c r="L105" s="34"/>
      <c r="M105" s="281"/>
      <c r="N105" s="281"/>
      <c r="O105" s="281"/>
      <c r="P105" s="281"/>
      <c r="Q105" s="34"/>
      <c r="R105" s="35"/>
    </row>
    <row r="106" spans="2:18" s="1" customFormat="1" ht="6.9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18" s="1" customFormat="1" ht="15">
      <c r="B107" s="33"/>
      <c r="C107" s="30" t="s">
        <v>25</v>
      </c>
      <c r="D107" s="34"/>
      <c r="E107" s="34"/>
      <c r="F107" s="28" t="str">
        <f>E12</f>
        <v>VODOVODY A KANALIZACE MLADÁ BOLESLAV A.S.</v>
      </c>
      <c r="G107" s="34"/>
      <c r="H107" s="34"/>
      <c r="I107" s="34"/>
      <c r="J107" s="34"/>
      <c r="K107" s="30" t="s">
        <v>31</v>
      </c>
      <c r="L107" s="34"/>
      <c r="M107" s="245" t="str">
        <f>E18</f>
        <v>ING.EVŽEN KOZÁK S.R.O.</v>
      </c>
      <c r="N107" s="245"/>
      <c r="O107" s="245"/>
      <c r="P107" s="245"/>
      <c r="Q107" s="245"/>
      <c r="R107" s="35"/>
    </row>
    <row r="108" spans="2:18" s="1" customFormat="1" ht="14.45" customHeight="1">
      <c r="B108" s="33"/>
      <c r="C108" s="30" t="s">
        <v>29</v>
      </c>
      <c r="D108" s="34"/>
      <c r="E108" s="34"/>
      <c r="F108" s="28" t="str">
        <f>IF(E15="","",E15)</f>
        <v>DLE VÝBĚROVÉHO ŘÍZENÍ</v>
      </c>
      <c r="G108" s="34"/>
      <c r="H108" s="34"/>
      <c r="I108" s="34"/>
      <c r="J108" s="34"/>
      <c r="K108" s="30" t="s">
        <v>34</v>
      </c>
      <c r="L108" s="34"/>
      <c r="M108" s="245" t="str">
        <f>E21</f>
        <v>ING.EVŽEN KOZÁK</v>
      </c>
      <c r="N108" s="245"/>
      <c r="O108" s="245"/>
      <c r="P108" s="245"/>
      <c r="Q108" s="245"/>
      <c r="R108" s="35"/>
    </row>
    <row r="109" spans="2:18" s="1" customFormat="1" ht="10.3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27" s="8" customFormat="1" ht="29.25" customHeight="1">
      <c r="B110" s="133"/>
      <c r="C110" s="134" t="s">
        <v>124</v>
      </c>
      <c r="D110" s="135" t="s">
        <v>125</v>
      </c>
      <c r="E110" s="135" t="s">
        <v>56</v>
      </c>
      <c r="F110" s="296" t="s">
        <v>126</v>
      </c>
      <c r="G110" s="296"/>
      <c r="H110" s="296"/>
      <c r="I110" s="296"/>
      <c r="J110" s="135" t="s">
        <v>127</v>
      </c>
      <c r="K110" s="135" t="s">
        <v>128</v>
      </c>
      <c r="L110" s="296" t="s">
        <v>129</v>
      </c>
      <c r="M110" s="296"/>
      <c r="N110" s="296" t="s">
        <v>104</v>
      </c>
      <c r="O110" s="296"/>
      <c r="P110" s="296"/>
      <c r="Q110" s="297"/>
      <c r="R110" s="136"/>
      <c r="T110" s="78" t="s">
        <v>130</v>
      </c>
      <c r="U110" s="79" t="s">
        <v>38</v>
      </c>
      <c r="V110" s="79" t="s">
        <v>131</v>
      </c>
      <c r="W110" s="79" t="s">
        <v>132</v>
      </c>
      <c r="X110" s="79" t="s">
        <v>133</v>
      </c>
      <c r="Y110" s="79" t="s">
        <v>134</v>
      </c>
      <c r="Z110" s="79" t="s">
        <v>135</v>
      </c>
      <c r="AA110" s="80" t="s">
        <v>136</v>
      </c>
    </row>
    <row r="111" spans="2:63" s="1" customFormat="1" ht="29.25" customHeight="1">
      <c r="B111" s="33"/>
      <c r="C111" s="82" t="s">
        <v>100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298">
        <f>N112</f>
        <v>0</v>
      </c>
      <c r="O111" s="299"/>
      <c r="P111" s="299"/>
      <c r="Q111" s="299"/>
      <c r="R111" s="35"/>
      <c r="T111" s="81"/>
      <c r="U111" s="49"/>
      <c r="V111" s="49"/>
      <c r="W111" s="137" t="e">
        <f>W112</f>
        <v>#REF!</v>
      </c>
      <c r="X111" s="49"/>
      <c r="Y111" s="137" t="e">
        <f>Y112</f>
        <v>#REF!</v>
      </c>
      <c r="Z111" s="49"/>
      <c r="AA111" s="138" t="e">
        <f>AA112</f>
        <v>#REF!</v>
      </c>
      <c r="AT111" s="20" t="s">
        <v>72</v>
      </c>
      <c r="AU111" s="20" t="s">
        <v>106</v>
      </c>
      <c r="BK111" s="139" t="e">
        <f>BK112</f>
        <v>#REF!</v>
      </c>
    </row>
    <row r="112" spans="2:63" s="9" customFormat="1" ht="37.35" customHeight="1">
      <c r="B112" s="140"/>
      <c r="C112" s="141"/>
      <c r="D112" s="142" t="s">
        <v>467</v>
      </c>
      <c r="E112" s="142"/>
      <c r="F112" s="142"/>
      <c r="G112" s="142"/>
      <c r="H112" s="142"/>
      <c r="I112" s="142"/>
      <c r="J112" s="142"/>
      <c r="K112" s="142"/>
      <c r="L112" s="142"/>
      <c r="M112" s="142"/>
      <c r="N112" s="338">
        <f>N113+N119</f>
        <v>0</v>
      </c>
      <c r="O112" s="339"/>
      <c r="P112" s="339"/>
      <c r="Q112" s="339"/>
      <c r="R112" s="143"/>
      <c r="T112" s="144"/>
      <c r="U112" s="141"/>
      <c r="V112" s="141"/>
      <c r="W112" s="145" t="e">
        <f>W113+W119+#REF!+#REF!+#REF!</f>
        <v>#REF!</v>
      </c>
      <c r="X112" s="141"/>
      <c r="Y112" s="145" t="e">
        <f>Y113+Y119+#REF!+#REF!+#REF!</f>
        <v>#REF!</v>
      </c>
      <c r="Z112" s="141"/>
      <c r="AA112" s="146" t="e">
        <f>AA113+AA119+#REF!+#REF!+#REF!</f>
        <v>#REF!</v>
      </c>
      <c r="AR112" s="147" t="s">
        <v>249</v>
      </c>
      <c r="AT112" s="148" t="s">
        <v>72</v>
      </c>
      <c r="AU112" s="148" t="s">
        <v>73</v>
      </c>
      <c r="AY112" s="147" t="s">
        <v>137</v>
      </c>
      <c r="BK112" s="149" t="e">
        <f>BK113+BK119+#REF!+#REF!+#REF!</f>
        <v>#REF!</v>
      </c>
    </row>
    <row r="113" spans="2:63" s="9" customFormat="1" ht="19.9" customHeight="1">
      <c r="B113" s="140"/>
      <c r="C113" s="141"/>
      <c r="D113" s="150" t="s">
        <v>468</v>
      </c>
      <c r="E113" s="150"/>
      <c r="F113" s="150"/>
      <c r="G113" s="150"/>
      <c r="H113" s="150"/>
      <c r="I113" s="150"/>
      <c r="J113" s="150"/>
      <c r="K113" s="150"/>
      <c r="L113" s="150"/>
      <c r="M113" s="150"/>
      <c r="N113" s="340">
        <f>SUM(N114:N117)</f>
        <v>0</v>
      </c>
      <c r="O113" s="340"/>
      <c r="P113" s="340"/>
      <c r="Q113" s="340"/>
      <c r="R113" s="143"/>
      <c r="T113" s="144"/>
      <c r="U113" s="141"/>
      <c r="V113" s="141"/>
      <c r="W113" s="145">
        <f>W114</f>
        <v>0</v>
      </c>
      <c r="X113" s="141"/>
      <c r="Y113" s="145">
        <f>Y114</f>
        <v>0</v>
      </c>
      <c r="Z113" s="141"/>
      <c r="AA113" s="146">
        <f>AA114</f>
        <v>0</v>
      </c>
      <c r="AR113" s="147" t="s">
        <v>249</v>
      </c>
      <c r="AT113" s="148" t="s">
        <v>72</v>
      </c>
      <c r="AU113" s="148" t="s">
        <v>80</v>
      </c>
      <c r="AY113" s="147" t="s">
        <v>137</v>
      </c>
      <c r="BK113" s="149">
        <f>BK114</f>
        <v>0</v>
      </c>
    </row>
    <row r="114" spans="2:65" s="1" customFormat="1" ht="16.5" customHeight="1">
      <c r="B114" s="33"/>
      <c r="C114" s="151">
        <v>1</v>
      </c>
      <c r="D114" s="151" t="s">
        <v>138</v>
      </c>
      <c r="E114" s="152" t="s">
        <v>470</v>
      </c>
      <c r="F114" s="312" t="s">
        <v>492</v>
      </c>
      <c r="G114" s="312"/>
      <c r="H114" s="312"/>
      <c r="I114" s="312"/>
      <c r="J114" s="153" t="s">
        <v>282</v>
      </c>
      <c r="K114" s="154">
        <v>1</v>
      </c>
      <c r="L114" s="223"/>
      <c r="M114" s="220"/>
      <c r="N114" s="337">
        <f>ROUND(L114*K114,2)</f>
        <v>0</v>
      </c>
      <c r="O114" s="337"/>
      <c r="P114" s="337"/>
      <c r="Q114" s="337"/>
      <c r="R114" s="35"/>
      <c r="T114" s="155" t="s">
        <v>19</v>
      </c>
      <c r="U114" s="42" t="s">
        <v>39</v>
      </c>
      <c r="V114" s="156">
        <v>0</v>
      </c>
      <c r="W114" s="156">
        <f>V114*K114</f>
        <v>0</v>
      </c>
      <c r="X114" s="156">
        <v>0</v>
      </c>
      <c r="Y114" s="156">
        <f>X114*K114</f>
        <v>0</v>
      </c>
      <c r="Z114" s="156">
        <v>0</v>
      </c>
      <c r="AA114" s="157">
        <f>Z114*K114</f>
        <v>0</v>
      </c>
      <c r="AR114" s="20" t="s">
        <v>471</v>
      </c>
      <c r="AT114" s="20" t="s">
        <v>138</v>
      </c>
      <c r="AU114" s="20" t="s">
        <v>96</v>
      </c>
      <c r="AY114" s="20" t="s">
        <v>137</v>
      </c>
      <c r="BE114" s="158">
        <f>IF(U114="základní",N114,0)</f>
        <v>0</v>
      </c>
      <c r="BF114" s="158">
        <f>IF(U114="snížená",N114,0)</f>
        <v>0</v>
      </c>
      <c r="BG114" s="158">
        <f>IF(U114="zákl. přenesená",N114,0)</f>
        <v>0</v>
      </c>
      <c r="BH114" s="158">
        <f>IF(U114="sníž. přenesená",N114,0)</f>
        <v>0</v>
      </c>
      <c r="BI114" s="158">
        <f>IF(U114="nulová",N114,0)</f>
        <v>0</v>
      </c>
      <c r="BJ114" s="20" t="s">
        <v>80</v>
      </c>
      <c r="BK114" s="158">
        <f>ROUND(L114*K114,2)</f>
        <v>0</v>
      </c>
      <c r="BL114" s="20" t="s">
        <v>471</v>
      </c>
      <c r="BM114" s="20" t="s">
        <v>472</v>
      </c>
    </row>
    <row r="115" spans="2:65" s="1" customFormat="1" ht="53.25" customHeight="1">
      <c r="B115" s="33"/>
      <c r="C115" s="151">
        <v>2</v>
      </c>
      <c r="D115" s="151" t="s">
        <v>138</v>
      </c>
      <c r="E115" s="152" t="s">
        <v>485</v>
      </c>
      <c r="F115" s="312" t="s">
        <v>511</v>
      </c>
      <c r="G115" s="312"/>
      <c r="H115" s="312"/>
      <c r="I115" s="312"/>
      <c r="J115" s="153" t="s">
        <v>282</v>
      </c>
      <c r="K115" s="154">
        <v>4</v>
      </c>
      <c r="L115" s="233"/>
      <c r="M115" s="220"/>
      <c r="N115" s="337">
        <f aca="true" t="shared" si="0" ref="N115">ROUND(L115*K115,2)</f>
        <v>0</v>
      </c>
      <c r="O115" s="337"/>
      <c r="P115" s="337"/>
      <c r="Q115" s="337"/>
      <c r="R115" s="35"/>
      <c r="T115" s="155" t="s">
        <v>19</v>
      </c>
      <c r="U115" s="42" t="s">
        <v>39</v>
      </c>
      <c r="V115" s="156">
        <v>0</v>
      </c>
      <c r="W115" s="156">
        <f aca="true" t="shared" si="1" ref="W115">V115*K115</f>
        <v>0</v>
      </c>
      <c r="X115" s="156">
        <v>0</v>
      </c>
      <c r="Y115" s="156">
        <f aca="true" t="shared" si="2" ref="Y115">X115*K115</f>
        <v>0</v>
      </c>
      <c r="Z115" s="156">
        <v>0</v>
      </c>
      <c r="AA115" s="157">
        <f aca="true" t="shared" si="3" ref="AA115">Z115*K115</f>
        <v>0</v>
      </c>
      <c r="AR115" s="20" t="s">
        <v>471</v>
      </c>
      <c r="AT115" s="20" t="s">
        <v>138</v>
      </c>
      <c r="AU115" s="20" t="s">
        <v>96</v>
      </c>
      <c r="AY115" s="20" t="s">
        <v>137</v>
      </c>
      <c r="BE115" s="158">
        <f aca="true" t="shared" si="4" ref="BE115">IF(U115="základní",N115,0)</f>
        <v>0</v>
      </c>
      <c r="BF115" s="158">
        <f aca="true" t="shared" si="5" ref="BF115">IF(U115="snížená",N115,0)</f>
        <v>0</v>
      </c>
      <c r="BG115" s="158">
        <f aca="true" t="shared" si="6" ref="BG115">IF(U115="zákl. přenesená",N115,0)</f>
        <v>0</v>
      </c>
      <c r="BH115" s="158">
        <f aca="true" t="shared" si="7" ref="BH115">IF(U115="sníž. přenesená",N115,0)</f>
        <v>0</v>
      </c>
      <c r="BI115" s="158">
        <f aca="true" t="shared" si="8" ref="BI115">IF(U115="nulová",N115,0)</f>
        <v>0</v>
      </c>
      <c r="BJ115" s="20" t="s">
        <v>80</v>
      </c>
      <c r="BK115" s="158">
        <f aca="true" t="shared" si="9" ref="BK115">ROUND(L115*K115,2)</f>
        <v>0</v>
      </c>
      <c r="BL115" s="20" t="s">
        <v>471</v>
      </c>
      <c r="BM115" s="20" t="s">
        <v>486</v>
      </c>
    </row>
    <row r="116" spans="2:65" s="1" customFormat="1" ht="53.25" customHeight="1">
      <c r="B116" s="33"/>
      <c r="C116" s="151">
        <v>3</v>
      </c>
      <c r="D116" s="151"/>
      <c r="E116" s="152"/>
      <c r="F116" s="312" t="s">
        <v>509</v>
      </c>
      <c r="G116" s="312"/>
      <c r="H116" s="312"/>
      <c r="I116" s="312"/>
      <c r="J116" s="153" t="s">
        <v>282</v>
      </c>
      <c r="K116" s="154">
        <v>1</v>
      </c>
      <c r="L116" s="233"/>
      <c r="M116" s="232"/>
      <c r="N116" s="337">
        <f aca="true" t="shared" si="10" ref="N116:N117">ROUND(L116*K116,2)</f>
        <v>0</v>
      </c>
      <c r="O116" s="337"/>
      <c r="P116" s="337"/>
      <c r="Q116" s="343"/>
      <c r="R116" s="35"/>
      <c r="T116" s="191"/>
      <c r="U116" s="42"/>
      <c r="V116" s="156"/>
      <c r="W116" s="156"/>
      <c r="X116" s="156"/>
      <c r="Y116" s="156"/>
      <c r="Z116" s="156"/>
      <c r="AA116" s="157"/>
      <c r="AR116" s="20"/>
      <c r="AT116" s="20"/>
      <c r="AU116" s="20"/>
      <c r="AY116" s="20"/>
      <c r="BE116" s="158"/>
      <c r="BF116" s="158"/>
      <c r="BG116" s="158"/>
      <c r="BH116" s="158"/>
      <c r="BI116" s="158"/>
      <c r="BJ116" s="20"/>
      <c r="BK116" s="158"/>
      <c r="BL116" s="20"/>
      <c r="BM116" s="20"/>
    </row>
    <row r="117" spans="2:65" s="1" customFormat="1" ht="53.25" customHeight="1">
      <c r="B117" s="33"/>
      <c r="C117" s="151">
        <v>4</v>
      </c>
      <c r="D117" s="151"/>
      <c r="E117" s="152"/>
      <c r="F117" s="312" t="s">
        <v>510</v>
      </c>
      <c r="G117" s="312"/>
      <c r="H117" s="312"/>
      <c r="I117" s="312"/>
      <c r="J117" s="153" t="s">
        <v>282</v>
      </c>
      <c r="K117" s="154">
        <v>1</v>
      </c>
      <c r="L117" s="233"/>
      <c r="M117" s="232"/>
      <c r="N117" s="337">
        <f t="shared" si="10"/>
        <v>0</v>
      </c>
      <c r="O117" s="337"/>
      <c r="P117" s="337"/>
      <c r="Q117" s="343"/>
      <c r="R117" s="35"/>
      <c r="T117" s="191"/>
      <c r="U117" s="42"/>
      <c r="V117" s="156"/>
      <c r="W117" s="156"/>
      <c r="X117" s="156"/>
      <c r="Y117" s="156"/>
      <c r="Z117" s="156"/>
      <c r="AA117" s="157"/>
      <c r="AR117" s="20"/>
      <c r="AT117" s="20"/>
      <c r="AU117" s="20"/>
      <c r="AY117" s="20"/>
      <c r="BE117" s="158"/>
      <c r="BF117" s="158"/>
      <c r="BG117" s="158"/>
      <c r="BH117" s="158"/>
      <c r="BI117" s="158"/>
      <c r="BJ117" s="20"/>
      <c r="BK117" s="158"/>
      <c r="BL117" s="20"/>
      <c r="BM117" s="20"/>
    </row>
    <row r="118" spans="2:65" s="1" customFormat="1" ht="24" customHeight="1">
      <c r="B118" s="33"/>
      <c r="C118" s="195"/>
      <c r="D118" s="195"/>
      <c r="E118" s="196"/>
      <c r="F118" s="344"/>
      <c r="G118" s="344"/>
      <c r="H118" s="344"/>
      <c r="I118" s="344"/>
      <c r="J118" s="197"/>
      <c r="K118" s="198"/>
      <c r="L118" s="341"/>
      <c r="M118" s="345"/>
      <c r="N118" s="346"/>
      <c r="O118" s="346"/>
      <c r="P118" s="346"/>
      <c r="Q118" s="346"/>
      <c r="R118" s="35"/>
      <c r="T118" s="231"/>
      <c r="U118" s="42"/>
      <c r="V118" s="156"/>
      <c r="W118" s="156"/>
      <c r="X118" s="156"/>
      <c r="Y118" s="156"/>
      <c r="Z118" s="156"/>
      <c r="AA118" s="157"/>
      <c r="AR118" s="20"/>
      <c r="AT118" s="20"/>
      <c r="AU118" s="20"/>
      <c r="AY118" s="20"/>
      <c r="BE118" s="158"/>
      <c r="BF118" s="158"/>
      <c r="BG118" s="158"/>
      <c r="BH118" s="158"/>
      <c r="BI118" s="158"/>
      <c r="BJ118" s="20"/>
      <c r="BK118" s="158"/>
      <c r="BL118" s="20"/>
      <c r="BM118" s="20"/>
    </row>
    <row r="119" spans="2:63" s="9" customFormat="1" ht="29.85" customHeight="1">
      <c r="B119" s="140"/>
      <c r="C119" s="141"/>
      <c r="D119" s="150" t="s">
        <v>469</v>
      </c>
      <c r="E119" s="150"/>
      <c r="F119" s="150"/>
      <c r="G119" s="150"/>
      <c r="H119" s="150"/>
      <c r="I119" s="150"/>
      <c r="J119" s="150"/>
      <c r="K119" s="150"/>
      <c r="L119" s="341"/>
      <c r="M119" s="150"/>
      <c r="N119" s="340">
        <f>SUM(N120:N126)</f>
        <v>0</v>
      </c>
      <c r="O119" s="342"/>
      <c r="P119" s="342"/>
      <c r="Q119" s="342"/>
      <c r="R119" s="143"/>
      <c r="T119" s="144"/>
      <c r="U119" s="141"/>
      <c r="V119" s="141"/>
      <c r="W119" s="145">
        <f>SUM(W120:W125)</f>
        <v>0</v>
      </c>
      <c r="X119" s="141"/>
      <c r="Y119" s="145">
        <f>SUM(Y120:Y125)</f>
        <v>0</v>
      </c>
      <c r="Z119" s="141"/>
      <c r="AA119" s="146">
        <f>SUM(AA120:AA125)</f>
        <v>0</v>
      </c>
      <c r="AR119" s="147" t="s">
        <v>249</v>
      </c>
      <c r="AT119" s="148" t="s">
        <v>72</v>
      </c>
      <c r="AU119" s="148" t="s">
        <v>80</v>
      </c>
      <c r="AY119" s="147" t="s">
        <v>137</v>
      </c>
      <c r="BK119" s="149">
        <f>SUM(BK120:BK125)</f>
        <v>0</v>
      </c>
    </row>
    <row r="120" spans="2:65" s="1" customFormat="1" ht="16.5" customHeight="1">
      <c r="B120" s="33"/>
      <c r="C120" s="151">
        <v>5</v>
      </c>
      <c r="D120" s="151" t="s">
        <v>138</v>
      </c>
      <c r="E120" s="152" t="s">
        <v>473</v>
      </c>
      <c r="F120" s="312" t="s">
        <v>493</v>
      </c>
      <c r="G120" s="312"/>
      <c r="H120" s="312"/>
      <c r="I120" s="312"/>
      <c r="J120" s="153" t="s">
        <v>282</v>
      </c>
      <c r="K120" s="154">
        <v>4</v>
      </c>
      <c r="L120" s="233"/>
      <c r="M120" s="220"/>
      <c r="N120" s="337">
        <f aca="true" t="shared" si="11" ref="N120:N125">ROUND(L120*K120,2)</f>
        <v>0</v>
      </c>
      <c r="O120" s="337"/>
      <c r="P120" s="337"/>
      <c r="Q120" s="337"/>
      <c r="R120" s="35"/>
      <c r="T120" s="155" t="s">
        <v>19</v>
      </c>
      <c r="U120" s="42" t="s">
        <v>39</v>
      </c>
      <c r="V120" s="156">
        <v>0</v>
      </c>
      <c r="W120" s="156">
        <f aca="true" t="shared" si="12" ref="W120:W125">V120*K120</f>
        <v>0</v>
      </c>
      <c r="X120" s="156">
        <v>0</v>
      </c>
      <c r="Y120" s="156">
        <f aca="true" t="shared" si="13" ref="Y120:Y125">X120*K120</f>
        <v>0</v>
      </c>
      <c r="Z120" s="156">
        <v>0</v>
      </c>
      <c r="AA120" s="157">
        <f aca="true" t="shared" si="14" ref="AA120:AA125">Z120*K120</f>
        <v>0</v>
      </c>
      <c r="AR120" s="20" t="s">
        <v>471</v>
      </c>
      <c r="AT120" s="20" t="s">
        <v>138</v>
      </c>
      <c r="AU120" s="20" t="s">
        <v>96</v>
      </c>
      <c r="AY120" s="20" t="s">
        <v>137</v>
      </c>
      <c r="BE120" s="158">
        <f aca="true" t="shared" si="15" ref="BE120:BE125">IF(U120="základní",N120,0)</f>
        <v>0</v>
      </c>
      <c r="BF120" s="158">
        <f aca="true" t="shared" si="16" ref="BF120:BF125">IF(U120="snížená",N120,0)</f>
        <v>0</v>
      </c>
      <c r="BG120" s="158">
        <f aca="true" t="shared" si="17" ref="BG120:BG125">IF(U120="zákl. přenesená",N120,0)</f>
        <v>0</v>
      </c>
      <c r="BH120" s="158">
        <f aca="true" t="shared" si="18" ref="BH120:BH125">IF(U120="sníž. přenesená",N120,0)</f>
        <v>0</v>
      </c>
      <c r="BI120" s="158">
        <f aca="true" t="shared" si="19" ref="BI120:BI125">IF(U120="nulová",N120,0)</f>
        <v>0</v>
      </c>
      <c r="BJ120" s="20" t="s">
        <v>80</v>
      </c>
      <c r="BK120" s="158">
        <f aca="true" t="shared" si="20" ref="BK120:BK125">ROUND(L120*K120,2)</f>
        <v>0</v>
      </c>
      <c r="BL120" s="20" t="s">
        <v>471</v>
      </c>
      <c r="BM120" s="20" t="s">
        <v>474</v>
      </c>
    </row>
    <row r="121" spans="2:65" s="1" customFormat="1" ht="28.5" customHeight="1">
      <c r="B121" s="33"/>
      <c r="C121" s="151">
        <v>6</v>
      </c>
      <c r="D121" s="151" t="s">
        <v>138</v>
      </c>
      <c r="E121" s="152" t="s">
        <v>475</v>
      </c>
      <c r="F121" s="312" t="s">
        <v>494</v>
      </c>
      <c r="G121" s="312"/>
      <c r="H121" s="312"/>
      <c r="I121" s="312"/>
      <c r="J121" s="153" t="s">
        <v>282</v>
      </c>
      <c r="K121" s="154">
        <v>4</v>
      </c>
      <c r="L121" s="233"/>
      <c r="M121" s="220"/>
      <c r="N121" s="337">
        <f t="shared" si="11"/>
        <v>0</v>
      </c>
      <c r="O121" s="337"/>
      <c r="P121" s="337"/>
      <c r="Q121" s="337"/>
      <c r="R121" s="35"/>
      <c r="T121" s="155" t="s">
        <v>19</v>
      </c>
      <c r="U121" s="42" t="s">
        <v>39</v>
      </c>
      <c r="V121" s="156">
        <v>0</v>
      </c>
      <c r="W121" s="156">
        <f t="shared" si="12"/>
        <v>0</v>
      </c>
      <c r="X121" s="156">
        <v>0</v>
      </c>
      <c r="Y121" s="156">
        <f t="shared" si="13"/>
        <v>0</v>
      </c>
      <c r="Z121" s="156">
        <v>0</v>
      </c>
      <c r="AA121" s="157">
        <f t="shared" si="14"/>
        <v>0</v>
      </c>
      <c r="AR121" s="20" t="s">
        <v>471</v>
      </c>
      <c r="AT121" s="20" t="s">
        <v>138</v>
      </c>
      <c r="AU121" s="20" t="s">
        <v>96</v>
      </c>
      <c r="AY121" s="20" t="s">
        <v>137</v>
      </c>
      <c r="BE121" s="158">
        <f t="shared" si="15"/>
        <v>0</v>
      </c>
      <c r="BF121" s="158">
        <f t="shared" si="16"/>
        <v>0</v>
      </c>
      <c r="BG121" s="158">
        <f t="shared" si="17"/>
        <v>0</v>
      </c>
      <c r="BH121" s="158">
        <f t="shared" si="18"/>
        <v>0</v>
      </c>
      <c r="BI121" s="158">
        <f t="shared" si="19"/>
        <v>0</v>
      </c>
      <c r="BJ121" s="20" t="s">
        <v>80</v>
      </c>
      <c r="BK121" s="158">
        <f t="shared" si="20"/>
        <v>0</v>
      </c>
      <c r="BL121" s="20" t="s">
        <v>471</v>
      </c>
      <c r="BM121" s="20" t="s">
        <v>476</v>
      </c>
    </row>
    <row r="122" spans="2:65" s="1" customFormat="1" ht="16.5" customHeight="1">
      <c r="B122" s="33"/>
      <c r="C122" s="151">
        <v>7</v>
      </c>
      <c r="D122" s="151" t="s">
        <v>138</v>
      </c>
      <c r="E122" s="152" t="s">
        <v>477</v>
      </c>
      <c r="F122" s="312" t="s">
        <v>495</v>
      </c>
      <c r="G122" s="312"/>
      <c r="H122" s="312"/>
      <c r="I122" s="312"/>
      <c r="J122" s="153" t="s">
        <v>282</v>
      </c>
      <c r="K122" s="154">
        <v>1</v>
      </c>
      <c r="L122" s="233"/>
      <c r="M122" s="220"/>
      <c r="N122" s="337">
        <f t="shared" si="11"/>
        <v>0</v>
      </c>
      <c r="O122" s="337"/>
      <c r="P122" s="337"/>
      <c r="Q122" s="337"/>
      <c r="R122" s="35"/>
      <c r="T122" s="155" t="s">
        <v>19</v>
      </c>
      <c r="U122" s="42" t="s">
        <v>39</v>
      </c>
      <c r="V122" s="156">
        <v>0</v>
      </c>
      <c r="W122" s="156">
        <f t="shared" si="12"/>
        <v>0</v>
      </c>
      <c r="X122" s="156">
        <v>0</v>
      </c>
      <c r="Y122" s="156">
        <f t="shared" si="13"/>
        <v>0</v>
      </c>
      <c r="Z122" s="156">
        <v>0</v>
      </c>
      <c r="AA122" s="157">
        <f t="shared" si="14"/>
        <v>0</v>
      </c>
      <c r="AR122" s="20" t="s">
        <v>471</v>
      </c>
      <c r="AT122" s="20" t="s">
        <v>138</v>
      </c>
      <c r="AU122" s="20" t="s">
        <v>96</v>
      </c>
      <c r="AY122" s="20" t="s">
        <v>137</v>
      </c>
      <c r="BE122" s="158">
        <f t="shared" si="15"/>
        <v>0</v>
      </c>
      <c r="BF122" s="158">
        <f t="shared" si="16"/>
        <v>0</v>
      </c>
      <c r="BG122" s="158">
        <f t="shared" si="17"/>
        <v>0</v>
      </c>
      <c r="BH122" s="158">
        <f t="shared" si="18"/>
        <v>0</v>
      </c>
      <c r="BI122" s="158">
        <f t="shared" si="19"/>
        <v>0</v>
      </c>
      <c r="BJ122" s="20" t="s">
        <v>80</v>
      </c>
      <c r="BK122" s="158">
        <f t="shared" si="20"/>
        <v>0</v>
      </c>
      <c r="BL122" s="20" t="s">
        <v>471</v>
      </c>
      <c r="BM122" s="20" t="s">
        <v>478</v>
      </c>
    </row>
    <row r="123" spans="2:65" s="1" customFormat="1" ht="30.75" customHeight="1">
      <c r="B123" s="33"/>
      <c r="C123" s="151">
        <v>8</v>
      </c>
      <c r="D123" s="151" t="s">
        <v>138</v>
      </c>
      <c r="E123" s="152" t="s">
        <v>479</v>
      </c>
      <c r="F123" s="312" t="s">
        <v>496</v>
      </c>
      <c r="G123" s="312"/>
      <c r="H123" s="312"/>
      <c r="I123" s="312"/>
      <c r="J123" s="153" t="s">
        <v>282</v>
      </c>
      <c r="K123" s="154">
        <v>4</v>
      </c>
      <c r="L123" s="233"/>
      <c r="M123" s="220"/>
      <c r="N123" s="337">
        <f t="shared" si="11"/>
        <v>0</v>
      </c>
      <c r="O123" s="337"/>
      <c r="P123" s="337"/>
      <c r="Q123" s="337"/>
      <c r="R123" s="35"/>
      <c r="T123" s="155" t="s">
        <v>19</v>
      </c>
      <c r="U123" s="42" t="s">
        <v>39</v>
      </c>
      <c r="V123" s="156">
        <v>0</v>
      </c>
      <c r="W123" s="156">
        <f t="shared" si="12"/>
        <v>0</v>
      </c>
      <c r="X123" s="156">
        <v>0</v>
      </c>
      <c r="Y123" s="156">
        <f t="shared" si="13"/>
        <v>0</v>
      </c>
      <c r="Z123" s="156">
        <v>0</v>
      </c>
      <c r="AA123" s="157">
        <f t="shared" si="14"/>
        <v>0</v>
      </c>
      <c r="AR123" s="20" t="s">
        <v>471</v>
      </c>
      <c r="AT123" s="20" t="s">
        <v>138</v>
      </c>
      <c r="AU123" s="20" t="s">
        <v>96</v>
      </c>
      <c r="AY123" s="20" t="s">
        <v>137</v>
      </c>
      <c r="BE123" s="158">
        <f t="shared" si="15"/>
        <v>0</v>
      </c>
      <c r="BF123" s="158">
        <f t="shared" si="16"/>
        <v>0</v>
      </c>
      <c r="BG123" s="158">
        <f t="shared" si="17"/>
        <v>0</v>
      </c>
      <c r="BH123" s="158">
        <f t="shared" si="18"/>
        <v>0</v>
      </c>
      <c r="BI123" s="158">
        <f t="shared" si="19"/>
        <v>0</v>
      </c>
      <c r="BJ123" s="20" t="s">
        <v>80</v>
      </c>
      <c r="BK123" s="158">
        <f t="shared" si="20"/>
        <v>0</v>
      </c>
      <c r="BL123" s="20" t="s">
        <v>471</v>
      </c>
      <c r="BM123" s="20" t="s">
        <v>480</v>
      </c>
    </row>
    <row r="124" spans="2:65" s="1" customFormat="1" ht="25.5" customHeight="1">
      <c r="B124" s="33"/>
      <c r="C124" s="151">
        <v>9</v>
      </c>
      <c r="D124" s="151" t="s">
        <v>138</v>
      </c>
      <c r="E124" s="152" t="s">
        <v>481</v>
      </c>
      <c r="F124" s="312" t="s">
        <v>497</v>
      </c>
      <c r="G124" s="312"/>
      <c r="H124" s="312"/>
      <c r="I124" s="312"/>
      <c r="J124" s="153" t="s">
        <v>282</v>
      </c>
      <c r="K124" s="154">
        <v>1</v>
      </c>
      <c r="L124" s="233"/>
      <c r="M124" s="220"/>
      <c r="N124" s="337">
        <f t="shared" si="11"/>
        <v>0</v>
      </c>
      <c r="O124" s="337"/>
      <c r="P124" s="337"/>
      <c r="Q124" s="337"/>
      <c r="R124" s="35"/>
      <c r="T124" s="155" t="s">
        <v>19</v>
      </c>
      <c r="U124" s="42" t="s">
        <v>39</v>
      </c>
      <c r="V124" s="156">
        <v>0</v>
      </c>
      <c r="W124" s="156">
        <f t="shared" si="12"/>
        <v>0</v>
      </c>
      <c r="X124" s="156">
        <v>0</v>
      </c>
      <c r="Y124" s="156">
        <f t="shared" si="13"/>
        <v>0</v>
      </c>
      <c r="Z124" s="156">
        <v>0</v>
      </c>
      <c r="AA124" s="157">
        <f t="shared" si="14"/>
        <v>0</v>
      </c>
      <c r="AR124" s="20" t="s">
        <v>471</v>
      </c>
      <c r="AT124" s="20" t="s">
        <v>138</v>
      </c>
      <c r="AU124" s="20" t="s">
        <v>96</v>
      </c>
      <c r="AY124" s="20" t="s">
        <v>137</v>
      </c>
      <c r="BE124" s="158">
        <f t="shared" si="15"/>
        <v>0</v>
      </c>
      <c r="BF124" s="158">
        <f t="shared" si="16"/>
        <v>0</v>
      </c>
      <c r="BG124" s="158">
        <f t="shared" si="17"/>
        <v>0</v>
      </c>
      <c r="BH124" s="158">
        <f t="shared" si="18"/>
        <v>0</v>
      </c>
      <c r="BI124" s="158">
        <f t="shared" si="19"/>
        <v>0</v>
      </c>
      <c r="BJ124" s="20" t="s">
        <v>80</v>
      </c>
      <c r="BK124" s="158">
        <f t="shared" si="20"/>
        <v>0</v>
      </c>
      <c r="BL124" s="20" t="s">
        <v>471</v>
      </c>
      <c r="BM124" s="20" t="s">
        <v>482</v>
      </c>
    </row>
    <row r="125" spans="2:65" s="1" customFormat="1" ht="31.5" customHeight="1">
      <c r="B125" s="33"/>
      <c r="C125" s="151">
        <v>10</v>
      </c>
      <c r="D125" s="151" t="s">
        <v>138</v>
      </c>
      <c r="E125" s="152" t="s">
        <v>483</v>
      </c>
      <c r="F125" s="312" t="s">
        <v>498</v>
      </c>
      <c r="G125" s="312"/>
      <c r="H125" s="312"/>
      <c r="I125" s="312"/>
      <c r="J125" s="153" t="s">
        <v>282</v>
      </c>
      <c r="K125" s="154">
        <v>4</v>
      </c>
      <c r="L125" s="233"/>
      <c r="M125" s="220"/>
      <c r="N125" s="337">
        <f t="shared" si="11"/>
        <v>0</v>
      </c>
      <c r="O125" s="337"/>
      <c r="P125" s="337"/>
      <c r="Q125" s="337"/>
      <c r="R125" s="35"/>
      <c r="T125" s="155" t="s">
        <v>19</v>
      </c>
      <c r="U125" s="42" t="s">
        <v>39</v>
      </c>
      <c r="V125" s="156">
        <v>0</v>
      </c>
      <c r="W125" s="156">
        <f t="shared" si="12"/>
        <v>0</v>
      </c>
      <c r="X125" s="156">
        <v>0</v>
      </c>
      <c r="Y125" s="156">
        <f t="shared" si="13"/>
        <v>0</v>
      </c>
      <c r="Z125" s="156">
        <v>0</v>
      </c>
      <c r="AA125" s="157">
        <f t="shared" si="14"/>
        <v>0</v>
      </c>
      <c r="AR125" s="20" t="s">
        <v>471</v>
      </c>
      <c r="AT125" s="20" t="s">
        <v>138</v>
      </c>
      <c r="AU125" s="20" t="s">
        <v>96</v>
      </c>
      <c r="AY125" s="20" t="s">
        <v>137</v>
      </c>
      <c r="BE125" s="158">
        <f t="shared" si="15"/>
        <v>0</v>
      </c>
      <c r="BF125" s="158">
        <f t="shared" si="16"/>
        <v>0</v>
      </c>
      <c r="BG125" s="158">
        <f t="shared" si="17"/>
        <v>0</v>
      </c>
      <c r="BH125" s="158">
        <f t="shared" si="18"/>
        <v>0</v>
      </c>
      <c r="BI125" s="158">
        <f t="shared" si="19"/>
        <v>0</v>
      </c>
      <c r="BJ125" s="20" t="s">
        <v>80</v>
      </c>
      <c r="BK125" s="158">
        <f t="shared" si="20"/>
        <v>0</v>
      </c>
      <c r="BL125" s="20" t="s">
        <v>471</v>
      </c>
      <c r="BM125" s="20" t="s">
        <v>484</v>
      </c>
    </row>
    <row r="126" spans="2:65" s="1" customFormat="1" ht="36.75" customHeight="1">
      <c r="B126" s="33"/>
      <c r="C126" s="151">
        <v>11</v>
      </c>
      <c r="D126" s="151" t="s">
        <v>138</v>
      </c>
      <c r="E126" s="152" t="s">
        <v>485</v>
      </c>
      <c r="F126" s="312" t="s">
        <v>499</v>
      </c>
      <c r="G126" s="312"/>
      <c r="H126" s="312"/>
      <c r="I126" s="312"/>
      <c r="J126" s="153" t="s">
        <v>282</v>
      </c>
      <c r="K126" s="154">
        <v>2</v>
      </c>
      <c r="L126" s="233"/>
      <c r="M126" s="220"/>
      <c r="N126" s="337">
        <f aca="true" t="shared" si="21" ref="N126">ROUND(L126*K126,2)</f>
        <v>0</v>
      </c>
      <c r="O126" s="337"/>
      <c r="P126" s="337"/>
      <c r="Q126" s="337"/>
      <c r="R126" s="35"/>
      <c r="T126" s="155" t="s">
        <v>19</v>
      </c>
      <c r="U126" s="42" t="s">
        <v>39</v>
      </c>
      <c r="V126" s="156">
        <v>0</v>
      </c>
      <c r="W126" s="156">
        <f aca="true" t="shared" si="22" ref="W126">V126*K126</f>
        <v>0</v>
      </c>
      <c r="X126" s="156">
        <v>0</v>
      </c>
      <c r="Y126" s="156">
        <f aca="true" t="shared" si="23" ref="Y126">X126*K126</f>
        <v>0</v>
      </c>
      <c r="Z126" s="156">
        <v>0</v>
      </c>
      <c r="AA126" s="157">
        <f aca="true" t="shared" si="24" ref="AA126">Z126*K126</f>
        <v>0</v>
      </c>
      <c r="AR126" s="20" t="s">
        <v>471</v>
      </c>
      <c r="AT126" s="20" t="s">
        <v>138</v>
      </c>
      <c r="AU126" s="20" t="s">
        <v>96</v>
      </c>
      <c r="AY126" s="20" t="s">
        <v>137</v>
      </c>
      <c r="BE126" s="158">
        <f aca="true" t="shared" si="25" ref="BE126">IF(U126="základní",N126,0)</f>
        <v>0</v>
      </c>
      <c r="BF126" s="158">
        <f aca="true" t="shared" si="26" ref="BF126">IF(U126="snížená",N126,0)</f>
        <v>0</v>
      </c>
      <c r="BG126" s="158">
        <f aca="true" t="shared" si="27" ref="BG126">IF(U126="zákl. přenesená",N126,0)</f>
        <v>0</v>
      </c>
      <c r="BH126" s="158">
        <f aca="true" t="shared" si="28" ref="BH126">IF(U126="sníž. přenesená",N126,0)</f>
        <v>0</v>
      </c>
      <c r="BI126" s="158">
        <f aca="true" t="shared" si="29" ref="BI126">IF(U126="nulová",N126,0)</f>
        <v>0</v>
      </c>
      <c r="BJ126" s="20" t="s">
        <v>80</v>
      </c>
      <c r="BK126" s="158">
        <f aca="true" t="shared" si="30" ref="BK126">ROUND(L126*K126,2)</f>
        <v>0</v>
      </c>
      <c r="BL126" s="20" t="s">
        <v>471</v>
      </c>
      <c r="BM126" s="20" t="s">
        <v>484</v>
      </c>
    </row>
    <row r="127" spans="2:18" s="1" customFormat="1" ht="31.5" customHeight="1"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9"/>
    </row>
  </sheetData>
  <sheetProtection algorithmName="SHA-512" hashValue="oQ8wrDAdfx0RkZ+j3xPtHjGHboT4UrKv62tgNlIrqLy0tLZZuK6WhynxF20bCyG25RwKWDfJWlyxL1pGnr1VaQ==" saltValue="B7W1KUO/X3h5MhdNzTRUCg==" spinCount="100000" sheet="1" objects="1" scenarios="1"/>
  <mergeCells count="79">
    <mergeCell ref="F115:I115"/>
    <mergeCell ref="N115:Q115"/>
    <mergeCell ref="F124:I124"/>
    <mergeCell ref="N124:Q124"/>
    <mergeCell ref="N119:Q119"/>
    <mergeCell ref="F120:I120"/>
    <mergeCell ref="N120:Q120"/>
    <mergeCell ref="F121:I121"/>
    <mergeCell ref="N121:Q121"/>
    <mergeCell ref="F116:I116"/>
    <mergeCell ref="F117:I117"/>
    <mergeCell ref="N116:Q116"/>
    <mergeCell ref="N117:Q117"/>
    <mergeCell ref="N111:Q111"/>
    <mergeCell ref="N112:Q112"/>
    <mergeCell ref="N113:Q113"/>
    <mergeCell ref="F114:I114"/>
    <mergeCell ref="N114:Q114"/>
    <mergeCell ref="M105:P105"/>
    <mergeCell ref="M107:Q107"/>
    <mergeCell ref="M108:Q108"/>
    <mergeCell ref="F110:I110"/>
    <mergeCell ref="L110:M110"/>
    <mergeCell ref="N110:Q110"/>
    <mergeCell ref="N93:Q93"/>
    <mergeCell ref="L95:Q95"/>
    <mergeCell ref="C100:Q100"/>
    <mergeCell ref="F102:P102"/>
    <mergeCell ref="F103:P103"/>
    <mergeCell ref="N88:Q88"/>
    <mergeCell ref="N89:Q89"/>
    <mergeCell ref="N90:Q90"/>
    <mergeCell ref="N91:Q91"/>
    <mergeCell ref="F78:P78"/>
    <mergeCell ref="F79:P79"/>
    <mergeCell ref="M81:P81"/>
    <mergeCell ref="M83:Q83"/>
    <mergeCell ref="M84:Q84"/>
    <mergeCell ref="C86:G86"/>
    <mergeCell ref="N86:Q86"/>
    <mergeCell ref="S2:AC2"/>
    <mergeCell ref="C4:Q4"/>
    <mergeCell ref="F6:P6"/>
    <mergeCell ref="M28:P28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F7:P7"/>
    <mergeCell ref="H1:K1"/>
    <mergeCell ref="C2:Q2"/>
    <mergeCell ref="C76:Q76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26:I126"/>
    <mergeCell ref="N126:Q126"/>
    <mergeCell ref="F125:I125"/>
    <mergeCell ref="N125:Q125"/>
    <mergeCell ref="F122:I122"/>
    <mergeCell ref="N122:Q122"/>
    <mergeCell ref="F123:I123"/>
    <mergeCell ref="N123:Q123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pc-kozak\evzen</dc:creator>
  <cp:keywords/>
  <dc:description/>
  <cp:lastModifiedBy>Miroslav Havlas</cp:lastModifiedBy>
  <cp:lastPrinted>2019-11-20T06:41:06Z</cp:lastPrinted>
  <dcterms:created xsi:type="dcterms:W3CDTF">2017-09-26T08:09:19Z</dcterms:created>
  <dcterms:modified xsi:type="dcterms:W3CDTF">2019-11-20T06:43:54Z</dcterms:modified>
  <cp:category/>
  <cp:version/>
  <cp:contentType/>
  <cp:contentStatus/>
</cp:coreProperties>
</file>