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OPRAVY\Likvidace nevyužívaných objektů\ZADÁVÁNÍ VEŘEJNÝCH ZAKÁZEK\Stavba\Zadávací dokumentace\"/>
    </mc:Choice>
  </mc:AlternateContent>
  <bookViews>
    <workbookView xWindow="0" yWindow="0" windowWidth="25200" windowHeight="11685"/>
  </bookViews>
  <sheets>
    <sheet name="Rekapitulace" sheetId="14" r:id="rId1"/>
    <sheet name="Mukařov" sheetId="8" r:id="rId2"/>
    <sheet name="Němčice" sheetId="10" r:id="rId3"/>
    <sheet name="Sýčina" sheetId="11" r:id="rId4"/>
    <sheet name="Kovánec" sheetId="12" r:id="rId5"/>
    <sheet name="Vedlejší náklady" sheetId="13" r:id="rId6"/>
  </sheets>
  <calcPr calcId="152511"/>
</workbook>
</file>

<file path=xl/calcChain.xml><?xml version="1.0" encoding="utf-8"?>
<calcChain xmlns="http://schemas.openxmlformats.org/spreadsheetml/2006/main">
  <c r="N119" i="13" l="1"/>
  <c r="N124" i="10" l="1"/>
  <c r="N123" i="10" s="1"/>
  <c r="C143" i="10"/>
  <c r="C137" i="10"/>
  <c r="C136" i="10"/>
  <c r="B186" i="10"/>
  <c r="C145" i="10"/>
  <c r="C147" i="10" s="1"/>
  <c r="C149" i="10" s="1"/>
  <c r="C151" i="10" s="1"/>
  <c r="C153" i="10" s="1"/>
  <c r="C158" i="10" s="1"/>
  <c r="C160" i="10" s="1"/>
  <c r="C163" i="10" s="1"/>
  <c r="C165" i="10" s="1"/>
  <c r="C167" i="10" s="1"/>
  <c r="C169" i="10" s="1"/>
  <c r="C171" i="10" s="1"/>
  <c r="C175" i="10" s="1"/>
  <c r="C177" i="10" s="1"/>
  <c r="C180" i="10" s="1"/>
  <c r="C181" i="10" s="1"/>
  <c r="C182" i="10" s="1"/>
  <c r="C183" i="10" s="1"/>
  <c r="C186" i="10" s="1"/>
  <c r="C188" i="10" s="1"/>
  <c r="C190" i="10" s="1"/>
  <c r="C193" i="10" s="1"/>
  <c r="C195" i="10" s="1"/>
  <c r="C197" i="10" s="1"/>
  <c r="K128" i="10"/>
  <c r="K129" i="10"/>
  <c r="K131" i="10"/>
  <c r="K137" i="10"/>
  <c r="K142" i="10"/>
  <c r="K183" i="10"/>
  <c r="K180" i="10"/>
  <c r="K144" i="10" l="1"/>
  <c r="K143" i="10" s="1"/>
  <c r="K127" i="12"/>
  <c r="K133" i="12"/>
  <c r="K135" i="12"/>
  <c r="K134" i="12" s="1"/>
  <c r="K124" i="11"/>
  <c r="K123" i="11" s="1"/>
  <c r="K125" i="10"/>
  <c r="K124" i="10" s="1"/>
  <c r="C124" i="10"/>
  <c r="C126" i="10" s="1"/>
  <c r="C128" i="10" s="1"/>
  <c r="C130" i="10" s="1"/>
  <c r="K170" i="10"/>
  <c r="K169" i="10" s="1"/>
  <c r="Y169" i="10" s="1"/>
  <c r="K168" i="10"/>
  <c r="K167" i="10" s="1"/>
  <c r="Y167" i="10" s="1"/>
  <c r="BI169" i="10"/>
  <c r="BH169" i="10"/>
  <c r="BG169" i="10"/>
  <c r="BF169" i="10"/>
  <c r="BI167" i="10"/>
  <c r="BH167" i="10"/>
  <c r="BG167" i="10"/>
  <c r="BF167" i="10"/>
  <c r="K166" i="10"/>
  <c r="K165" i="10" s="1"/>
  <c r="BK165" i="10" s="1"/>
  <c r="BI165" i="10"/>
  <c r="BH165" i="10"/>
  <c r="BG165" i="10"/>
  <c r="BF165" i="10"/>
  <c r="C189" i="11"/>
  <c r="C167" i="11"/>
  <c r="K147" i="11"/>
  <c r="K146" i="11" s="1"/>
  <c r="K144" i="11"/>
  <c r="K145" i="11"/>
  <c r="K132" i="11"/>
  <c r="K133" i="11"/>
  <c r="K130" i="11"/>
  <c r="K141" i="11"/>
  <c r="K140" i="11"/>
  <c r="K171" i="11"/>
  <c r="K167" i="11" s="1"/>
  <c r="K170" i="11"/>
  <c r="K166" i="11"/>
  <c r="K165" i="11" s="1"/>
  <c r="J128" i="11"/>
  <c r="J126" i="11"/>
  <c r="AA169" i="10" l="1"/>
  <c r="N169" i="10"/>
  <c r="BE169" i="10" s="1"/>
  <c r="W169" i="10"/>
  <c r="BK169" i="10"/>
  <c r="AA167" i="10"/>
  <c r="N167" i="10"/>
  <c r="BE167" i="10" s="1"/>
  <c r="W167" i="10"/>
  <c r="BK167" i="10"/>
  <c r="Y165" i="10"/>
  <c r="AA165" i="10"/>
  <c r="N165" i="10"/>
  <c r="BE165" i="10" s="1"/>
  <c r="W165" i="10"/>
  <c r="K139" i="11"/>
  <c r="K142" i="11" s="1"/>
  <c r="K127" i="11"/>
  <c r="BK165" i="11"/>
  <c r="BI165" i="11"/>
  <c r="BH165" i="11"/>
  <c r="BG165" i="11"/>
  <c r="BF165" i="11"/>
  <c r="AA165" i="11"/>
  <c r="Y165" i="11"/>
  <c r="W165" i="11"/>
  <c r="N165" i="11"/>
  <c r="K125" i="11"/>
  <c r="N123" i="11"/>
  <c r="C125" i="11"/>
  <c r="C127" i="11" s="1"/>
  <c r="C129" i="11" s="1"/>
  <c r="C132" i="11" s="1"/>
  <c r="C134" i="11" s="1"/>
  <c r="C191" i="11"/>
  <c r="C193" i="11" s="1"/>
  <c r="C196" i="11" s="1"/>
  <c r="C197" i="11" s="1"/>
  <c r="C200" i="11" s="1"/>
  <c r="C202" i="11" s="1"/>
  <c r="C136" i="11"/>
  <c r="C138" i="11" s="1"/>
  <c r="C143" i="11" s="1"/>
  <c r="C144" i="11" s="1"/>
  <c r="C146" i="11" s="1"/>
  <c r="C148" i="11" s="1"/>
  <c r="C150" i="11" s="1"/>
  <c r="C151" i="11" s="1"/>
  <c r="C152" i="11" s="1"/>
  <c r="C153" i="11" s="1"/>
  <c r="C154" i="11" s="1"/>
  <c r="C156" i="11" s="1"/>
  <c r="C158" i="11" s="1"/>
  <c r="C160" i="11" s="1"/>
  <c r="C161" i="11" s="1"/>
  <c r="C163" i="11" s="1"/>
  <c r="BK154" i="11"/>
  <c r="BI154" i="11"/>
  <c r="BH154" i="11"/>
  <c r="BG154" i="11"/>
  <c r="BF154" i="11"/>
  <c r="AA154" i="11"/>
  <c r="Y154" i="11"/>
  <c r="W154" i="11"/>
  <c r="N154" i="11"/>
  <c r="BE154" i="11" s="1"/>
  <c r="BK174" i="11"/>
  <c r="BI174" i="11"/>
  <c r="BH174" i="11"/>
  <c r="BG174" i="11"/>
  <c r="BF174" i="11"/>
  <c r="AA174" i="11"/>
  <c r="Y174" i="11"/>
  <c r="W174" i="11"/>
  <c r="N174" i="11"/>
  <c r="BE174" i="11" s="1"/>
  <c r="K138" i="11" l="1"/>
  <c r="K131" i="11"/>
  <c r="C172" i="11"/>
  <c r="C174" i="11" s="1"/>
  <c r="C177" i="11" s="1"/>
  <c r="C178" i="11" s="1"/>
  <c r="C179" i="11" s="1"/>
  <c r="C182" i="11" s="1"/>
  <c r="C184" i="11" s="1"/>
  <c r="C185" i="11" s="1"/>
  <c r="C187" i="11" s="1"/>
  <c r="C165" i="11"/>
  <c r="BE165" i="11"/>
  <c r="N118" i="13"/>
  <c r="N117" i="13"/>
  <c r="K135" i="11" l="1"/>
  <c r="K134" i="11" s="1"/>
  <c r="K137" i="11" s="1"/>
  <c r="K136" i="11" s="1"/>
  <c r="K129" i="11"/>
  <c r="K125" i="12"/>
  <c r="K123" i="12" s="1"/>
  <c r="K126" i="12"/>
  <c r="N126" i="12" s="1"/>
  <c r="K143" i="11"/>
  <c r="N143" i="11" s="1"/>
  <c r="N136" i="10"/>
  <c r="K132" i="10"/>
  <c r="K130" i="10" s="1"/>
  <c r="BK153" i="11" l="1"/>
  <c r="BI153" i="11"/>
  <c r="BH153" i="11"/>
  <c r="BG153" i="11"/>
  <c r="BF153" i="11"/>
  <c r="AA153" i="11"/>
  <c r="Y153" i="11"/>
  <c r="W153" i="11"/>
  <c r="N153" i="11"/>
  <c r="BE153" i="11" s="1"/>
  <c r="BK152" i="11"/>
  <c r="BI152" i="11"/>
  <c r="BH152" i="11"/>
  <c r="BG152" i="11"/>
  <c r="BF152" i="11"/>
  <c r="AA152" i="11"/>
  <c r="Y152" i="11"/>
  <c r="W152" i="11"/>
  <c r="N152" i="11"/>
  <c r="BE152" i="11" s="1"/>
  <c r="N156" i="11"/>
  <c r="BK158" i="11"/>
  <c r="BI158" i="11"/>
  <c r="BH158" i="11"/>
  <c r="BG158" i="11"/>
  <c r="BF158" i="11"/>
  <c r="AA158" i="11"/>
  <c r="Y158" i="11"/>
  <c r="W158" i="11"/>
  <c r="N158" i="11"/>
  <c r="BE158" i="11" s="1"/>
  <c r="BK153" i="8"/>
  <c r="BI153" i="8"/>
  <c r="BH153" i="8"/>
  <c r="BG153" i="8"/>
  <c r="BF153" i="8"/>
  <c r="AA153" i="8"/>
  <c r="Y153" i="8"/>
  <c r="W153" i="8"/>
  <c r="N153" i="8"/>
  <c r="BE153" i="8" s="1"/>
  <c r="N167" i="8"/>
  <c r="BK182" i="10"/>
  <c r="BI182" i="10"/>
  <c r="BH182" i="10"/>
  <c r="BG182" i="10"/>
  <c r="BF182" i="10"/>
  <c r="AA182" i="10"/>
  <c r="Y182" i="10"/>
  <c r="W182" i="10"/>
  <c r="N182" i="10"/>
  <c r="BE182" i="10" s="1"/>
  <c r="N155" i="11" l="1"/>
  <c r="BK126" i="13"/>
  <c r="BI126" i="13"/>
  <c r="BH126" i="13"/>
  <c r="BG126" i="13"/>
  <c r="BF126" i="13"/>
  <c r="AA126" i="13"/>
  <c r="Y126" i="13"/>
  <c r="W126" i="13"/>
  <c r="N126" i="13"/>
  <c r="BE126" i="13" s="1"/>
  <c r="BD92" i="14" l="1"/>
  <c r="BC92" i="14"/>
  <c r="BB92" i="14"/>
  <c r="BA92" i="14"/>
  <c r="AZ92" i="14"/>
  <c r="AY92" i="14"/>
  <c r="AX92" i="14"/>
  <c r="AW92" i="14"/>
  <c r="AV92" i="14"/>
  <c r="AT92" i="14" s="1"/>
  <c r="AU92" i="14"/>
  <c r="AS92" i="14"/>
  <c r="BD91" i="14"/>
  <c r="BC91" i="14"/>
  <c r="BB91" i="14"/>
  <c r="BA91" i="14"/>
  <c r="AZ91" i="14"/>
  <c r="AY91" i="14"/>
  <c r="AX91" i="14"/>
  <c r="AW91" i="14"/>
  <c r="AV91" i="14"/>
  <c r="AT91" i="14" s="1"/>
  <c r="AU91" i="14"/>
  <c r="AS91" i="14"/>
  <c r="BD90" i="14"/>
  <c r="BC90" i="14"/>
  <c r="BB90" i="14"/>
  <c r="BA90" i="14"/>
  <c r="AZ90" i="14"/>
  <c r="AY90" i="14"/>
  <c r="AX90" i="14"/>
  <c r="AW90" i="14"/>
  <c r="AV90" i="14"/>
  <c r="AT90" i="14" s="1"/>
  <c r="AU90" i="14"/>
  <c r="AS90" i="14"/>
  <c r="BD89" i="14"/>
  <c r="BC89" i="14"/>
  <c r="BB89" i="14"/>
  <c r="BA89" i="14"/>
  <c r="AZ89" i="14"/>
  <c r="AY89" i="14"/>
  <c r="AX89" i="14"/>
  <c r="AW89" i="14"/>
  <c r="AV89" i="14"/>
  <c r="AT89" i="14" s="1"/>
  <c r="AU89" i="14"/>
  <c r="AS89" i="14"/>
  <c r="BD88" i="14"/>
  <c r="BD87" i="14" s="1"/>
  <c r="W35" i="14" s="1"/>
  <c r="BC88" i="14"/>
  <c r="BC87" i="14" s="1"/>
  <c r="AY87" i="14" s="1"/>
  <c r="BB88" i="14"/>
  <c r="BB87" i="14" s="1"/>
  <c r="BA88" i="14"/>
  <c r="BA87" i="14" s="1"/>
  <c r="AZ88" i="14"/>
  <c r="AZ87" i="14" s="1"/>
  <c r="AY88" i="14"/>
  <c r="AX88" i="14"/>
  <c r="AW88" i="14"/>
  <c r="AV88" i="14"/>
  <c r="AT88" i="14" s="1"/>
  <c r="AU88" i="14"/>
  <c r="AU87" i="14" s="1"/>
  <c r="AS88" i="14"/>
  <c r="AS87" i="14" s="1"/>
  <c r="AM83" i="14"/>
  <c r="L83" i="14"/>
  <c r="AM82" i="14"/>
  <c r="L82" i="14"/>
  <c r="AM80" i="14"/>
  <c r="L80" i="14"/>
  <c r="L78" i="14"/>
  <c r="L77" i="14"/>
  <c r="AK27" i="14"/>
  <c r="BK116" i="13"/>
  <c r="BI116" i="13"/>
  <c r="BH116" i="13"/>
  <c r="BG116" i="13"/>
  <c r="BF116" i="13"/>
  <c r="AA116" i="13"/>
  <c r="Y116" i="13"/>
  <c r="W116" i="13"/>
  <c r="N116" i="13"/>
  <c r="BE116" i="13" s="1"/>
  <c r="N153" i="12"/>
  <c r="BK162" i="12"/>
  <c r="BI162" i="12"/>
  <c r="BH162" i="12"/>
  <c r="BG162" i="12"/>
  <c r="BF162" i="12"/>
  <c r="AA162" i="12"/>
  <c r="Y162" i="12"/>
  <c r="W162" i="12"/>
  <c r="N162" i="12"/>
  <c r="BE162" i="12" s="1"/>
  <c r="BK161" i="12"/>
  <c r="BI161" i="12"/>
  <c r="BH161" i="12"/>
  <c r="BG161" i="12"/>
  <c r="BF161" i="12"/>
  <c r="AA161" i="12"/>
  <c r="Y161" i="12"/>
  <c r="W161" i="12"/>
  <c r="N161" i="12"/>
  <c r="BE161" i="12" s="1"/>
  <c r="BK164" i="12"/>
  <c r="BI164" i="12"/>
  <c r="BH164" i="12"/>
  <c r="BG164" i="12"/>
  <c r="BF164" i="12"/>
  <c r="AA164" i="12"/>
  <c r="Y164" i="12"/>
  <c r="W164" i="12"/>
  <c r="N164" i="12"/>
  <c r="BE164" i="12" s="1"/>
  <c r="BK159" i="12"/>
  <c r="BI159" i="12"/>
  <c r="BH159" i="12"/>
  <c r="BG159" i="12"/>
  <c r="BF159" i="12"/>
  <c r="AA159" i="12"/>
  <c r="Y159" i="12"/>
  <c r="W159" i="12"/>
  <c r="N159" i="12"/>
  <c r="BE159" i="12" s="1"/>
  <c r="N158" i="12"/>
  <c r="K196" i="11"/>
  <c r="BK196" i="11" s="1"/>
  <c r="BK197" i="11"/>
  <c r="BI197" i="11"/>
  <c r="BH197" i="11"/>
  <c r="BG197" i="11"/>
  <c r="BF197" i="11"/>
  <c r="AA197" i="11"/>
  <c r="Y197" i="11"/>
  <c r="W197" i="11"/>
  <c r="N197" i="11"/>
  <c r="BE197" i="11" s="1"/>
  <c r="BI196" i="11"/>
  <c r="BH196" i="11"/>
  <c r="BG196" i="11"/>
  <c r="BF196" i="11"/>
  <c r="BK193" i="11"/>
  <c r="BI193" i="11"/>
  <c r="BH193" i="11"/>
  <c r="BG193" i="11"/>
  <c r="BF193" i="11"/>
  <c r="AA193" i="11"/>
  <c r="Y193" i="11"/>
  <c r="W193" i="11"/>
  <c r="N193" i="11"/>
  <c r="BE193" i="11" s="1"/>
  <c r="BK191" i="11"/>
  <c r="BI191" i="11"/>
  <c r="BH191" i="11"/>
  <c r="BG191" i="11"/>
  <c r="BF191" i="11"/>
  <c r="AA191" i="11"/>
  <c r="Y191" i="11"/>
  <c r="W191" i="11"/>
  <c r="N191" i="11"/>
  <c r="BE191" i="11" s="1"/>
  <c r="BK187" i="11"/>
  <c r="BI187" i="11"/>
  <c r="BH187" i="11"/>
  <c r="BG187" i="11"/>
  <c r="BF187" i="11"/>
  <c r="AA187" i="11"/>
  <c r="Y187" i="11"/>
  <c r="W187" i="11"/>
  <c r="N187" i="11"/>
  <c r="BE187" i="11" s="1"/>
  <c r="K165" i="8"/>
  <c r="K168" i="8" s="1"/>
  <c r="N196" i="11" l="1"/>
  <c r="N195" i="11" s="1"/>
  <c r="Y196" i="11"/>
  <c r="AA196" i="11"/>
  <c r="AX87" i="14"/>
  <c r="W33" i="14"/>
  <c r="W31" i="14"/>
  <c r="AV87" i="14"/>
  <c r="AW87" i="14"/>
  <c r="AK32" i="14" s="1"/>
  <c r="W32" i="14"/>
  <c r="W34" i="14"/>
  <c r="W196" i="11"/>
  <c r="BE196" i="11" l="1"/>
  <c r="AT87" i="14"/>
  <c r="AK31" i="14"/>
  <c r="BK186" i="8" l="1"/>
  <c r="BI186" i="8"/>
  <c r="BH186" i="8"/>
  <c r="BG186" i="8"/>
  <c r="BF186" i="8"/>
  <c r="AA186" i="8"/>
  <c r="Y186" i="8"/>
  <c r="W186" i="8"/>
  <c r="N186" i="8"/>
  <c r="BE186" i="8" s="1"/>
  <c r="BK185" i="8"/>
  <c r="BI185" i="8"/>
  <c r="BH185" i="8"/>
  <c r="BG185" i="8"/>
  <c r="BF185" i="8"/>
  <c r="AA185" i="8"/>
  <c r="Y185" i="8"/>
  <c r="W185" i="8"/>
  <c r="N185" i="8"/>
  <c r="N182" i="8"/>
  <c r="W182" i="8"/>
  <c r="Y182" i="8"/>
  <c r="AA182" i="8"/>
  <c r="BE182" i="8"/>
  <c r="BF182" i="8"/>
  <c r="BG182" i="8"/>
  <c r="BH182" i="8"/>
  <c r="BI182" i="8"/>
  <c r="BK182" i="8"/>
  <c r="BK180" i="8"/>
  <c r="BI180" i="8"/>
  <c r="BH180" i="8"/>
  <c r="BG180" i="8"/>
  <c r="BF180" i="8"/>
  <c r="AA180" i="8"/>
  <c r="Y180" i="8"/>
  <c r="W180" i="8"/>
  <c r="N180" i="8"/>
  <c r="BE180" i="8" s="1"/>
  <c r="BK176" i="8"/>
  <c r="BI176" i="8"/>
  <c r="BH176" i="8"/>
  <c r="BG176" i="8"/>
  <c r="BF176" i="8"/>
  <c r="AA176" i="8"/>
  <c r="Y176" i="8"/>
  <c r="W176" i="8"/>
  <c r="N176" i="8"/>
  <c r="BE176" i="8" s="1"/>
  <c r="BK125" i="13"/>
  <c r="BI125" i="13"/>
  <c r="BH125" i="13"/>
  <c r="BG125" i="13"/>
  <c r="BF125" i="13"/>
  <c r="AA125" i="13"/>
  <c r="Y125" i="13"/>
  <c r="W125" i="13"/>
  <c r="N125" i="13"/>
  <c r="BE125" i="13" s="1"/>
  <c r="BK124" i="13"/>
  <c r="BI124" i="13"/>
  <c r="BH124" i="13"/>
  <c r="BG124" i="13"/>
  <c r="BF124" i="13"/>
  <c r="AA124" i="13"/>
  <c r="Y124" i="13"/>
  <c r="W124" i="13"/>
  <c r="N124" i="13"/>
  <c r="BE124" i="13" s="1"/>
  <c r="BK123" i="13"/>
  <c r="BI123" i="13"/>
  <c r="BH123" i="13"/>
  <c r="BG123" i="13"/>
  <c r="BF123" i="13"/>
  <c r="AA123" i="13"/>
  <c r="Y123" i="13"/>
  <c r="W123" i="13"/>
  <c r="N123" i="13"/>
  <c r="BE123" i="13" s="1"/>
  <c r="BK122" i="13"/>
  <c r="BI122" i="13"/>
  <c r="BH122" i="13"/>
  <c r="BG122" i="13"/>
  <c r="BF122" i="13"/>
  <c r="AA122" i="13"/>
  <c r="Y122" i="13"/>
  <c r="W122" i="13"/>
  <c r="N122" i="13"/>
  <c r="BE122" i="13" s="1"/>
  <c r="BK121" i="13"/>
  <c r="BI121" i="13"/>
  <c r="BH121" i="13"/>
  <c r="BG121" i="13"/>
  <c r="BF121" i="13"/>
  <c r="AA121" i="13"/>
  <c r="Y121" i="13"/>
  <c r="W121" i="13"/>
  <c r="N121" i="13"/>
  <c r="BE121" i="13" s="1"/>
  <c r="BK120" i="13"/>
  <c r="BI120" i="13"/>
  <c r="BH120" i="13"/>
  <c r="BG120" i="13"/>
  <c r="BF120" i="13"/>
  <c r="AA120" i="13"/>
  <c r="Y120" i="13"/>
  <c r="W120" i="13"/>
  <c r="N120" i="13"/>
  <c r="BK115" i="13"/>
  <c r="BK114" i="13" s="1"/>
  <c r="BI115" i="13"/>
  <c r="BH115" i="13"/>
  <c r="BG115" i="13"/>
  <c r="BF115" i="13"/>
  <c r="AA115" i="13"/>
  <c r="AA114" i="13" s="1"/>
  <c r="Y115" i="13"/>
  <c r="Y114" i="13" s="1"/>
  <c r="W115" i="13"/>
  <c r="W114" i="13" s="1"/>
  <c r="N115" i="13"/>
  <c r="N114" i="13" s="1"/>
  <c r="M109" i="13"/>
  <c r="F109" i="13"/>
  <c r="M108" i="13"/>
  <c r="F108" i="13"/>
  <c r="F106" i="13"/>
  <c r="F104" i="13"/>
  <c r="M84" i="13"/>
  <c r="F84" i="13"/>
  <c r="M83" i="13"/>
  <c r="F83" i="13"/>
  <c r="F81" i="13"/>
  <c r="F79" i="13"/>
  <c r="M28" i="13"/>
  <c r="O9" i="13"/>
  <c r="M106" i="13" s="1"/>
  <c r="F6" i="13"/>
  <c r="F103" i="13" s="1"/>
  <c r="BK181" i="12"/>
  <c r="BI181" i="12"/>
  <c r="BH181" i="12"/>
  <c r="BG181" i="12"/>
  <c r="BF181" i="12"/>
  <c r="AA181" i="12"/>
  <c r="Y181" i="12"/>
  <c r="W181" i="12"/>
  <c r="N181" i="12"/>
  <c r="BE181" i="12" s="1"/>
  <c r="BK180" i="12"/>
  <c r="BI180" i="12"/>
  <c r="BH180" i="12"/>
  <c r="BG180" i="12"/>
  <c r="BF180" i="12"/>
  <c r="AA180" i="12"/>
  <c r="Y180" i="12"/>
  <c r="W180" i="12"/>
  <c r="N180" i="12"/>
  <c r="BE180" i="12" s="1"/>
  <c r="BK179" i="12"/>
  <c r="BI179" i="12"/>
  <c r="BH179" i="12"/>
  <c r="BG179" i="12"/>
  <c r="BF179" i="12"/>
  <c r="AA179" i="12"/>
  <c r="Y179" i="12"/>
  <c r="W179" i="12"/>
  <c r="N179" i="12"/>
  <c r="AA178" i="12"/>
  <c r="BK177" i="12"/>
  <c r="BI177" i="12"/>
  <c r="BH177" i="12"/>
  <c r="BG177" i="12"/>
  <c r="BF177" i="12"/>
  <c r="AA177" i="12"/>
  <c r="Y177" i="12"/>
  <c r="W177" i="12"/>
  <c r="N177" i="12"/>
  <c r="BE177" i="12" s="1"/>
  <c r="BK175" i="12"/>
  <c r="BI175" i="12"/>
  <c r="BH175" i="12"/>
  <c r="BG175" i="12"/>
  <c r="BF175" i="12"/>
  <c r="AA175" i="12"/>
  <c r="Y175" i="12"/>
  <c r="W175" i="12"/>
  <c r="N175" i="12"/>
  <c r="BE175" i="12" s="1"/>
  <c r="BK173" i="12"/>
  <c r="BI173" i="12"/>
  <c r="BH173" i="12"/>
  <c r="BG173" i="12"/>
  <c r="BF173" i="12"/>
  <c r="AA173" i="12"/>
  <c r="Y173" i="12"/>
  <c r="W173" i="12"/>
  <c r="N173" i="12"/>
  <c r="BK171" i="12"/>
  <c r="BI171" i="12"/>
  <c r="BH171" i="12"/>
  <c r="BG171" i="12"/>
  <c r="BF171" i="12"/>
  <c r="AA171" i="12"/>
  <c r="Y171" i="12"/>
  <c r="W171" i="12"/>
  <c r="N171" i="12"/>
  <c r="BE171" i="12" s="1"/>
  <c r="BK170" i="12"/>
  <c r="BI170" i="12"/>
  <c r="BH170" i="12"/>
  <c r="BG170" i="12"/>
  <c r="BF170" i="12"/>
  <c r="AA170" i="12"/>
  <c r="Y170" i="12"/>
  <c r="W170" i="12"/>
  <c r="N170" i="12"/>
  <c r="BE170" i="12" s="1"/>
  <c r="BK169" i="12"/>
  <c r="BI169" i="12"/>
  <c r="BH169" i="12"/>
  <c r="BG169" i="12"/>
  <c r="BF169" i="12"/>
  <c r="AA169" i="12"/>
  <c r="Y169" i="12"/>
  <c r="W169" i="12"/>
  <c r="N169" i="12"/>
  <c r="BE169" i="12" s="1"/>
  <c r="BK168" i="12"/>
  <c r="BI168" i="12"/>
  <c r="BH168" i="12"/>
  <c r="BG168" i="12"/>
  <c r="BF168" i="12"/>
  <c r="AA168" i="12"/>
  <c r="Y168" i="12"/>
  <c r="W168" i="12"/>
  <c r="N168" i="12"/>
  <c r="BE168" i="12" s="1"/>
  <c r="BK167" i="12"/>
  <c r="BI167" i="12"/>
  <c r="BH167" i="12"/>
  <c r="BG167" i="12"/>
  <c r="BF167" i="12"/>
  <c r="AA167" i="12"/>
  <c r="Y167" i="12"/>
  <c r="W167" i="12"/>
  <c r="N167" i="12"/>
  <c r="BE167" i="12" s="1"/>
  <c r="BK166" i="12"/>
  <c r="BI166" i="12"/>
  <c r="BH166" i="12"/>
  <c r="BG166" i="12"/>
  <c r="BF166" i="12"/>
  <c r="AA166" i="12"/>
  <c r="Y166" i="12"/>
  <c r="W166" i="12"/>
  <c r="N166" i="12"/>
  <c r="BE166" i="12" s="1"/>
  <c r="BK165" i="12"/>
  <c r="BI165" i="12"/>
  <c r="BH165" i="12"/>
  <c r="BG165" i="12"/>
  <c r="BF165" i="12"/>
  <c r="AA165" i="12"/>
  <c r="Y165" i="12"/>
  <c r="W165" i="12"/>
  <c r="N165" i="12"/>
  <c r="BE165" i="12" s="1"/>
  <c r="BK163" i="12"/>
  <c r="BI163" i="12"/>
  <c r="BH163" i="12"/>
  <c r="BG163" i="12"/>
  <c r="BF163" i="12"/>
  <c r="AA163" i="12"/>
  <c r="Y163" i="12"/>
  <c r="W163" i="12"/>
  <c r="N163" i="12"/>
  <c r="BE163" i="12" s="1"/>
  <c r="BK160" i="12"/>
  <c r="BI160" i="12"/>
  <c r="BH160" i="12"/>
  <c r="BG160" i="12"/>
  <c r="BF160" i="12"/>
  <c r="AA160" i="12"/>
  <c r="Y160" i="12"/>
  <c r="W160" i="12"/>
  <c r="N160" i="12"/>
  <c r="BE160" i="12" s="1"/>
  <c r="BK157" i="12"/>
  <c r="BI157" i="12"/>
  <c r="BH157" i="12"/>
  <c r="BG157" i="12"/>
  <c r="BF157" i="12"/>
  <c r="AA157" i="12"/>
  <c r="Y157" i="12"/>
  <c r="W157" i="12"/>
  <c r="N157" i="12"/>
  <c r="BE157" i="12" s="1"/>
  <c r="BK156" i="12"/>
  <c r="BI156" i="12"/>
  <c r="BH156" i="12"/>
  <c r="BG156" i="12"/>
  <c r="BF156" i="12"/>
  <c r="AA156" i="12"/>
  <c r="Y156" i="12"/>
  <c r="W156" i="12"/>
  <c r="N156" i="12"/>
  <c r="BE156" i="12" s="1"/>
  <c r="BK154" i="12"/>
  <c r="BI154" i="12"/>
  <c r="BH154" i="12"/>
  <c r="BG154" i="12"/>
  <c r="BF154" i="12"/>
  <c r="AA154" i="12"/>
  <c r="Y154" i="12"/>
  <c r="W154" i="12"/>
  <c r="N154" i="12"/>
  <c r="BK150" i="12"/>
  <c r="BK149" i="12" s="1"/>
  <c r="BI150" i="12"/>
  <c r="BH150" i="12"/>
  <c r="BG150" i="12"/>
  <c r="BF150" i="12"/>
  <c r="AA150" i="12"/>
  <c r="AA149" i="12" s="1"/>
  <c r="Y150" i="12"/>
  <c r="Y149" i="12" s="1"/>
  <c r="W150" i="12"/>
  <c r="W149" i="12" s="1"/>
  <c r="N150" i="12"/>
  <c r="BK148" i="12"/>
  <c r="BI148" i="12"/>
  <c r="BH148" i="12"/>
  <c r="BG148" i="12"/>
  <c r="BF148" i="12"/>
  <c r="AA148" i="12"/>
  <c r="Y148" i="12"/>
  <c r="W148" i="12"/>
  <c r="N148" i="12"/>
  <c r="BE148" i="12" s="1"/>
  <c r="BK144" i="12"/>
  <c r="BI144" i="12"/>
  <c r="BH144" i="12"/>
  <c r="BG144" i="12"/>
  <c r="BF144" i="12"/>
  <c r="AA144" i="12"/>
  <c r="AA143" i="12" s="1"/>
  <c r="Y144" i="12"/>
  <c r="Y143" i="12" s="1"/>
  <c r="W144" i="12"/>
  <c r="N144" i="12"/>
  <c r="BK142" i="12"/>
  <c r="BI142" i="12"/>
  <c r="BH142" i="12"/>
  <c r="BG142" i="12"/>
  <c r="BF142" i="12"/>
  <c r="AA142" i="12"/>
  <c r="Y142" i="12"/>
  <c r="W142" i="12"/>
  <c r="N142" i="12"/>
  <c r="BE142" i="12" s="1"/>
  <c r="BK140" i="12"/>
  <c r="BI140" i="12"/>
  <c r="BH140" i="12"/>
  <c r="BG140" i="12"/>
  <c r="BF140" i="12"/>
  <c r="AA140" i="12"/>
  <c r="Y140" i="12"/>
  <c r="W140" i="12"/>
  <c r="N140" i="12"/>
  <c r="BE140" i="12" s="1"/>
  <c r="BK138" i="12"/>
  <c r="BI138" i="12"/>
  <c r="BH138" i="12"/>
  <c r="BG138" i="12"/>
  <c r="BF138" i="12"/>
  <c r="AA138" i="12"/>
  <c r="Y138" i="12"/>
  <c r="W138" i="12"/>
  <c r="N138" i="12"/>
  <c r="BE138" i="12" s="1"/>
  <c r="BK136" i="12"/>
  <c r="BI136" i="12"/>
  <c r="BH136" i="12"/>
  <c r="BG136" i="12"/>
  <c r="BF136" i="12"/>
  <c r="AA136" i="12"/>
  <c r="Y136" i="12"/>
  <c r="W136" i="12"/>
  <c r="N136" i="12"/>
  <c r="BE136" i="12" s="1"/>
  <c r="BK134" i="12"/>
  <c r="BI134" i="12"/>
  <c r="BH134" i="12"/>
  <c r="BG134" i="12"/>
  <c r="BF134" i="12"/>
  <c r="AA134" i="12"/>
  <c r="Y134" i="12"/>
  <c r="W134" i="12"/>
  <c r="N134" i="12"/>
  <c r="BE134" i="12" s="1"/>
  <c r="BK127" i="12"/>
  <c r="BI127" i="12"/>
  <c r="BH127" i="12"/>
  <c r="BG127" i="12"/>
  <c r="BF127" i="12"/>
  <c r="AA127" i="12"/>
  <c r="Y127" i="12"/>
  <c r="W127" i="12"/>
  <c r="N127" i="12"/>
  <c r="BE127" i="12" s="1"/>
  <c r="BK123" i="12"/>
  <c r="BI123" i="12"/>
  <c r="BH123" i="12"/>
  <c r="BG123" i="12"/>
  <c r="BF123" i="12"/>
  <c r="AA123" i="12"/>
  <c r="Y123" i="12"/>
  <c r="W123" i="12"/>
  <c r="N123" i="12"/>
  <c r="BE123" i="12" s="1"/>
  <c r="BK121" i="12"/>
  <c r="BI121" i="12"/>
  <c r="BH121" i="12"/>
  <c r="BG121" i="12"/>
  <c r="BF121" i="12"/>
  <c r="AA121" i="12"/>
  <c r="Y121" i="12"/>
  <c r="W121" i="12"/>
  <c r="N121" i="12"/>
  <c r="BE121" i="12" s="1"/>
  <c r="BK119" i="12"/>
  <c r="BI119" i="12"/>
  <c r="BH119" i="12"/>
  <c r="BG119" i="12"/>
  <c r="BF119" i="12"/>
  <c r="AA119" i="12"/>
  <c r="Y119" i="12"/>
  <c r="W119" i="12"/>
  <c r="N119" i="12"/>
  <c r="M113" i="12"/>
  <c r="F113" i="12"/>
  <c r="M112" i="12"/>
  <c r="F112" i="12"/>
  <c r="F110" i="12"/>
  <c r="F108" i="12"/>
  <c r="M84" i="12"/>
  <c r="F84" i="12"/>
  <c r="M83" i="12"/>
  <c r="F83" i="12"/>
  <c r="F81" i="12"/>
  <c r="F79" i="12"/>
  <c r="M28" i="12"/>
  <c r="O9" i="12"/>
  <c r="M110" i="12" s="1"/>
  <c r="F6" i="12"/>
  <c r="F107" i="12" s="1"/>
  <c r="BK202" i="11"/>
  <c r="BI202" i="11"/>
  <c r="BH202" i="11"/>
  <c r="BG202" i="11"/>
  <c r="BF202" i="11"/>
  <c r="AA202" i="11"/>
  <c r="AA201" i="11" s="1"/>
  <c r="Y202" i="11"/>
  <c r="Y201" i="11" s="1"/>
  <c r="W202" i="11"/>
  <c r="W201" i="11" s="1"/>
  <c r="N202" i="11"/>
  <c r="BK201" i="11"/>
  <c r="BK200" i="11"/>
  <c r="BK199" i="11" s="1"/>
  <c r="BI200" i="11"/>
  <c r="BH200" i="11"/>
  <c r="BG200" i="11"/>
  <c r="BF200" i="11"/>
  <c r="AA200" i="11"/>
  <c r="AA199" i="11" s="1"/>
  <c r="Y200" i="11"/>
  <c r="Y199" i="11" s="1"/>
  <c r="W200" i="11"/>
  <c r="W199" i="11" s="1"/>
  <c r="N200" i="11"/>
  <c r="BK189" i="11"/>
  <c r="BI189" i="11"/>
  <c r="BH189" i="11"/>
  <c r="BG189" i="11"/>
  <c r="BF189" i="11"/>
  <c r="AA189" i="11"/>
  <c r="Y189" i="11"/>
  <c r="W189" i="11"/>
  <c r="N189" i="11"/>
  <c r="BE189" i="11" s="1"/>
  <c r="BK185" i="11"/>
  <c r="BI185" i="11"/>
  <c r="BH185" i="11"/>
  <c r="BG185" i="11"/>
  <c r="BF185" i="11"/>
  <c r="AA185" i="11"/>
  <c r="Y185" i="11"/>
  <c r="W185" i="11"/>
  <c r="N185" i="11"/>
  <c r="BE185" i="11" s="1"/>
  <c r="BK184" i="11"/>
  <c r="BI184" i="11"/>
  <c r="BH184" i="11"/>
  <c r="BG184" i="11"/>
  <c r="BF184" i="11"/>
  <c r="AA184" i="11"/>
  <c r="Y184" i="11"/>
  <c r="W184" i="11"/>
  <c r="N184" i="11"/>
  <c r="BE184" i="11" s="1"/>
  <c r="BK182" i="11"/>
  <c r="BI182" i="11"/>
  <c r="BH182" i="11"/>
  <c r="BG182" i="11"/>
  <c r="BF182" i="11"/>
  <c r="AA182" i="11"/>
  <c r="Y182" i="11"/>
  <c r="W182" i="11"/>
  <c r="N182" i="11"/>
  <c r="BK179" i="11"/>
  <c r="BI179" i="11"/>
  <c r="BH179" i="11"/>
  <c r="BG179" i="11"/>
  <c r="BF179" i="11"/>
  <c r="AA179" i="11"/>
  <c r="Y179" i="11"/>
  <c r="W179" i="11"/>
  <c r="N179" i="11"/>
  <c r="BE179" i="11" s="1"/>
  <c r="BK178" i="11"/>
  <c r="BI178" i="11"/>
  <c r="BH178" i="11"/>
  <c r="BG178" i="11"/>
  <c r="BF178" i="11"/>
  <c r="AA178" i="11"/>
  <c r="Y178" i="11"/>
  <c r="W178" i="11"/>
  <c r="N178" i="11"/>
  <c r="BE178" i="11" s="1"/>
  <c r="BK177" i="11"/>
  <c r="BI177" i="11"/>
  <c r="BH177" i="11"/>
  <c r="BG177" i="11"/>
  <c r="BF177" i="11"/>
  <c r="AA177" i="11"/>
  <c r="Y177" i="11"/>
  <c r="W177" i="11"/>
  <c r="N177" i="11"/>
  <c r="BK172" i="11"/>
  <c r="BI172" i="11"/>
  <c r="BH172" i="11"/>
  <c r="BG172" i="11"/>
  <c r="BF172" i="11"/>
  <c r="AA172" i="11"/>
  <c r="Y172" i="11"/>
  <c r="W172" i="11"/>
  <c r="N172" i="11"/>
  <c r="BE172" i="11" s="1"/>
  <c r="BK167" i="11"/>
  <c r="BI167" i="11"/>
  <c r="BH167" i="11"/>
  <c r="BG167" i="11"/>
  <c r="BF167" i="11"/>
  <c r="AA167" i="11"/>
  <c r="Y167" i="11"/>
  <c r="W167" i="11"/>
  <c r="N167" i="11"/>
  <c r="BK163" i="11"/>
  <c r="BI163" i="11"/>
  <c r="BH163" i="11"/>
  <c r="BG163" i="11"/>
  <c r="BF163" i="11"/>
  <c r="AA163" i="11"/>
  <c r="Y163" i="11"/>
  <c r="W163" i="11"/>
  <c r="N163" i="11"/>
  <c r="BK161" i="11"/>
  <c r="BI161" i="11"/>
  <c r="BH161" i="11"/>
  <c r="BG161" i="11"/>
  <c r="BF161" i="11"/>
  <c r="AA161" i="11"/>
  <c r="Y161" i="11"/>
  <c r="W161" i="11"/>
  <c r="N161" i="11"/>
  <c r="BE161" i="11" s="1"/>
  <c r="BK160" i="11"/>
  <c r="BI160" i="11"/>
  <c r="BH160" i="11"/>
  <c r="BG160" i="11"/>
  <c r="BF160" i="11"/>
  <c r="AA160" i="11"/>
  <c r="Y160" i="11"/>
  <c r="W160" i="11"/>
  <c r="N160" i="11"/>
  <c r="BK156" i="11"/>
  <c r="BK155" i="11" s="1"/>
  <c r="BI156" i="11"/>
  <c r="BH156" i="11"/>
  <c r="BG156" i="11"/>
  <c r="BF156" i="11"/>
  <c r="AA156" i="11"/>
  <c r="AA155" i="11" s="1"/>
  <c r="Y156" i="11"/>
  <c r="Y155" i="11" s="1"/>
  <c r="W156" i="11"/>
  <c r="W155" i="11" s="1"/>
  <c r="BK151" i="11"/>
  <c r="BI151" i="11"/>
  <c r="BH151" i="11"/>
  <c r="BG151" i="11"/>
  <c r="BF151" i="11"/>
  <c r="AA151" i="11"/>
  <c r="Y151" i="11"/>
  <c r="W151" i="11"/>
  <c r="N151" i="11"/>
  <c r="BE151" i="11" s="1"/>
  <c r="BK150" i="11"/>
  <c r="BI150" i="11"/>
  <c r="BH150" i="11"/>
  <c r="BG150" i="11"/>
  <c r="BF150" i="11"/>
  <c r="AA150" i="11"/>
  <c r="Y150" i="11"/>
  <c r="W150" i="11"/>
  <c r="N150" i="11"/>
  <c r="N149" i="11" s="1"/>
  <c r="BK148" i="11"/>
  <c r="BI148" i="11"/>
  <c r="BH148" i="11"/>
  <c r="BG148" i="11"/>
  <c r="BF148" i="11"/>
  <c r="AA148" i="11"/>
  <c r="Y148" i="11"/>
  <c r="W148" i="11"/>
  <c r="N148" i="11"/>
  <c r="BE148" i="11" s="1"/>
  <c r="BK146" i="11"/>
  <c r="BI146" i="11"/>
  <c r="BH146" i="11"/>
  <c r="BG146" i="11"/>
  <c r="BF146" i="11"/>
  <c r="AA146" i="11"/>
  <c r="Y146" i="11"/>
  <c r="W146" i="11"/>
  <c r="N146" i="11"/>
  <c r="BE146" i="11" s="1"/>
  <c r="BK144" i="11"/>
  <c r="BI144" i="11"/>
  <c r="BH144" i="11"/>
  <c r="BG144" i="11"/>
  <c r="BF144" i="11"/>
  <c r="AA144" i="11"/>
  <c r="Y144" i="11"/>
  <c r="W144" i="11"/>
  <c r="N144" i="11"/>
  <c r="BE144" i="11" s="1"/>
  <c r="BK138" i="11"/>
  <c r="BI138" i="11"/>
  <c r="BH138" i="11"/>
  <c r="BG138" i="11"/>
  <c r="BF138" i="11"/>
  <c r="AA138" i="11"/>
  <c r="Y138" i="11"/>
  <c r="W138" i="11"/>
  <c r="N138" i="11"/>
  <c r="BE138" i="11" s="1"/>
  <c r="BK136" i="11"/>
  <c r="BI136" i="11"/>
  <c r="BH136" i="11"/>
  <c r="BG136" i="11"/>
  <c r="BF136" i="11"/>
  <c r="AA136" i="11"/>
  <c r="Y136" i="11"/>
  <c r="W136" i="11"/>
  <c r="N136" i="11"/>
  <c r="BE136" i="11" s="1"/>
  <c r="BK134" i="11"/>
  <c r="BI134" i="11"/>
  <c r="BH134" i="11"/>
  <c r="BG134" i="11"/>
  <c r="BF134" i="11"/>
  <c r="AA134" i="11"/>
  <c r="Y134" i="11"/>
  <c r="W134" i="11"/>
  <c r="N134" i="11"/>
  <c r="M117" i="11"/>
  <c r="F117" i="11"/>
  <c r="M116" i="11"/>
  <c r="F116" i="11"/>
  <c r="F114" i="11"/>
  <c r="F112" i="11"/>
  <c r="M84" i="11"/>
  <c r="F84" i="11"/>
  <c r="M83" i="11"/>
  <c r="F83" i="11"/>
  <c r="F81" i="11"/>
  <c r="F79" i="11"/>
  <c r="M28" i="11"/>
  <c r="O9" i="11"/>
  <c r="M114" i="11" s="1"/>
  <c r="F6" i="11"/>
  <c r="F111" i="11" s="1"/>
  <c r="BK197" i="10"/>
  <c r="BK196" i="10" s="1"/>
  <c r="BI197" i="10"/>
  <c r="BH197" i="10"/>
  <c r="BG197" i="10"/>
  <c r="BF197" i="10"/>
  <c r="AA197" i="10"/>
  <c r="Y197" i="10"/>
  <c r="Y196" i="10" s="1"/>
  <c r="W197" i="10"/>
  <c r="W196" i="10" s="1"/>
  <c r="N197" i="10"/>
  <c r="AA196" i="10"/>
  <c r="BK195" i="10"/>
  <c r="BK194" i="10" s="1"/>
  <c r="BI195" i="10"/>
  <c r="BH195" i="10"/>
  <c r="BG195" i="10"/>
  <c r="BF195" i="10"/>
  <c r="AA195" i="10"/>
  <c r="AA194" i="10" s="1"/>
  <c r="Y195" i="10"/>
  <c r="Y194" i="10" s="1"/>
  <c r="W195" i="10"/>
  <c r="W194" i="10" s="1"/>
  <c r="N195" i="10"/>
  <c r="BK193" i="10"/>
  <c r="BK192" i="10" s="1"/>
  <c r="BI193" i="10"/>
  <c r="BH193" i="10"/>
  <c r="BG193" i="10"/>
  <c r="BF193" i="10"/>
  <c r="AA193" i="10"/>
  <c r="AA192" i="10" s="1"/>
  <c r="Y193" i="10"/>
  <c r="Y192" i="10" s="1"/>
  <c r="W193" i="10"/>
  <c r="N193" i="10"/>
  <c r="W192" i="10"/>
  <c r="BK190" i="10"/>
  <c r="BI190" i="10"/>
  <c r="BH190" i="10"/>
  <c r="BG190" i="10"/>
  <c r="BF190" i="10"/>
  <c r="AA190" i="10"/>
  <c r="Y190" i="10"/>
  <c r="W190" i="10"/>
  <c r="N190" i="10"/>
  <c r="BE190" i="10" s="1"/>
  <c r="BK188" i="10"/>
  <c r="BI188" i="10"/>
  <c r="BH188" i="10"/>
  <c r="BG188" i="10"/>
  <c r="BF188" i="10"/>
  <c r="AA188" i="10"/>
  <c r="Y188" i="10"/>
  <c r="W188" i="10"/>
  <c r="N188" i="10"/>
  <c r="BK186" i="10"/>
  <c r="BK185" i="10" s="1"/>
  <c r="BI186" i="10"/>
  <c r="BH186" i="10"/>
  <c r="BG186" i="10"/>
  <c r="BF186" i="10"/>
  <c r="AA186" i="10"/>
  <c r="AA185" i="10" s="1"/>
  <c r="Y186" i="10"/>
  <c r="Y185" i="10" s="1"/>
  <c r="W186" i="10"/>
  <c r="W185" i="10" s="1"/>
  <c r="N186" i="10"/>
  <c r="BK183" i="10"/>
  <c r="BI183" i="10"/>
  <c r="BH183" i="10"/>
  <c r="BG183" i="10"/>
  <c r="BF183" i="10"/>
  <c r="AA183" i="10"/>
  <c r="Y183" i="10"/>
  <c r="W183" i="10"/>
  <c r="N183" i="10"/>
  <c r="BE183" i="10" s="1"/>
  <c r="BK181" i="10"/>
  <c r="BI181" i="10"/>
  <c r="BH181" i="10"/>
  <c r="BG181" i="10"/>
  <c r="BF181" i="10"/>
  <c r="AA181" i="10"/>
  <c r="Y181" i="10"/>
  <c r="W181" i="10"/>
  <c r="N181" i="10"/>
  <c r="BE181" i="10" s="1"/>
  <c r="BK180" i="10"/>
  <c r="BI180" i="10"/>
  <c r="BH180" i="10"/>
  <c r="BG180" i="10"/>
  <c r="BF180" i="10"/>
  <c r="AA180" i="10"/>
  <c r="Y180" i="10"/>
  <c r="W180" i="10"/>
  <c r="N180" i="10"/>
  <c r="BK177" i="10"/>
  <c r="BI177" i="10"/>
  <c r="BH177" i="10"/>
  <c r="BG177" i="10"/>
  <c r="BF177" i="10"/>
  <c r="AA177" i="10"/>
  <c r="Y177" i="10"/>
  <c r="W177" i="10"/>
  <c r="N177" i="10"/>
  <c r="BE177" i="10" s="1"/>
  <c r="BK175" i="10"/>
  <c r="BI175" i="10"/>
  <c r="BH175" i="10"/>
  <c r="BG175" i="10"/>
  <c r="BF175" i="10"/>
  <c r="AA175" i="10"/>
  <c r="Y175" i="10"/>
  <c r="W175" i="10"/>
  <c r="N175" i="10"/>
  <c r="BE175" i="10" s="1"/>
  <c r="BK171" i="10"/>
  <c r="BI171" i="10"/>
  <c r="BH171" i="10"/>
  <c r="BG171" i="10"/>
  <c r="BF171" i="10"/>
  <c r="AA171" i="10"/>
  <c r="Y171" i="10"/>
  <c r="W171" i="10"/>
  <c r="N171" i="10"/>
  <c r="BE171" i="10" s="1"/>
  <c r="BK163" i="10"/>
  <c r="BI163" i="10"/>
  <c r="BH163" i="10"/>
  <c r="BG163" i="10"/>
  <c r="BF163" i="10"/>
  <c r="AA163" i="10"/>
  <c r="Y163" i="10"/>
  <c r="W163" i="10"/>
  <c r="N163" i="10"/>
  <c r="BK160" i="10"/>
  <c r="BI160" i="10"/>
  <c r="BH160" i="10"/>
  <c r="BG160" i="10"/>
  <c r="BF160" i="10"/>
  <c r="AA160" i="10"/>
  <c r="AA157" i="10" s="1"/>
  <c r="Y160" i="10"/>
  <c r="W160" i="10"/>
  <c r="N160" i="10"/>
  <c r="BE160" i="10" s="1"/>
  <c r="BK158" i="10"/>
  <c r="BI158" i="10"/>
  <c r="BH158" i="10"/>
  <c r="BG158" i="10"/>
  <c r="BF158" i="10"/>
  <c r="AA158" i="10"/>
  <c r="Y158" i="10"/>
  <c r="Y157" i="10" s="1"/>
  <c r="W158" i="10"/>
  <c r="N158" i="10"/>
  <c r="BK153" i="10"/>
  <c r="BK152" i="10" s="1"/>
  <c r="BI153" i="10"/>
  <c r="BH153" i="10"/>
  <c r="BG153" i="10"/>
  <c r="BF153" i="10"/>
  <c r="AA153" i="10"/>
  <c r="AA152" i="10" s="1"/>
  <c r="Y153" i="10"/>
  <c r="Y152" i="10" s="1"/>
  <c r="W153" i="10"/>
  <c r="W152" i="10" s="1"/>
  <c r="N153" i="10"/>
  <c r="BK151" i="10"/>
  <c r="BI151" i="10"/>
  <c r="BH151" i="10"/>
  <c r="BG151" i="10"/>
  <c r="BF151" i="10"/>
  <c r="AA151" i="10"/>
  <c r="Y151" i="10"/>
  <c r="W151" i="10"/>
  <c r="N151" i="10"/>
  <c r="BE151" i="10" s="1"/>
  <c r="BK149" i="10"/>
  <c r="BI149" i="10"/>
  <c r="BH149" i="10"/>
  <c r="BG149" i="10"/>
  <c r="BF149" i="10"/>
  <c r="AA149" i="10"/>
  <c r="Y149" i="10"/>
  <c r="W149" i="10"/>
  <c r="N149" i="10"/>
  <c r="BE149" i="10" s="1"/>
  <c r="BK147" i="10"/>
  <c r="BI147" i="10"/>
  <c r="BH147" i="10"/>
  <c r="BG147" i="10"/>
  <c r="BF147" i="10"/>
  <c r="AA147" i="10"/>
  <c r="Y147" i="10"/>
  <c r="W147" i="10"/>
  <c r="N147" i="10"/>
  <c r="BE147" i="10" s="1"/>
  <c r="BK145" i="10"/>
  <c r="BI145" i="10"/>
  <c r="BH145" i="10"/>
  <c r="BG145" i="10"/>
  <c r="BF145" i="10"/>
  <c r="AA145" i="10"/>
  <c r="Y145" i="10"/>
  <c r="W145" i="10"/>
  <c r="N145" i="10"/>
  <c r="BE145" i="10" s="1"/>
  <c r="BK137" i="10"/>
  <c r="BI137" i="10"/>
  <c r="BH137" i="10"/>
  <c r="BG137" i="10"/>
  <c r="BF137" i="10"/>
  <c r="AA137" i="10"/>
  <c r="Y137" i="10"/>
  <c r="W137" i="10"/>
  <c r="N137" i="10"/>
  <c r="BE137" i="10" s="1"/>
  <c r="BK143" i="10"/>
  <c r="BI143" i="10"/>
  <c r="BH143" i="10"/>
  <c r="BG143" i="10"/>
  <c r="BF143" i="10"/>
  <c r="AA143" i="10"/>
  <c r="Y143" i="10"/>
  <c r="W143" i="10"/>
  <c r="N143" i="10"/>
  <c r="BE143" i="10" s="1"/>
  <c r="BK130" i="10"/>
  <c r="BI130" i="10"/>
  <c r="BH130" i="10"/>
  <c r="BG130" i="10"/>
  <c r="BF130" i="10"/>
  <c r="AA130" i="10"/>
  <c r="Y130" i="10"/>
  <c r="W130" i="10"/>
  <c r="N130" i="10"/>
  <c r="BE130" i="10" s="1"/>
  <c r="BK128" i="10"/>
  <c r="BI128" i="10"/>
  <c r="BH128" i="10"/>
  <c r="BG128" i="10"/>
  <c r="BF128" i="10"/>
  <c r="AA128" i="10"/>
  <c r="Y128" i="10"/>
  <c r="W128" i="10"/>
  <c r="N128" i="10"/>
  <c r="BE128" i="10" s="1"/>
  <c r="BK126" i="10"/>
  <c r="BI126" i="10"/>
  <c r="BH126" i="10"/>
  <c r="BG126" i="10"/>
  <c r="BF126" i="10"/>
  <c r="AA126" i="10"/>
  <c r="Y126" i="10"/>
  <c r="W126" i="10"/>
  <c r="N126" i="10"/>
  <c r="M118" i="10"/>
  <c r="F118" i="10"/>
  <c r="M117" i="10"/>
  <c r="F117" i="10"/>
  <c r="F115" i="10"/>
  <c r="F113" i="10"/>
  <c r="M84" i="10"/>
  <c r="F84" i="10"/>
  <c r="M83" i="10"/>
  <c r="F83" i="10"/>
  <c r="F81" i="10"/>
  <c r="F79" i="10"/>
  <c r="M28" i="10"/>
  <c r="O9" i="10"/>
  <c r="M115" i="10" s="1"/>
  <c r="F6" i="10"/>
  <c r="F112" i="10" s="1"/>
  <c r="BK204" i="8"/>
  <c r="BK203" i="8" s="1"/>
  <c r="BI204" i="8"/>
  <c r="BH204" i="8"/>
  <c r="BG204" i="8"/>
  <c r="BF204" i="8"/>
  <c r="AA204" i="8"/>
  <c r="Y204" i="8"/>
  <c r="W204" i="8"/>
  <c r="W203" i="8" s="1"/>
  <c r="N204" i="8"/>
  <c r="AA203" i="8"/>
  <c r="Y203" i="8"/>
  <c r="BK202" i="8"/>
  <c r="BK201" i="8" s="1"/>
  <c r="BI202" i="8"/>
  <c r="BH202" i="8"/>
  <c r="BG202" i="8"/>
  <c r="BF202" i="8"/>
  <c r="AA202" i="8"/>
  <c r="AA201" i="8" s="1"/>
  <c r="Y202" i="8"/>
  <c r="W202" i="8"/>
  <c r="N202" i="8"/>
  <c r="N201" i="8" s="1"/>
  <c r="Y201" i="8"/>
  <c r="W201" i="8"/>
  <c r="BK199" i="8"/>
  <c r="BI199" i="8"/>
  <c r="BH199" i="8"/>
  <c r="BG199" i="8"/>
  <c r="BF199" i="8"/>
  <c r="AA199" i="8"/>
  <c r="Y199" i="8"/>
  <c r="W199" i="8"/>
  <c r="N199" i="8"/>
  <c r="BE199" i="8" s="1"/>
  <c r="BK197" i="8"/>
  <c r="BI197" i="8"/>
  <c r="BH197" i="8"/>
  <c r="BG197" i="8"/>
  <c r="BF197" i="8"/>
  <c r="AA197" i="8"/>
  <c r="Y197" i="8"/>
  <c r="W197" i="8"/>
  <c r="N197" i="8"/>
  <c r="BK194" i="8"/>
  <c r="BK193" i="8" s="1"/>
  <c r="BI194" i="8"/>
  <c r="BH194" i="8"/>
  <c r="BG194" i="8"/>
  <c r="BF194" i="8"/>
  <c r="AA194" i="8"/>
  <c r="AA193" i="8" s="1"/>
  <c r="Y194" i="8"/>
  <c r="Y193" i="8" s="1"/>
  <c r="W194" i="8"/>
  <c r="W193" i="8" s="1"/>
  <c r="N194" i="8"/>
  <c r="BK192" i="8"/>
  <c r="BI192" i="8"/>
  <c r="BH192" i="8"/>
  <c r="BG192" i="8"/>
  <c r="BF192" i="8"/>
  <c r="AA192" i="8"/>
  <c r="Y192" i="8"/>
  <c r="W192" i="8"/>
  <c r="N192" i="8"/>
  <c r="BE192" i="8" s="1"/>
  <c r="BK191" i="8"/>
  <c r="BI191" i="8"/>
  <c r="BH191" i="8"/>
  <c r="BG191" i="8"/>
  <c r="BF191" i="8"/>
  <c r="AA191" i="8"/>
  <c r="Y191" i="8"/>
  <c r="Y190" i="8" s="1"/>
  <c r="W191" i="8"/>
  <c r="N191" i="8"/>
  <c r="BK189" i="8"/>
  <c r="BK188" i="8" s="1"/>
  <c r="BI189" i="8"/>
  <c r="BH189" i="8"/>
  <c r="BG189" i="8"/>
  <c r="BF189" i="8"/>
  <c r="AA189" i="8"/>
  <c r="AA188" i="8" s="1"/>
  <c r="Y189" i="8"/>
  <c r="Y188" i="8" s="1"/>
  <c r="W189" i="8"/>
  <c r="W188" i="8" s="1"/>
  <c r="N189" i="8"/>
  <c r="BK178" i="8"/>
  <c r="BI178" i="8"/>
  <c r="BH178" i="8"/>
  <c r="BG178" i="8"/>
  <c r="BF178" i="8"/>
  <c r="AA178" i="8"/>
  <c r="Y178" i="8"/>
  <c r="W178" i="8"/>
  <c r="N178" i="8"/>
  <c r="BE178" i="8" s="1"/>
  <c r="BK174" i="8"/>
  <c r="BI174" i="8"/>
  <c r="BH174" i="8"/>
  <c r="BG174" i="8"/>
  <c r="BF174" i="8"/>
  <c r="AA174" i="8"/>
  <c r="Y174" i="8"/>
  <c r="W174" i="8"/>
  <c r="N174" i="8"/>
  <c r="BE174" i="8" s="1"/>
  <c r="BK173" i="8"/>
  <c r="BI173" i="8"/>
  <c r="BH173" i="8"/>
  <c r="BG173" i="8"/>
  <c r="BF173" i="8"/>
  <c r="AA173" i="8"/>
  <c r="Y173" i="8"/>
  <c r="W173" i="8"/>
  <c r="N173" i="8"/>
  <c r="BE173" i="8" s="1"/>
  <c r="BK171" i="8"/>
  <c r="BI171" i="8"/>
  <c r="BH171" i="8"/>
  <c r="BG171" i="8"/>
  <c r="BF171" i="8"/>
  <c r="AA171" i="8"/>
  <c r="Y171" i="8"/>
  <c r="W171" i="8"/>
  <c r="N171" i="8"/>
  <c r="BK168" i="8"/>
  <c r="BI168" i="8"/>
  <c r="BH168" i="8"/>
  <c r="BG168" i="8"/>
  <c r="BF168" i="8"/>
  <c r="AA168" i="8"/>
  <c r="Y168" i="8"/>
  <c r="W168" i="8"/>
  <c r="N168" i="8"/>
  <c r="BE168" i="8" s="1"/>
  <c r="BK167" i="8"/>
  <c r="BI167" i="8"/>
  <c r="BH167" i="8"/>
  <c r="BG167" i="8"/>
  <c r="BF167" i="8"/>
  <c r="AA167" i="8"/>
  <c r="Y167" i="8"/>
  <c r="W167" i="8"/>
  <c r="BE167" i="8"/>
  <c r="BK166" i="8"/>
  <c r="BI166" i="8"/>
  <c r="BH166" i="8"/>
  <c r="BG166" i="8"/>
  <c r="BF166" i="8"/>
  <c r="AA166" i="8"/>
  <c r="Y166" i="8"/>
  <c r="W166" i="8"/>
  <c r="N166" i="8"/>
  <c r="BE166" i="8" s="1"/>
  <c r="BK165" i="8"/>
  <c r="BI165" i="8"/>
  <c r="BH165" i="8"/>
  <c r="BG165" i="8"/>
  <c r="BF165" i="8"/>
  <c r="AA165" i="8"/>
  <c r="Y165" i="8"/>
  <c r="W165" i="8"/>
  <c r="N165" i="8"/>
  <c r="BK162" i="8"/>
  <c r="BI162" i="8"/>
  <c r="BH162" i="8"/>
  <c r="BG162" i="8"/>
  <c r="BF162" i="8"/>
  <c r="AA162" i="8"/>
  <c r="Y162" i="8"/>
  <c r="W162" i="8"/>
  <c r="N162" i="8"/>
  <c r="BE162" i="8" s="1"/>
  <c r="BK161" i="8"/>
  <c r="BI161" i="8"/>
  <c r="BH161" i="8"/>
  <c r="BG161" i="8"/>
  <c r="BF161" i="8"/>
  <c r="AA161" i="8"/>
  <c r="Y161" i="8"/>
  <c r="W161" i="8"/>
  <c r="N161" i="8"/>
  <c r="BE161" i="8" s="1"/>
  <c r="BK159" i="8"/>
  <c r="BI159" i="8"/>
  <c r="BH159" i="8"/>
  <c r="BG159" i="8"/>
  <c r="BF159" i="8"/>
  <c r="AA159" i="8"/>
  <c r="Y159" i="8"/>
  <c r="W159" i="8"/>
  <c r="N159" i="8"/>
  <c r="BE159" i="8" s="1"/>
  <c r="BK158" i="8"/>
  <c r="BI158" i="8"/>
  <c r="BH158" i="8"/>
  <c r="BG158" i="8"/>
  <c r="BF158" i="8"/>
  <c r="AA158" i="8"/>
  <c r="Y158" i="8"/>
  <c r="W158" i="8"/>
  <c r="N158" i="8"/>
  <c r="BK156" i="8"/>
  <c r="BI156" i="8"/>
  <c r="BH156" i="8"/>
  <c r="BG156" i="8"/>
  <c r="BF156" i="8"/>
  <c r="AA156" i="8"/>
  <c r="Y156" i="8"/>
  <c r="W156" i="8"/>
  <c r="N156" i="8"/>
  <c r="BE156" i="8" s="1"/>
  <c r="BK155" i="8"/>
  <c r="BI155" i="8"/>
  <c r="BH155" i="8"/>
  <c r="BG155" i="8"/>
  <c r="BF155" i="8"/>
  <c r="AA155" i="8"/>
  <c r="Y155" i="8"/>
  <c r="W155" i="8"/>
  <c r="N155" i="8"/>
  <c r="Y154" i="8"/>
  <c r="BK151" i="8"/>
  <c r="BK150" i="8" s="1"/>
  <c r="BI151" i="8"/>
  <c r="BH151" i="8"/>
  <c r="BG151" i="8"/>
  <c r="BF151" i="8"/>
  <c r="AA151" i="8"/>
  <c r="AA150" i="8" s="1"/>
  <c r="Y151" i="8"/>
  <c r="Y150" i="8" s="1"/>
  <c r="W151" i="8"/>
  <c r="W150" i="8" s="1"/>
  <c r="N151" i="8"/>
  <c r="N150" i="8" s="1"/>
  <c r="BK148" i="8"/>
  <c r="BK147" i="8" s="1"/>
  <c r="BI148" i="8"/>
  <c r="BH148" i="8"/>
  <c r="BG148" i="8"/>
  <c r="BF148" i="8"/>
  <c r="AA148" i="8"/>
  <c r="AA147" i="8" s="1"/>
  <c r="Y148" i="8"/>
  <c r="Y147" i="8" s="1"/>
  <c r="W148" i="8"/>
  <c r="W147" i="8" s="1"/>
  <c r="N148" i="8"/>
  <c r="BK146" i="8"/>
  <c r="BI146" i="8"/>
  <c r="BH146" i="8"/>
  <c r="BG146" i="8"/>
  <c r="BF146" i="8"/>
  <c r="AA146" i="8"/>
  <c r="Y146" i="8"/>
  <c r="W146" i="8"/>
  <c r="N146" i="8"/>
  <c r="BE146" i="8" s="1"/>
  <c r="BK142" i="8"/>
  <c r="BI142" i="8"/>
  <c r="BH142" i="8"/>
  <c r="BG142" i="8"/>
  <c r="BF142" i="8"/>
  <c r="AA142" i="8"/>
  <c r="Y142" i="8"/>
  <c r="W142" i="8"/>
  <c r="N142" i="8"/>
  <c r="BE142" i="8" s="1"/>
  <c r="BK138" i="8"/>
  <c r="BI138" i="8"/>
  <c r="BH138" i="8"/>
  <c r="BG138" i="8"/>
  <c r="BF138" i="8"/>
  <c r="AA138" i="8"/>
  <c r="Y138" i="8"/>
  <c r="W138" i="8"/>
  <c r="N138" i="8"/>
  <c r="BE138" i="8" s="1"/>
  <c r="BK135" i="8"/>
  <c r="BI135" i="8"/>
  <c r="BH135" i="8"/>
  <c r="BG135" i="8"/>
  <c r="BF135" i="8"/>
  <c r="AA135" i="8"/>
  <c r="Y135" i="8"/>
  <c r="W135" i="8"/>
  <c r="N135" i="8"/>
  <c r="BE135" i="8" s="1"/>
  <c r="BK132" i="8"/>
  <c r="BI132" i="8"/>
  <c r="BH132" i="8"/>
  <c r="BG132" i="8"/>
  <c r="BF132" i="8"/>
  <c r="AA132" i="8"/>
  <c r="Y132" i="8"/>
  <c r="W132" i="8"/>
  <c r="N132" i="8"/>
  <c r="BE132" i="8" s="1"/>
  <c r="BK127" i="8"/>
  <c r="BI127" i="8"/>
  <c r="BH127" i="8"/>
  <c r="BG127" i="8"/>
  <c r="BF127" i="8"/>
  <c r="AA127" i="8"/>
  <c r="Y127" i="8"/>
  <c r="W127" i="8"/>
  <c r="N127" i="8"/>
  <c r="M121" i="8"/>
  <c r="F121" i="8"/>
  <c r="M120" i="8"/>
  <c r="F120" i="8"/>
  <c r="F118" i="8"/>
  <c r="F116" i="8"/>
  <c r="N102" i="8"/>
  <c r="M84" i="8"/>
  <c r="F84" i="8"/>
  <c r="M83" i="8"/>
  <c r="F83" i="8"/>
  <c r="F81" i="8"/>
  <c r="F79" i="8"/>
  <c r="M28" i="8"/>
  <c r="O9" i="8"/>
  <c r="M118" i="8" s="1"/>
  <c r="F6" i="8"/>
  <c r="F115" i="8" s="1"/>
  <c r="AA162" i="10" l="1"/>
  <c r="Y187" i="10"/>
  <c r="W157" i="10"/>
  <c r="Y162" i="10"/>
  <c r="AA179" i="10"/>
  <c r="W143" i="12"/>
  <c r="Y178" i="12"/>
  <c r="W178" i="12"/>
  <c r="BK162" i="11"/>
  <c r="BE167" i="11"/>
  <c r="N162" i="11"/>
  <c r="BK157" i="8"/>
  <c r="BK196" i="8"/>
  <c r="BK154" i="8"/>
  <c r="BK162" i="10"/>
  <c r="BK179" i="10"/>
  <c r="BK187" i="10"/>
  <c r="BK157" i="10"/>
  <c r="BE154" i="12"/>
  <c r="N152" i="12"/>
  <c r="BE173" i="12"/>
  <c r="N172" i="12"/>
  <c r="BE179" i="12"/>
  <c r="N178" i="12"/>
  <c r="M33" i="12"/>
  <c r="AA149" i="11"/>
  <c r="Y195" i="11"/>
  <c r="W149" i="11"/>
  <c r="Y159" i="11"/>
  <c r="BE163" i="11"/>
  <c r="N94" i="11"/>
  <c r="BE202" i="11"/>
  <c r="N201" i="11"/>
  <c r="N99" i="11" s="1"/>
  <c r="BE177" i="11"/>
  <c r="N176" i="11"/>
  <c r="BK176" i="11"/>
  <c r="Y162" i="11"/>
  <c r="AA176" i="11"/>
  <c r="BE182" i="11"/>
  <c r="N181" i="11"/>
  <c r="BE200" i="11"/>
  <c r="N199" i="11"/>
  <c r="N98" i="11" s="1"/>
  <c r="BK195" i="11"/>
  <c r="AA157" i="8"/>
  <c r="W157" i="8"/>
  <c r="AA154" i="8"/>
  <c r="W190" i="8"/>
  <c r="W184" i="8" s="1"/>
  <c r="BE180" i="10"/>
  <c r="N179" i="10"/>
  <c r="N94" i="10" s="1"/>
  <c r="BE186" i="10"/>
  <c r="N185" i="10"/>
  <c r="N96" i="10" s="1"/>
  <c r="BE195" i="10"/>
  <c r="N194" i="10"/>
  <c r="N99" i="10" s="1"/>
  <c r="W123" i="10"/>
  <c r="BE158" i="10"/>
  <c r="N157" i="10"/>
  <c r="N92" i="10" s="1"/>
  <c r="Y179" i="10"/>
  <c r="BE188" i="10"/>
  <c r="N187" i="10"/>
  <c r="BE153" i="10"/>
  <c r="N152" i="10"/>
  <c r="N91" i="10" s="1"/>
  <c r="BE163" i="10"/>
  <c r="N162" i="10"/>
  <c r="N93" i="10" s="1"/>
  <c r="BE197" i="10"/>
  <c r="N196" i="10"/>
  <c r="N100" i="10" s="1"/>
  <c r="BE126" i="10"/>
  <c r="N90" i="10"/>
  <c r="M33" i="10"/>
  <c r="BK123" i="10"/>
  <c r="AA123" i="10"/>
  <c r="W179" i="10"/>
  <c r="BE193" i="10"/>
  <c r="N192" i="10"/>
  <c r="N98" i="10" s="1"/>
  <c r="BE115" i="13"/>
  <c r="N113" i="13"/>
  <c r="N112" i="13" s="1"/>
  <c r="BE120" i="13"/>
  <c r="H32" i="13" s="1"/>
  <c r="M81" i="10"/>
  <c r="Y119" i="13"/>
  <c r="M81" i="13"/>
  <c r="AA119" i="13"/>
  <c r="AA113" i="13" s="1"/>
  <c r="AA112" i="13" s="1"/>
  <c r="BK119" i="13"/>
  <c r="N91" i="13" s="1"/>
  <c r="W119" i="13"/>
  <c r="W113" i="13" s="1"/>
  <c r="W112" i="13" s="1"/>
  <c r="H36" i="13"/>
  <c r="M33" i="13"/>
  <c r="H34" i="13"/>
  <c r="H35" i="13"/>
  <c r="H33" i="13"/>
  <c r="BK152" i="12"/>
  <c r="N93" i="12" s="1"/>
  <c r="BE119" i="12"/>
  <c r="N118" i="12"/>
  <c r="W118" i="12"/>
  <c r="H33" i="12"/>
  <c r="BK118" i="12"/>
  <c r="Y118" i="12"/>
  <c r="BE150" i="12"/>
  <c r="N149" i="12"/>
  <c r="N92" i="12" s="1"/>
  <c r="W152" i="12"/>
  <c r="BK178" i="12"/>
  <c r="Y172" i="12"/>
  <c r="BE144" i="12"/>
  <c r="M32" i="12" s="1"/>
  <c r="N143" i="12"/>
  <c r="BK143" i="12"/>
  <c r="N91" i="12" s="1"/>
  <c r="AA152" i="12"/>
  <c r="W172" i="12"/>
  <c r="W117" i="12" s="1"/>
  <c r="W116" i="12" s="1"/>
  <c r="BK172" i="12"/>
  <c r="H35" i="12"/>
  <c r="AA118" i="12"/>
  <c r="H34" i="12"/>
  <c r="AA172" i="12"/>
  <c r="M81" i="12"/>
  <c r="H36" i="12"/>
  <c r="Y152" i="12"/>
  <c r="W159" i="11"/>
  <c r="W195" i="11"/>
  <c r="BK149" i="11"/>
  <c r="BE150" i="11"/>
  <c r="N91" i="11"/>
  <c r="BE156" i="11"/>
  <c r="N92" i="11"/>
  <c r="BK181" i="11"/>
  <c r="BK180" i="11" s="1"/>
  <c r="AA181" i="11"/>
  <c r="AA180" i="11" s="1"/>
  <c r="BE134" i="11"/>
  <c r="N122" i="11"/>
  <c r="N90" i="11" s="1"/>
  <c r="BE160" i="11"/>
  <c r="N159" i="11"/>
  <c r="BK159" i="11"/>
  <c r="AA159" i="11"/>
  <c r="Y122" i="11"/>
  <c r="W176" i="11"/>
  <c r="W122" i="11"/>
  <c r="H33" i="11"/>
  <c r="BK122" i="11"/>
  <c r="W181" i="11"/>
  <c r="W180" i="11" s="1"/>
  <c r="M81" i="11"/>
  <c r="H34" i="11"/>
  <c r="H35" i="11"/>
  <c r="Y149" i="11"/>
  <c r="AA162" i="11"/>
  <c r="AA122" i="11"/>
  <c r="Y181" i="11"/>
  <c r="Y180" i="11" s="1"/>
  <c r="H36" i="11"/>
  <c r="M33" i="11"/>
  <c r="W162" i="11"/>
  <c r="Y176" i="11"/>
  <c r="BE148" i="8"/>
  <c r="N147" i="8"/>
  <c r="N91" i="8" s="1"/>
  <c r="BE191" i="8"/>
  <c r="N190" i="8"/>
  <c r="BE194" i="8"/>
  <c r="N193" i="8"/>
  <c r="N100" i="8" s="1"/>
  <c r="BE127" i="8"/>
  <c r="N126" i="8"/>
  <c r="BE155" i="8"/>
  <c r="N154" i="8"/>
  <c r="N93" i="8" s="1"/>
  <c r="BE158" i="8"/>
  <c r="N157" i="8"/>
  <c r="N94" i="8" s="1"/>
  <c r="BE165" i="8"/>
  <c r="N164" i="8"/>
  <c r="BE171" i="8"/>
  <c r="N170" i="8"/>
  <c r="BK170" i="8"/>
  <c r="AA170" i="8"/>
  <c r="BE197" i="8"/>
  <c r="N196" i="8"/>
  <c r="N101" i="8" s="1"/>
  <c r="BK126" i="8"/>
  <c r="BE189" i="8"/>
  <c r="N188" i="8"/>
  <c r="N98" i="8" s="1"/>
  <c r="BE202" i="8"/>
  <c r="BE204" i="8"/>
  <c r="N203" i="8"/>
  <c r="N103" i="8" s="1"/>
  <c r="BE151" i="8"/>
  <c r="N92" i="8"/>
  <c r="W154" i="8"/>
  <c r="Y196" i="8"/>
  <c r="BE185" i="8"/>
  <c r="N184" i="8"/>
  <c r="H34" i="10"/>
  <c r="H35" i="10"/>
  <c r="W162" i="10"/>
  <c r="H33" i="10"/>
  <c r="W187" i="10"/>
  <c r="Y123" i="10"/>
  <c r="H36" i="10"/>
  <c r="Y184" i="10"/>
  <c r="AA187" i="10"/>
  <c r="AA184" i="10" s="1"/>
  <c r="H33" i="8"/>
  <c r="BK164" i="8"/>
  <c r="N95" i="8" s="1"/>
  <c r="Y184" i="8"/>
  <c r="Y126" i="8"/>
  <c r="W126" i="8"/>
  <c r="W170" i="8"/>
  <c r="BK190" i="8"/>
  <c r="AA190" i="8"/>
  <c r="Y164" i="8"/>
  <c r="W164" i="8"/>
  <c r="AA196" i="8"/>
  <c r="Y170" i="8"/>
  <c r="Y169" i="8" s="1"/>
  <c r="AA126" i="8"/>
  <c r="AA125" i="8" s="1"/>
  <c r="H36" i="8"/>
  <c r="Y157" i="8"/>
  <c r="AA164" i="8"/>
  <c r="W196" i="8"/>
  <c r="H34" i="8"/>
  <c r="Y113" i="13"/>
  <c r="Y112" i="13" s="1"/>
  <c r="F78" i="13"/>
  <c r="F78" i="12"/>
  <c r="F78" i="11"/>
  <c r="N97" i="10"/>
  <c r="BK184" i="10"/>
  <c r="W184" i="10"/>
  <c r="F78" i="10"/>
  <c r="H35" i="8"/>
  <c r="M33" i="8"/>
  <c r="N97" i="8"/>
  <c r="AA169" i="8"/>
  <c r="M81" i="8"/>
  <c r="F78" i="8"/>
  <c r="Y122" i="10" l="1"/>
  <c r="Y121" i="10" s="1"/>
  <c r="AA122" i="10"/>
  <c r="AA121" i="10" s="1"/>
  <c r="N95" i="12"/>
  <c r="N117" i="12"/>
  <c r="N89" i="12" s="1"/>
  <c r="H32" i="12"/>
  <c r="BK117" i="12"/>
  <c r="BK116" i="12" s="1"/>
  <c r="N116" i="12" s="1"/>
  <c r="N88" i="12" s="1"/>
  <c r="M27" i="12" s="1"/>
  <c r="M30" i="12" s="1"/>
  <c r="L38" i="12" s="1"/>
  <c r="BK122" i="10"/>
  <c r="BK121" i="10" s="1"/>
  <c r="N97" i="11"/>
  <c r="W122" i="10"/>
  <c r="W121" i="10" s="1"/>
  <c r="BK125" i="8"/>
  <c r="H32" i="8"/>
  <c r="N99" i="8"/>
  <c r="M32" i="10"/>
  <c r="N94" i="12"/>
  <c r="N90" i="12"/>
  <c r="M32" i="13"/>
  <c r="N95" i="11"/>
  <c r="N121" i="11"/>
  <c r="N93" i="11"/>
  <c r="N180" i="11"/>
  <c r="N96" i="11" s="1"/>
  <c r="W121" i="11"/>
  <c r="W120" i="11" s="1"/>
  <c r="Y121" i="11"/>
  <c r="Y120" i="11" s="1"/>
  <c r="H32" i="11"/>
  <c r="N90" i="8"/>
  <c r="M32" i="8"/>
  <c r="H32" i="10"/>
  <c r="N122" i="10"/>
  <c r="N184" i="10"/>
  <c r="N95" i="10" s="1"/>
  <c r="N90" i="13"/>
  <c r="N89" i="13" s="1"/>
  <c r="N88" i="13" s="1"/>
  <c r="BK113" i="13"/>
  <c r="Y117" i="12"/>
  <c r="Y116" i="12" s="1"/>
  <c r="AA117" i="12"/>
  <c r="AA116" i="12" s="1"/>
  <c r="M32" i="11"/>
  <c r="BK121" i="11"/>
  <c r="AA121" i="11"/>
  <c r="AA120" i="11" s="1"/>
  <c r="W125" i="8"/>
  <c r="W124" i="8" s="1"/>
  <c r="N169" i="8"/>
  <c r="N125" i="8"/>
  <c r="N89" i="8" s="1"/>
  <c r="BK184" i="8"/>
  <c r="AA124" i="8"/>
  <c r="Y125" i="8"/>
  <c r="Y124" i="8" s="1"/>
  <c r="BK169" i="8"/>
  <c r="W169" i="8"/>
  <c r="L95" i="13" l="1"/>
  <c r="AG92" i="14"/>
  <c r="AN92" i="14" s="1"/>
  <c r="N89" i="11"/>
  <c r="N120" i="11"/>
  <c r="N121" i="10"/>
  <c r="N88" i="10" s="1"/>
  <c r="N89" i="10"/>
  <c r="BK112" i="13"/>
  <c r="M27" i="13" s="1"/>
  <c r="M30" i="13" s="1"/>
  <c r="L38" i="13" s="1"/>
  <c r="L99" i="12"/>
  <c r="AG91" i="14" s="1"/>
  <c r="AN91" i="14" s="1"/>
  <c r="BK120" i="11"/>
  <c r="N96" i="8"/>
  <c r="BK124" i="8"/>
  <c r="N124" i="8"/>
  <c r="N88" i="11" l="1"/>
  <c r="M27" i="11" s="1"/>
  <c r="M30" i="11" s="1"/>
  <c r="L38" i="11" s="1"/>
  <c r="M27" i="10"/>
  <c r="M30" i="10" s="1"/>
  <c r="L38" i="10" s="1"/>
  <c r="L104" i="10"/>
  <c r="AG89" i="14" s="1"/>
  <c r="AN89" i="14" s="1"/>
  <c r="N88" i="8"/>
  <c r="L103" i="11" l="1"/>
  <c r="AG90" i="14" s="1"/>
  <c r="AN90" i="14" s="1"/>
  <c r="M27" i="8"/>
  <c r="M30" i="8" s="1"/>
  <c r="L38" i="8" s="1"/>
  <c r="L107" i="8"/>
  <c r="AG88" i="14" s="1"/>
  <c r="AN88" i="14" s="1"/>
  <c r="AG87" i="14" l="1"/>
  <c r="AG95" i="14" s="1"/>
  <c r="AN95" i="14" s="1"/>
  <c r="AN87" i="14" l="1"/>
  <c r="AK26" i="14"/>
  <c r="AK29" i="14" s="1"/>
  <c r="AK37" i="14" s="1"/>
</calcChain>
</file>

<file path=xl/sharedStrings.xml><?xml version="1.0" encoding="utf-8"?>
<sst xmlns="http://schemas.openxmlformats.org/spreadsheetml/2006/main" count="3771" uniqueCount="558">
  <si>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</si>
  <si>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</si>
  <si>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</si>
  <si>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</si>
  <si>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</si>
  <si>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</si>
  <si>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</si>
  <si>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</si>
  <si>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</si>
  <si>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</si>
  <si>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</si>
  <si>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</si>
  <si>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</si>
  <si>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</si>
  <si>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</si>
  <si>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</si>
  <si>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2017082</t>
  </si>
  <si>
    <t>Stavba:</t>
  </si>
  <si>
    <t>JKSO:</t>
  </si>
  <si>
    <t/>
  </si>
  <si>
    <t>CC-CZ:</t>
  </si>
  <si>
    <t>Místo:</t>
  </si>
  <si>
    <t xml:space="preserve"> </t>
  </si>
  <si>
    <t>Datum:</t>
  </si>
  <si>
    <t>11. 8. 2017</t>
  </si>
  <si>
    <t>Objednatel:</t>
  </si>
  <si>
    <t>IČ:</t>
  </si>
  <si>
    <t>VODOVODY A KANALIZACE MLADÁ BOLESLAV A.S.</t>
  </si>
  <si>
    <t>DIČ:</t>
  </si>
  <si>
    <t>Zhotovitel:</t>
  </si>
  <si>
    <t>DLE VÝBĚROVÉHO ŘÍZENÍ</t>
  </si>
  <si>
    <t>Projektant:</t>
  </si>
  <si>
    <t>ING.EVŽEN KOZÁK S.R.O.</t>
  </si>
  <si>
    <t>True</t>
  </si>
  <si>
    <t>Zpracovatel:</t>
  </si>
  <si>
    <t>ING.EVŽEN KOZÁK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</si>
  <si>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</si>
  <si>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</si>
  <si>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</si>
  <si>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</si>
  <si>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</si>
  <si>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</si>
  <si>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</si>
  <si>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</si>
  <si>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</si>
  <si>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</si>
  <si>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</si>
  <si>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</si>
  <si>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</si>
  <si>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</si>
  <si>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</si>
  <si>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</si>
  <si>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</si>
  <si>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</si>
  <si>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</si>
  <si>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</si>
  <si>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</si>
  <si>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</si>
  <si>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</si>
  <si>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</si>
  <si>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</si>
  <si>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</si>
  <si>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</si>
  <si>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</si>
  <si>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</si>
  <si>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</si>
  <si>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</si>
  <si>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</si>
  <si>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</si>
  <si>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</si>
  <si>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</si>
  <si>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</si>
  <si>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</si>
  <si>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</si>
  <si>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</si>
  <si>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</si>
  <si>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</si>
  <si>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</si>
  <si>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</si>
  <si>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{47bb691b-c696-436c-b89f-c17ce6189364}</t>
  </si>
  <si>
    <t>{00000000-0000-0000-0000-000000000000}</t>
  </si>
  <si>
    <t>/</t>
  </si>
  <si>
    <t>MUKAŘOV-LIKVIDACE ZDROJE A ČS</t>
  </si>
  <si>
    <t>1</t>
  </si>
  <si>
    <t>{d0749d1d-a294-4917-8508-c7c1af5653ba}</t>
  </si>
  <si>
    <t>NĚMČICE-LIKVIDACE ZDROJE A ČS</t>
  </si>
  <si>
    <t>{b227aabc-fdf6-47d8-8886-60a419dde9d7}</t>
  </si>
  <si>
    <t>SÝČINA-LIKVIDACE VODOJEMU</t>
  </si>
  <si>
    <t>{4ba01b87-234c-4400-8b00-815438de9f18}</t>
  </si>
  <si>
    <t>KOVÁNEC-LIKVIDACE VODNÍHO ZDROJE</t>
  </si>
  <si>
    <t>{b7f3a75f-0e5b-4cd1-af29-d6dce7b1576a}</t>
  </si>
  <si>
    <t>VEDLEJŠÍ A OSTATNÍ NÁKLADY</t>
  </si>
  <si>
    <t>{9d5548dc-02b0-4293-b443-962ac5ac34fc}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</si>
  <si>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</si>
  <si>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</si>
  <si>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</si>
  <si>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</si>
  <si>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</si>
  <si>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</si>
  <si>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</si>
  <si>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</si>
  <si>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</si>
  <si>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2017082-MUKAROV - MUKAŘOV-LIKVIDACE ZDROJE A ČS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</si>
  <si>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</si>
  <si>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</si>
  <si>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</si>
  <si>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</si>
  <si>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</si>
  <si>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</si>
  <si>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</si>
  <si>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</si>
  <si>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</si>
  <si>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</si>
  <si>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</si>
  <si>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</si>
  <si>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</si>
  <si>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</si>
  <si>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</si>
  <si>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</si>
  <si>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724 - Zdravotechnika - strojní vybavení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</si>
  <si>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</si>
  <si>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</si>
  <si>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</si>
  <si>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</si>
  <si>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</si>
  <si>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</si>
  <si>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</si>
  <si>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</si>
  <si>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</si>
  <si>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</si>
  <si>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</si>
  <si>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</si>
  <si>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</si>
  <si>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</si>
  <si>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</si>
  <si>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</si>
  <si>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</si>
  <si>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</si>
  <si>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</si>
  <si>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</si>
  <si>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</si>
  <si>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</si>
  <si>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174101101</t>
  </si>
  <si>
    <t>Zásyp jam, šachet rýh nebo kolem objektů sypaninou se zhutněním</t>
  </si>
  <si>
    <t>m3</t>
  </si>
  <si>
    <t>4</t>
  </si>
  <si>
    <t>-39926740</t>
  </si>
  <si>
    <t>3,14*0,75*0,75*2,9 "výplň jímacího objektu štěrkem"</t>
  </si>
  <si>
    <t>VV</t>
  </si>
  <si>
    <t>3,14*0,75*0,75*0,2 "výplň jímacího objektu zeminou"</t>
  </si>
  <si>
    <t>3,14*0,75*0,75*0,2 "výplň jímacího objektu štěrkopískem"</t>
  </si>
  <si>
    <t>Součet</t>
  </si>
  <si>
    <t>M</t>
  </si>
  <si>
    <t>583312020</t>
  </si>
  <si>
    <t>štěrkodrť netříděná do 100 mm amfibolit</t>
  </si>
  <si>
    <t>t</t>
  </si>
  <si>
    <t>8</t>
  </si>
  <si>
    <t>-127409746</t>
  </si>
  <si>
    <t>5,122*2,4 "přepočet na tuny"</t>
  </si>
  <si>
    <t>583312000</t>
  </si>
  <si>
    <t>štěrkopísek netříděný zásypový materiál</t>
  </si>
  <si>
    <t>-3337619</t>
  </si>
  <si>
    <t>0,353*2,2 "přepočet na tuny"</t>
  </si>
  <si>
    <t>181301101</t>
  </si>
  <si>
    <t>Rozprostření ornice tl vrstvy do 100 mm pl do 500 m2 v rovině nebo ve svahu do 1:5</t>
  </si>
  <si>
    <t>m2</t>
  </si>
  <si>
    <t>-151647855</t>
  </si>
  <si>
    <t>5,0*5,0 "okolí ČS"</t>
  </si>
  <si>
    <t>4,0*4,0 "okolí jímacího objektu"</t>
  </si>
  <si>
    <t>181411121</t>
  </si>
  <si>
    <t>Založení lučního trávníku výsevem plochy do 1000 m2 v rovině a ve svahu do 1:5</t>
  </si>
  <si>
    <t>1767270114</t>
  </si>
  <si>
    <t>16</t>
  </si>
  <si>
    <t>005724800</t>
  </si>
  <si>
    <t>osivo směs jetelotravní</t>
  </si>
  <si>
    <t>kg</t>
  </si>
  <si>
    <t>-1200579054</t>
  </si>
  <si>
    <t>273313611</t>
  </si>
  <si>
    <t>Základové desky z betonu tř. C 16/20</t>
  </si>
  <si>
    <t>248095945</t>
  </si>
  <si>
    <t>3,14*0,75*0,75*0,2 "výplň jímacího objektu-bet.deska"</t>
  </si>
  <si>
    <t>440351256</t>
  </si>
  <si>
    <t>Odstranění podpěrné konstrukce střech v do 4 m pro tloušťku střešní konstrukce přes 100 cm</t>
  </si>
  <si>
    <t>334014527</t>
  </si>
  <si>
    <t>3,5*1,8*0,5*4</t>
  </si>
  <si>
    <t>899311112</t>
  </si>
  <si>
    <t>Osazení poklopů s rámem hmotnosti nad 50 do 100 kg</t>
  </si>
  <si>
    <t>kus</t>
  </si>
  <si>
    <t>1853758722</t>
  </si>
  <si>
    <t>562306251</t>
  </si>
  <si>
    <t xml:space="preserve">kompozitový poklop ECO DECK obj.č.42108081, 882*882 mm </t>
  </si>
  <si>
    <t>923725787</t>
  </si>
  <si>
    <t>953961113</t>
  </si>
  <si>
    <t>Kotvy chemickým tmelem M 12 hl 110 mm do betonu, ŽB nebo kamene s vyvrtáním otvoru</t>
  </si>
  <si>
    <t>-372789485</t>
  </si>
  <si>
    <t>962023391</t>
  </si>
  <si>
    <t>Bourání zdiva nadzákladového smíšeného na MV nebo MVC přes 1 m3</t>
  </si>
  <si>
    <t>1900274400</t>
  </si>
  <si>
    <t>2,66*4*0,35*2,05</t>
  </si>
  <si>
    <t>963015151</t>
  </si>
  <si>
    <t>Demontáž prefabrikovaných součástí kanálů, šachet nebo žump do hmotnosti 1 t-skruž jím.objektu</t>
  </si>
  <si>
    <t>-1899856998</t>
  </si>
  <si>
    <t>32</t>
  </si>
  <si>
    <t>628521230</t>
  </si>
  <si>
    <t>pás asfaltovaný modifikovaný směsnými polymery BITUMELIT 4 mm</t>
  </si>
  <si>
    <t>694841406</t>
  </si>
  <si>
    <t>2,66*2,66*1,1 "rezerva 10% na překrytí"</t>
  </si>
  <si>
    <t>693110240</t>
  </si>
  <si>
    <t>geoNetex A PP  šíře 650 cm, 300 g/m2</t>
  </si>
  <si>
    <t>-534565988</t>
  </si>
  <si>
    <t>283763700</t>
  </si>
  <si>
    <t>deska z extrudovaného polystyrénu URSA XPS III - (S,G,NF,) - 1250 x 600 x 60 mm</t>
  </si>
  <si>
    <t>524371530</t>
  </si>
  <si>
    <t>2,66*2,66</t>
  </si>
  <si>
    <t>283231000</t>
  </si>
  <si>
    <t>fólie PE hydroizolační PENEFOL 750, š. 1,4 m, tl. 0,8 mm</t>
  </si>
  <si>
    <t>2019313752</t>
  </si>
  <si>
    <t>966073121</t>
  </si>
  <si>
    <t>Demontáž krytiny ocelových střech z tvarovaných ocelových plechů šroubovaných budov v do 6 m</t>
  </si>
  <si>
    <t>-373555299</t>
  </si>
  <si>
    <t>997013501</t>
  </si>
  <si>
    <t>Odvoz suti a vybouraných hmot na skládku se složením</t>
  </si>
  <si>
    <t>-1492294850</t>
  </si>
  <si>
    <t>997013803</t>
  </si>
  <si>
    <t>-747254450</t>
  </si>
  <si>
    <t>1412744612</t>
  </si>
  <si>
    <t>997241621</t>
  </si>
  <si>
    <t>Naložení a složení vybouraných hmot nebo konstrukcí</t>
  </si>
  <si>
    <t>-789569128</t>
  </si>
  <si>
    <t>711111001</t>
  </si>
  <si>
    <t>Provedení izolace proti zemní vlhkosti vodorovné za studena nátěrem penetračním</t>
  </si>
  <si>
    <t>512258012</t>
  </si>
  <si>
    <t>111631500</t>
  </si>
  <si>
    <t>lak asfaltový ALP/9 (MJ t) bal 9 kg</t>
  </si>
  <si>
    <t>1815666986</t>
  </si>
  <si>
    <t>711141559</t>
  </si>
  <si>
    <t>Provedení izolace proti zemní vlhkosti pásy přitavením vodorovné</t>
  </si>
  <si>
    <t>-2044206337</t>
  </si>
  <si>
    <t>2,66*2,66*1,1</t>
  </si>
  <si>
    <t>711161331</t>
  </si>
  <si>
    <t>Izolace proti zemní vlhkosti foliemi nopovými s odvodňovací funkcí s textilií tl. 0,6 mm šířky 2,0 m</t>
  </si>
  <si>
    <t>-1917988544</t>
  </si>
  <si>
    <t>724125810</t>
  </si>
  <si>
    <t>Demontáž čerpadel ponorných vodovodních</t>
  </si>
  <si>
    <t>soubor</t>
  </si>
  <si>
    <t>853879847</t>
  </si>
  <si>
    <t>725210821</t>
  </si>
  <si>
    <t>Demontáž umyvadel bez výtokových armatur</t>
  </si>
  <si>
    <t>544384544</t>
  </si>
  <si>
    <t>725810811</t>
  </si>
  <si>
    <t>Demontáž ventilů výtokových nástěnných</t>
  </si>
  <si>
    <t>1170919435</t>
  </si>
  <si>
    <t>5</t>
  </si>
  <si>
    <t>762420817</t>
  </si>
  <si>
    <t>Demontáž obložení stropů z desek cementotřískových tl přes 24 mm na sraz šroubovaných</t>
  </si>
  <si>
    <t>620718877</t>
  </si>
  <si>
    <t>2,0*2,0</t>
  </si>
  <si>
    <t>764004801</t>
  </si>
  <si>
    <t>Demontáž podokapního žlabu do suti</t>
  </si>
  <si>
    <t>m</t>
  </si>
  <si>
    <t>734219881</t>
  </si>
  <si>
    <t>4*3,5</t>
  </si>
  <si>
    <t>764004861</t>
  </si>
  <si>
    <t>Demontáž svodu do suti</t>
  </si>
  <si>
    <t>-1005128063</t>
  </si>
  <si>
    <t>2*2,4</t>
  </si>
  <si>
    <t>766661811</t>
  </si>
  <si>
    <t>Demontáž dveřních křídel</t>
  </si>
  <si>
    <t>1880656372</t>
  </si>
  <si>
    <t>767641800</t>
  </si>
  <si>
    <t>Demontáž zárubní dveří odřezáním plochy do 2,5 m2</t>
  </si>
  <si>
    <t>-1241266150</t>
  </si>
  <si>
    <t xml:space="preserve">    741 - Elektroinstalace - silnoproud</t>
  </si>
  <si>
    <t>132202411</t>
  </si>
  <si>
    <t>1,5*1,5*1,65 "odkopání stáv.vodovodu"</t>
  </si>
  <si>
    <t>162701105</t>
  </si>
  <si>
    <t>Vodorovné přemístění do 10000 m výkopku/sypaniny z horniny tř. 1 až 4-zásyp z Rečkova</t>
  </si>
  <si>
    <t>162701109</t>
  </si>
  <si>
    <t>Příplatek k vodorovnému přemístění výkopku/sypaniny z horniny tř. 1 až 4 ZKD 1000 m přes 10000 m-zásyp z Rečkova</t>
  </si>
  <si>
    <t>174102101</t>
  </si>
  <si>
    <t>Zásyp jam, šachet a rýh do 30 m3 sypaninou se zhutněním při překopech inženýrských sítí</t>
  </si>
  <si>
    <t>1,5*1,5*1,65 "zásyp jámy po přepojení vodovodu"</t>
  </si>
  <si>
    <t>451572111</t>
  </si>
  <si>
    <t>963051113</t>
  </si>
  <si>
    <t>Bourání ŽB stropů deskových tl přes 80 mm</t>
  </si>
  <si>
    <t>kpl</t>
  </si>
  <si>
    <t xml:space="preserve">Demontáž dveřních křídel </t>
  </si>
  <si>
    <t>2017082-NĚMČICE - NĚMČICE-LIKVIDACE ZDROJE A ČS</t>
  </si>
  <si>
    <t xml:space="preserve">    771 - Podlahy z dlaždic</t>
  </si>
  <si>
    <t>Hloubení rýh š do 600 mm kolejí ručně do 2 m3 v hornině tř. 3</t>
  </si>
  <si>
    <t>1696345495</t>
  </si>
  <si>
    <t>-121508445</t>
  </si>
  <si>
    <t>(2,35*1,9+1,25*1,6)*2,5 "vyplnění arm.komory zeminou"</t>
  </si>
  <si>
    <t>-1380558068</t>
  </si>
  <si>
    <t>-2010603251</t>
  </si>
  <si>
    <t>3,14*0,1335*0,1335*58,4 "výplň vrtu DN267 štěrkopískem"</t>
  </si>
  <si>
    <t>3,268*2,2 "přepočet na tuny"</t>
  </si>
  <si>
    <t>978532874</t>
  </si>
  <si>
    <t>-282525197</t>
  </si>
  <si>
    <t>-216558038</t>
  </si>
  <si>
    <t>10,0*8,0 "okolí ČS"</t>
  </si>
  <si>
    <t>-970401704</t>
  </si>
  <si>
    <t>-37956163</t>
  </si>
  <si>
    <t>-805273172</t>
  </si>
  <si>
    <t>3,14*0,1335*0,1335*1,0 "výplň vrtu DN267 beton.zátka"</t>
  </si>
  <si>
    <t>0,95*0,95*0,2 "úprava prostoru nad vrtem"</t>
  </si>
  <si>
    <t>-372485200</t>
  </si>
  <si>
    <t>4,5*4,5</t>
  </si>
  <si>
    <t>Lože a obsyp potrubí otevřený výkop z kameniva drobného těženého</t>
  </si>
  <si>
    <t>-632005996</t>
  </si>
  <si>
    <t>1,5*1,5*0,3 "přepojení vodovodu"</t>
  </si>
  <si>
    <t>2140385836</t>
  </si>
  <si>
    <t>3,9*4*0,45*3,2</t>
  </si>
  <si>
    <t>-1918503448</t>
  </si>
  <si>
    <t>3,9*3,9*0,2 "strop ČS"</t>
  </si>
  <si>
    <t>2,35*1,9+1,25*1,6 "strop arm.komory"</t>
  </si>
  <si>
    <t>Demontáž krytiny střech z ocel.plechů budov v do 6 m</t>
  </si>
  <si>
    <t>611256728</t>
  </si>
  <si>
    <t>978059541</t>
  </si>
  <si>
    <t>Odsekání a odebrání obkladů stěn z vnitřních obkládaček plochy přes 1 m2</t>
  </si>
  <si>
    <t>-479966554</t>
  </si>
  <si>
    <t>2,75*1,9</t>
  </si>
  <si>
    <t>-576786972</t>
  </si>
  <si>
    <t>294324278</t>
  </si>
  <si>
    <t>-1993956773</t>
  </si>
  <si>
    <t>741132301</t>
  </si>
  <si>
    <t>Ukončení kabelů nebo vodičů do 1 kV koncovkou ucpávkovou do 4 žil průměru 12 mm jednoduchý nástavec</t>
  </si>
  <si>
    <t>1941554470</t>
  </si>
  <si>
    <t>-1080144106</t>
  </si>
  <si>
    <t>4*4,5</t>
  </si>
  <si>
    <t>1441058303</t>
  </si>
  <si>
    <t>2*3,2</t>
  </si>
  <si>
    <t>2131107440</t>
  </si>
  <si>
    <t>-2007815755</t>
  </si>
  <si>
    <t>771543810</t>
  </si>
  <si>
    <t>Demontáž podlah z obkladaček hutných lepených</t>
  </si>
  <si>
    <t>-1007568153</t>
  </si>
  <si>
    <t>0,8*1,8</t>
  </si>
  <si>
    <t>2017082-SÝČINA - SÝČINA-LIKVIDACE VODOJEMU</t>
  </si>
  <si>
    <t xml:space="preserve">    3 - Svislé a kompletní konstrukce</t>
  </si>
  <si>
    <t>-1113737247</t>
  </si>
  <si>
    <t>190025676</t>
  </si>
  <si>
    <t>-1136105172</t>
  </si>
  <si>
    <t>-1445987725</t>
  </si>
  <si>
    <t>-1186643996</t>
  </si>
  <si>
    <t>420372137</t>
  </si>
  <si>
    <t>320101112</t>
  </si>
  <si>
    <t>Osazení betonových a železobetonových prefabrikátů hmotnosti nad 1000 do 5000 kg</t>
  </si>
  <si>
    <t>1298410582</t>
  </si>
  <si>
    <t>593468520</t>
  </si>
  <si>
    <t>panel stropní 2800*2600 mm tl.150 mm prefa</t>
  </si>
  <si>
    <t>-569363732</t>
  </si>
  <si>
    <t>-678306924</t>
  </si>
  <si>
    <t>2,8*3,0</t>
  </si>
  <si>
    <t>1034545018</t>
  </si>
  <si>
    <t>552410200</t>
  </si>
  <si>
    <t>poklop šachtový třída D 400, čtvercový rám 850, vstup 600 mm, REXESS bez ventilace</t>
  </si>
  <si>
    <t>1344521484</t>
  </si>
  <si>
    <t>-471777970</t>
  </si>
  <si>
    <t>2,6*2,8*1,1 "rezerva 10% na překrytí"</t>
  </si>
  <si>
    <t>64259628</t>
  </si>
  <si>
    <t>-557722939</t>
  </si>
  <si>
    <t>2,6*2,8</t>
  </si>
  <si>
    <t>1748015075</t>
  </si>
  <si>
    <t>552762129</t>
  </si>
  <si>
    <t>(2,6*2+2,8*2)*0,3*2,7</t>
  </si>
  <si>
    <t>-1279554648</t>
  </si>
  <si>
    <t>2,6*2,8*0,15 "strop provoz.místnosti"</t>
  </si>
  <si>
    <t>2,6*2,1*0,17 "strop arm.komory"</t>
  </si>
  <si>
    <t>270076164</t>
  </si>
  <si>
    <t>3,0*3,2</t>
  </si>
  <si>
    <t>359794544</t>
  </si>
  <si>
    <t>424115218</t>
  </si>
  <si>
    <t>217216948</t>
  </si>
  <si>
    <t>1383288552</t>
  </si>
  <si>
    <t>-1391044676</t>
  </si>
  <si>
    <t>-473947716</t>
  </si>
  <si>
    <t>2,6*2,8*1,1</t>
  </si>
  <si>
    <t>155887441</t>
  </si>
  <si>
    <t>1797985861</t>
  </si>
  <si>
    <t>-445524927</t>
  </si>
  <si>
    <t>2017082-KOVÁNEC - KOVÁNEC-LIKVIDACE VODNÍHO ZDROJE</t>
  </si>
  <si>
    <t>-1807905352</t>
  </si>
  <si>
    <t>1331482885</t>
  </si>
  <si>
    <t>2,0*2,4*1,4 "vyplnění šachty zeminou"</t>
  </si>
  <si>
    <t>867083119</t>
  </si>
  <si>
    <t>-1882949349</t>
  </si>
  <si>
    <t>-1420084196</t>
  </si>
  <si>
    <t>3,14*0,215*0,215*61,0 "výplň vrtu DN430 štěrkopískem"</t>
  </si>
  <si>
    <t>3,14*0,285*0,285*6,0 "výplň vrtu DN570 štěrkopískem"</t>
  </si>
  <si>
    <t>3,14*0,325*0,325*2,0 "výplň vrtu DN650 štěrkopískem"</t>
  </si>
  <si>
    <t>3,14*0,36*0,36*12,0 "výplň vrtu DN720 štěrkopískem"</t>
  </si>
  <si>
    <t>-1049547319</t>
  </si>
  <si>
    <t>1,5*1,5*1,65 "zásyp jámy po montáži kalníku"</t>
  </si>
  <si>
    <t>-945834640</t>
  </si>
  <si>
    <t>6,0*6,0 "okolí ČS"</t>
  </si>
  <si>
    <t>426898104</t>
  </si>
  <si>
    <t>-1744654223</t>
  </si>
  <si>
    <t>975893754</t>
  </si>
  <si>
    <t>3,14*0,36*0,36*4,0 "výplň vrtu DN720 beton.zátka"</t>
  </si>
  <si>
    <t>1,4*1,8*0,2 "úprava prostoru nad vrtem"</t>
  </si>
  <si>
    <t>275322511</t>
  </si>
  <si>
    <t>Základové patky ze ŽB se zvýšenými nároky na prostředí tř. C 25/30</t>
  </si>
  <si>
    <t>1354252524</t>
  </si>
  <si>
    <t>-1962820831</t>
  </si>
  <si>
    <t>1,5*1,5*0,3 "montáž kalníku"</t>
  </si>
  <si>
    <t>319428030</t>
  </si>
  <si>
    <t>spojka potrubí mosaz 63x2"</t>
  </si>
  <si>
    <t>1741009689</t>
  </si>
  <si>
    <t>IVAR, ceníkový kód: 07712200</t>
  </si>
  <si>
    <t>P</t>
  </si>
  <si>
    <t>552536890</t>
  </si>
  <si>
    <t>příruba zaslepovací z tvárné litiny,práškový epoxid, tl.250µm XG DN 80 mm závit 2"</t>
  </si>
  <si>
    <t>706087422</t>
  </si>
  <si>
    <t>850245121</t>
  </si>
  <si>
    <t>Výřez nebo výsek na potrubí z trub litinových tlakových DN 80</t>
  </si>
  <si>
    <t>1216146499</t>
  </si>
  <si>
    <t>422735890</t>
  </si>
  <si>
    <t>hydrant podzemní DN80 PN16 jednoduchý uzávěr, krycí hloubka 1000 mm</t>
  </si>
  <si>
    <t>-1788822281</t>
  </si>
  <si>
    <t>422910730</t>
  </si>
  <si>
    <t>souprava zemní teleskop. pro šoupátka DN  65-80 mm</t>
  </si>
  <si>
    <t>1316760927</t>
  </si>
  <si>
    <t>552540470</t>
  </si>
  <si>
    <t>koleno přírubové prodloužené PPL z tvárné litiny,práškový epoxid, tl.250µm s patkou N-kus DN 80 mm</t>
  </si>
  <si>
    <t>-1034020755</t>
  </si>
  <si>
    <t>422212120</t>
  </si>
  <si>
    <t>šoupě přírubové vodovodní  DN 80  PN10-16</t>
  </si>
  <si>
    <t>2062354140</t>
  </si>
  <si>
    <t>891241111</t>
  </si>
  <si>
    <t>Montáž vodovodních šoupátek otevřený výkop DN 80</t>
  </si>
  <si>
    <t>217033333</t>
  </si>
  <si>
    <t>891247111</t>
  </si>
  <si>
    <t>Montáž hydrantů podzemních DN 80</t>
  </si>
  <si>
    <t>2039980576</t>
  </si>
  <si>
    <t>894411311</t>
  </si>
  <si>
    <t>Osazení železobetonových dílců pro šachty skruží rovných</t>
  </si>
  <si>
    <t>2124362470</t>
  </si>
  <si>
    <t>592243060</t>
  </si>
  <si>
    <t>skruž betonová šachetní TBS-Q.1 100/50 D100x50x12 cm</t>
  </si>
  <si>
    <t>-1401173822</t>
  </si>
  <si>
    <t>592310430</t>
  </si>
  <si>
    <t>sloupek betonový plotový průběžný 150 x 150 x 2800</t>
  </si>
  <si>
    <t>-360387358</t>
  </si>
  <si>
    <t>899401112</t>
  </si>
  <si>
    <t>Osazení poklopů litinových šoupátkových</t>
  </si>
  <si>
    <t>933801168</t>
  </si>
  <si>
    <t>422913520</t>
  </si>
  <si>
    <t>poklop litinový-šoupátkový s logem VaK</t>
  </si>
  <si>
    <t>1267318491</t>
  </si>
  <si>
    <t>899401113</t>
  </si>
  <si>
    <t>Osazení poklopů litinových hydrantových</t>
  </si>
  <si>
    <t>-101871573</t>
  </si>
  <si>
    <t>422914520</t>
  </si>
  <si>
    <t>poklop litinový-hydrantový   DN 80</t>
  </si>
  <si>
    <t>-66854141</t>
  </si>
  <si>
    <t>961044111</t>
  </si>
  <si>
    <t>Bourání základů z betonu prostého</t>
  </si>
  <si>
    <t>943413598</t>
  </si>
  <si>
    <t>(1,7*2+2,1*2)*0,3*1,7</t>
  </si>
  <si>
    <t>-1341825618</t>
  </si>
  <si>
    <t>2,0*2,4*0,15</t>
  </si>
  <si>
    <t>966052121</t>
  </si>
  <si>
    <t>Bourání sloupků a vzpěr ŽB plotových s betonovou patkou</t>
  </si>
  <si>
    <t>501913610</t>
  </si>
  <si>
    <t>997013502</t>
  </si>
  <si>
    <t>318046957</t>
  </si>
  <si>
    <t>830076919</t>
  </si>
  <si>
    <t>95085189</t>
  </si>
  <si>
    <t>2017082-VON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</si>
  <si>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</si>
  <si>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</si>
  <si>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</si>
  <si>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013264000</t>
  </si>
  <si>
    <t>1024</t>
  </si>
  <si>
    <t>-2116226024</t>
  </si>
  <si>
    <t>031002000</t>
  </si>
  <si>
    <t>-1250812385</t>
  </si>
  <si>
    <t>032503000</t>
  </si>
  <si>
    <t>1555552574</t>
  </si>
  <si>
    <t>034002000</t>
  </si>
  <si>
    <t>-912464047</t>
  </si>
  <si>
    <t>034103000</t>
  </si>
  <si>
    <t>-418897755</t>
  </si>
  <si>
    <t>034203000</t>
  </si>
  <si>
    <t>-1128884716</t>
  </si>
  <si>
    <t>034303000</t>
  </si>
  <si>
    <t>1923549632</t>
  </si>
  <si>
    <t>034403000</t>
  </si>
  <si>
    <t>383356137</t>
  </si>
  <si>
    <t xml:space="preserve">    713 - Izolace tepelné</t>
  </si>
  <si>
    <t>Provedení izolace tepelné položením</t>
  </si>
  <si>
    <t>857242121</t>
  </si>
  <si>
    <t>Montáž litinových tvarovek jednoosých přírubových otevřený výkop DN 80</t>
  </si>
  <si>
    <t>Montáž trubní díly závitové DN 2"</t>
  </si>
  <si>
    <t>Fotodokumentace bouracích prací</t>
  </si>
  <si>
    <t>Zřízení a odstranění zařízení staveniště</t>
  </si>
  <si>
    <t>Náklady na zajištění DIO (dopravně-inženýrské opatření) vč. projednání s dotčenými orgány</t>
  </si>
  <si>
    <t>Havarijní plán - na vyžádání objednatele.</t>
  </si>
  <si>
    <t>Vytyčení podzemních zařízení, rizika a zvláštní opatření</t>
  </si>
  <si>
    <t>Doklady k předání a převzetí díla v potřebném počtu</t>
  </si>
  <si>
    <t>Osazení informační tabule na staveništi, tabuli dodá objednatel</t>
  </si>
  <si>
    <t>Dozor hydrogeologa při asanaci jímacího vrtu, včetně vypracování závěrečné zprávy o asanaci.</t>
  </si>
  <si>
    <t>Naložení  vybouraných hmot nebo konstrukcí</t>
  </si>
  <si>
    <t>Poplatek za uložení ostatního stavebního odpadu na skládce (skládkovné)</t>
  </si>
  <si>
    <t>Poplatek za uložení stavebního odpadu z cihel a betonu na skládce (skládkovné)</t>
  </si>
  <si>
    <t>Železobetonový komínek na stávající stropní desce. Rozměr 1x1 m, výška 250 mm, tl. 150 mm.</t>
  </si>
  <si>
    <t>ks</t>
  </si>
  <si>
    <t>Prefa žb sloupek pro oplocení profil 150x120 mm, délka 2500 mm. Dodavatel např. Kamena Brno.</t>
  </si>
  <si>
    <t>Osazení  železobetonových sloupků včetně betonové patky rozměru 400x400x900 mm a výkopu pro patku.</t>
  </si>
  <si>
    <t xml:space="preserve">Nakládání výkopku nebo sypaniny </t>
  </si>
  <si>
    <t>6,72*10 "vzdálenost Rečkov-Kovánec přes 10 km"</t>
  </si>
  <si>
    <t xml:space="preserve">Geodetické zaměření přeložky vodovodního potrubí v délce cca 10 m u ČS Němčice. Dle směrnice oddělení GIS objednatele. </t>
  </si>
  <si>
    <t xml:space="preserve">Geodetické zaměření přeložky vodovodního potrubí v délce cca 10 m u vodního zdroje Kovánec. Dle směrnice oddělení GIS objednatele. </t>
  </si>
  <si>
    <t>Vypracování geometrického plánu pro oddělení pozemku nově vzniklé budovy či výmazu objektu z katastru nemovitostí,  potřebný počet vyhotovení - 5 ks na objekt</t>
  </si>
  <si>
    <t>Demontáž potrubí odpadu z vodojemu do DN 200 mm</t>
  </si>
  <si>
    <t>Zapravení otvoru v žb stěně velikosti do 0,09 m2, tl. do 0,3 m vodonepropustně.</t>
  </si>
  <si>
    <t>Sejmutí ornice s vodorovným přemístěním na vzdálenost do 50 m</t>
  </si>
  <si>
    <t>Odkopávka a prokopávky nezapažené v horninách tř.1 a 2 do 100 m3</t>
  </si>
  <si>
    <t>Vodorovné přemístění výkopku z horniny  tř.1-4 do 50 m</t>
  </si>
  <si>
    <t>5,0*5,0*1,52+1,5*0,85*0,25 "vyplnění akum.komory zeminou"</t>
  </si>
  <si>
    <t>Hloubení nezapažených rýh šířky do 600 mmv horninách tř. 1 a 2 do 100 m3</t>
  </si>
  <si>
    <t>Bourání zdiva nadzákladového z železobetonu přes 1 m3</t>
  </si>
  <si>
    <t>(5+5,3*2+1,5*2)*0,3*2,4+2,6*0,6*0,3</t>
  </si>
  <si>
    <t>5,6*5,6*0,7+(2,0+1,8)/2*(5,6+7,0*2)</t>
  </si>
  <si>
    <t>(5,6*3+1,5*2)*0,6*1,8</t>
  </si>
  <si>
    <t>(10,0*10,0-2,6*1,8)*0,3</t>
  </si>
  <si>
    <t>(5,6*5,6-0,9*0,8)*0,3 "strop akum.komory"</t>
  </si>
  <si>
    <t>(5+5,3*2+1,5*2)*0,3*1,5 "zásyp prostoru po vybouraných stěnách"</t>
  </si>
  <si>
    <t>(5,6*3+1,5*2)*0,6*1,5 "zásyp rýhy okolo bouraných stěn"</t>
  </si>
  <si>
    <t>80,6-64,509</t>
  </si>
  <si>
    <t>množství zásypů</t>
  </si>
  <si>
    <t>59,2+21,4 "množství  výkopů"</t>
  </si>
  <si>
    <t>Nakládání výkopku nebo sypaniny do 100 m3 z horniny tř.1-4</t>
  </si>
  <si>
    <t>172201201</t>
  </si>
  <si>
    <t>Uložení sypaniny na skládku</t>
  </si>
  <si>
    <t xml:space="preserve">přebytek zeminy, uložení u ČS Němčice </t>
  </si>
  <si>
    <t>181301125</t>
  </si>
  <si>
    <t>Rozprostření ornice tl vrstvy do 300 mm pl do 500 m2 v rovině nebo ve svahu do 1:5</t>
  </si>
  <si>
    <t>(10,0*10,0-2,6*1,8)</t>
  </si>
  <si>
    <t>(1,9*2+1,75*2+1,25*2+0,95)*0,3*2,4</t>
  </si>
  <si>
    <t>Bourání podlahy z betonu</t>
  </si>
  <si>
    <t>Bourání základů z betonu</t>
  </si>
  <si>
    <t>(3*3)*0,2</t>
  </si>
  <si>
    <t>(3,9*2+3*2)*0,6*0,85</t>
  </si>
  <si>
    <t>(3,6*2+3,1*2)*0,6*2,4</t>
  </si>
  <si>
    <t>15,93*2,0 t/m3</t>
  </si>
  <si>
    <t>Součet 8,854+1,53+0,663+4,883=15,93</t>
  </si>
  <si>
    <t>3,268 m3 * 2,0 t/m3 "výplň vrtu DN267 štěrkopískem"</t>
  </si>
  <si>
    <t>962052211</t>
  </si>
  <si>
    <t>965042241</t>
  </si>
  <si>
    <t>19,296 "zásyp rýhy okolo bouraných stěn"</t>
  </si>
  <si>
    <t>7,038 "vyplnění prostoru po vybouraných základech"</t>
  </si>
  <si>
    <t>Vodorovné přemístění do 10000 m výkopku/sypaniny z horniny tř. 1 až 4</t>
  </si>
  <si>
    <t xml:space="preserve">80,6-64,509  přebytek zeminy, uložení u ČS Němčice </t>
  </si>
  <si>
    <t>45,765-19,296-16,091 chybějící zemina pro zásyp</t>
  </si>
  <si>
    <t>10,378*15 "vzdálenost Rečkov-Němčice přes 10 km"</t>
  </si>
  <si>
    <t>LIKVIDACE NEVYUŽÍVANÝCH VODOHOSPODÁŘSKÝCH OBJEKTŮ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</si>
</sst>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  <numFmt numFmtId="169" formatCode="#,##0.00;\-#,##0.00"/>
  </numFmts>
  <fonts count="3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16" xfId="0" applyNumberFormat="1" applyFont="1" applyBorder="1" applyAlignment="1" applyProtection="1">
      <alignment vertical="center"/>
    </xf>
    <xf numFmtId="4" fontId="29" fillId="0" borderId="17" xfId="0" applyNumberFormat="1" applyFont="1" applyBorder="1" applyAlignment="1" applyProtection="1">
      <alignment vertical="center"/>
    </xf>
    <xf numFmtId="166" fontId="29" fillId="0" borderId="17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24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168" fontId="0" fillId="0" borderId="26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7" fontId="0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167" fontId="6" fillId="0" borderId="0" xfId="0" applyNumberFormat="1" applyFont="1" applyBorder="1" applyAlignment="1" applyProtection="1">
      <alignment horizontal="right"/>
    </xf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4" fontId="24" fillId="5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4" fontId="28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4" xfId="0" applyFont="1" applyBorder="1" applyAlignment="1" applyProtection="1">
      <alignment horizontal="left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0" borderId="24" xfId="0" applyNumberFormat="1" applyFont="1" applyBorder="1" applyAlignment="1" applyProtection="1">
      <alignment vertical="center"/>
    </xf>
    <xf numFmtId="4" fontId="34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vertical="center"/>
    </xf>
    <xf numFmtId="0" fontId="37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wrapText="1"/>
    </xf>
    <xf numFmtId="0" fontId="6" fillId="0" borderId="17" xfId="0" applyFont="1" applyBorder="1" applyAlignment="1" applyProtection="1">
      <alignment wrapText="1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169" fontId="0" fillId="0" borderId="26" xfId="0" applyNumberFormat="1" applyFon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169" fontId="0" fillId="0" borderId="26" xfId="0" applyNumberFormat="1" applyFont="1" applyBorder="1" applyAlignment="1" applyProtection="1">
      <alignment horizontal="right" vertical="center"/>
      <protection locked="0"/>
    </xf>
    <xf numFmtId="0" fontId="34" fillId="6" borderId="25" xfId="0" applyFont="1" applyFill="1" applyBorder="1" applyAlignment="1" applyProtection="1">
      <alignment horizontal="left" vertical="center" wrapText="1"/>
    </xf>
    <xf numFmtId="0" fontId="34" fillId="0" borderId="25" xfId="0" applyFont="1" applyFill="1" applyBorder="1" applyAlignment="1" applyProtection="1">
      <alignment horizontal="left" vertical="center" wrapText="1"/>
    </xf>
    <xf numFmtId="0" fontId="35" fillId="0" borderId="12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left" vertical="center" wrapText="1"/>
      <protection locked="0"/>
    </xf>
    <xf numFmtId="3" fontId="0" fillId="0" borderId="25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/>
    <xf numFmtId="3" fontId="6" fillId="0" borderId="23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vertical="center"/>
    </xf>
    <xf numFmtId="3" fontId="6" fillId="0" borderId="17" xfId="0" applyNumberFormat="1" applyFont="1" applyBorder="1" applyAlignment="1" applyProtection="1"/>
    <xf numFmtId="4" fontId="0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0" borderId="24" xfId="0" applyNumberFormat="1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34" fillId="0" borderId="2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6"/>
  <sheetViews>
    <sheetView tabSelected="1" topLeftCell="A75" workbookViewId="0">
      <selection activeCell="K7" sqref="K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</cols>
  <sheetData>
    <row r="1" spans="1:73" ht="21.4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 x14ac:dyDescent="0.3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R2" s="257" t="s">
        <v>8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20" t="s">
        <v>9</v>
      </c>
      <c r="BT2" s="20" t="s">
        <v>10</v>
      </c>
    </row>
    <row r="3" spans="1:73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 x14ac:dyDescent="0.3">
      <c r="B4" s="24"/>
      <c r="C4" s="246" t="s">
        <v>12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5"/>
      <c r="AS4" s="19" t="s">
        <v>13</v>
      </c>
      <c r="BS4" s="20" t="s">
        <v>14</v>
      </c>
    </row>
    <row r="5" spans="1:73" ht="14.45" customHeight="1" x14ac:dyDescent="0.3">
      <c r="B5" s="24"/>
      <c r="C5" s="26"/>
      <c r="D5" s="27" t="s">
        <v>15</v>
      </c>
      <c r="E5" s="26"/>
      <c r="F5" s="26"/>
      <c r="G5" s="26"/>
      <c r="H5" s="26"/>
      <c r="I5" s="26"/>
      <c r="J5" s="26"/>
      <c r="K5" s="259" t="s">
        <v>16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6"/>
      <c r="AQ5" s="25"/>
      <c r="BS5" s="20" t="s">
        <v>9</v>
      </c>
    </row>
    <row r="6" spans="1:73" ht="36.950000000000003" customHeight="1" x14ac:dyDescent="0.3">
      <c r="B6" s="24"/>
      <c r="C6" s="26"/>
      <c r="D6" s="29" t="s">
        <v>17</v>
      </c>
      <c r="E6" s="26"/>
      <c r="F6" s="26"/>
      <c r="G6" s="26"/>
      <c r="H6" s="26"/>
      <c r="I6" s="26"/>
      <c r="J6" s="26"/>
      <c r="K6" s="260" t="s">
        <v>557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6"/>
      <c r="AQ6" s="25"/>
      <c r="BS6" s="20" t="s">
        <v>9</v>
      </c>
    </row>
    <row r="7" spans="1:73" ht="14.45" customHeight="1" x14ac:dyDescent="0.3">
      <c r="B7" s="24"/>
      <c r="C7" s="26"/>
      <c r="D7" s="30" t="s">
        <v>18</v>
      </c>
      <c r="E7" s="26"/>
      <c r="F7" s="26"/>
      <c r="G7" s="26"/>
      <c r="H7" s="26"/>
      <c r="I7" s="26"/>
      <c r="J7" s="26"/>
      <c r="K7" s="28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20</v>
      </c>
      <c r="AL7" s="26"/>
      <c r="AM7" s="26"/>
      <c r="AN7" s="28" t="s">
        <v>19</v>
      </c>
      <c r="AO7" s="26"/>
      <c r="AP7" s="26"/>
      <c r="AQ7" s="25"/>
      <c r="BS7" s="20" t="s">
        <v>9</v>
      </c>
    </row>
    <row r="8" spans="1:73" ht="14.45" customHeight="1" x14ac:dyDescent="0.3">
      <c r="B8" s="24"/>
      <c r="C8" s="26"/>
      <c r="D8" s="30" t="s">
        <v>21</v>
      </c>
      <c r="E8" s="26"/>
      <c r="F8" s="26"/>
      <c r="G8" s="26"/>
      <c r="H8" s="26"/>
      <c r="I8" s="26"/>
      <c r="J8" s="26"/>
      <c r="K8" s="28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23</v>
      </c>
      <c r="AL8" s="26"/>
      <c r="AM8" s="26"/>
      <c r="AN8" s="28" t="s">
        <v>24</v>
      </c>
      <c r="AO8" s="26"/>
      <c r="AP8" s="26"/>
      <c r="AQ8" s="25"/>
      <c r="BS8" s="20" t="s">
        <v>9</v>
      </c>
    </row>
    <row r="9" spans="1:73" ht="14.45" customHeight="1" x14ac:dyDescent="0.3">
      <c r="B9" s="2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BS9" s="20" t="s">
        <v>9</v>
      </c>
    </row>
    <row r="10" spans="1:73" ht="14.45" customHeight="1" x14ac:dyDescent="0.3">
      <c r="B10" s="24"/>
      <c r="C10" s="26"/>
      <c r="D10" s="30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26</v>
      </c>
      <c r="AL10" s="26"/>
      <c r="AM10" s="26"/>
      <c r="AN10" s="28" t="s">
        <v>19</v>
      </c>
      <c r="AO10" s="26"/>
      <c r="AP10" s="26"/>
      <c r="AQ10" s="25"/>
      <c r="BS10" s="20" t="s">
        <v>9</v>
      </c>
    </row>
    <row r="11" spans="1:73" ht="18.399999999999999" customHeight="1" x14ac:dyDescent="0.3">
      <c r="B11" s="24"/>
      <c r="C11" s="26"/>
      <c r="D11" s="26"/>
      <c r="E11" s="28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28</v>
      </c>
      <c r="AL11" s="26"/>
      <c r="AM11" s="26"/>
      <c r="AN11" s="28" t="s">
        <v>19</v>
      </c>
      <c r="AO11" s="26"/>
      <c r="AP11" s="26"/>
      <c r="AQ11" s="25"/>
      <c r="BS11" s="20" t="s">
        <v>9</v>
      </c>
    </row>
    <row r="12" spans="1:73" ht="6.95" customHeight="1" x14ac:dyDescent="0.3">
      <c r="B12" s="2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5"/>
      <c r="BS12" s="20" t="s">
        <v>9</v>
      </c>
    </row>
    <row r="13" spans="1:73" ht="14.45" customHeight="1" x14ac:dyDescent="0.3">
      <c r="B13" s="24"/>
      <c r="C13" s="26"/>
      <c r="D13" s="30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26</v>
      </c>
      <c r="AL13" s="26"/>
      <c r="AM13" s="26"/>
      <c r="AN13" s="28" t="s">
        <v>19</v>
      </c>
      <c r="AO13" s="26"/>
      <c r="AP13" s="26"/>
      <c r="AQ13" s="25"/>
      <c r="BS13" s="20" t="s">
        <v>9</v>
      </c>
    </row>
    <row r="14" spans="1:73" ht="15" x14ac:dyDescent="0.3">
      <c r="B14" s="24"/>
      <c r="C14" s="26"/>
      <c r="D14" s="26"/>
      <c r="E14" s="28" t="s">
        <v>30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 t="s">
        <v>28</v>
      </c>
      <c r="AL14" s="26"/>
      <c r="AM14" s="26"/>
      <c r="AN14" s="28" t="s">
        <v>19</v>
      </c>
      <c r="AO14" s="26"/>
      <c r="AP14" s="26"/>
      <c r="AQ14" s="25"/>
      <c r="BS14" s="20" t="s">
        <v>9</v>
      </c>
    </row>
    <row r="15" spans="1:73" ht="6.95" customHeight="1" x14ac:dyDescent="0.3">
      <c r="B15" s="2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BS15" s="20" t="s">
        <v>6</v>
      </c>
    </row>
    <row r="16" spans="1:73" ht="14.45" customHeight="1" x14ac:dyDescent="0.3">
      <c r="B16" s="24"/>
      <c r="C16" s="26"/>
      <c r="D16" s="30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26</v>
      </c>
      <c r="AL16" s="26"/>
      <c r="AM16" s="26"/>
      <c r="AN16" s="28" t="s">
        <v>19</v>
      </c>
      <c r="AO16" s="26"/>
      <c r="AP16" s="26"/>
      <c r="AQ16" s="25"/>
      <c r="BS16" s="20" t="s">
        <v>6</v>
      </c>
    </row>
    <row r="17" spans="2:71" ht="18.399999999999999" customHeight="1" x14ac:dyDescent="0.3">
      <c r="B17" s="24"/>
      <c r="C17" s="26"/>
      <c r="D17" s="26"/>
      <c r="E17" s="28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28</v>
      </c>
      <c r="AL17" s="26"/>
      <c r="AM17" s="26"/>
      <c r="AN17" s="28" t="s">
        <v>19</v>
      </c>
      <c r="AO17" s="26"/>
      <c r="AP17" s="26"/>
      <c r="AQ17" s="25"/>
      <c r="BS17" s="20" t="s">
        <v>33</v>
      </c>
    </row>
    <row r="18" spans="2:71" ht="6.95" customHeight="1" x14ac:dyDescent="0.3">
      <c r="B18" s="2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5"/>
      <c r="BS18" s="20" t="s">
        <v>9</v>
      </c>
    </row>
    <row r="19" spans="2:71" ht="14.45" customHeight="1" x14ac:dyDescent="0.3">
      <c r="B19" s="24"/>
      <c r="C19" s="26"/>
      <c r="D19" s="30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26</v>
      </c>
      <c r="AL19" s="26"/>
      <c r="AM19" s="26"/>
      <c r="AN19" s="28" t="s">
        <v>19</v>
      </c>
      <c r="AO19" s="26"/>
      <c r="AP19" s="26"/>
      <c r="AQ19" s="25"/>
      <c r="BS19" s="20" t="s">
        <v>9</v>
      </c>
    </row>
    <row r="20" spans="2:71" ht="18.399999999999999" customHeight="1" x14ac:dyDescent="0.3">
      <c r="B20" s="24"/>
      <c r="C20" s="26"/>
      <c r="D20" s="26"/>
      <c r="E20" s="28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28</v>
      </c>
      <c r="AL20" s="26"/>
      <c r="AM20" s="26"/>
      <c r="AN20" s="28" t="s">
        <v>19</v>
      </c>
      <c r="AO20" s="26"/>
      <c r="AP20" s="26"/>
      <c r="AQ20" s="25"/>
    </row>
    <row r="21" spans="2:71" ht="6.95" customHeight="1" x14ac:dyDescent="0.3"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5"/>
    </row>
    <row r="22" spans="2:71" ht="15" x14ac:dyDescent="0.3">
      <c r="B22" s="24"/>
      <c r="C22" s="26"/>
      <c r="D22" s="30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5"/>
    </row>
    <row r="23" spans="2:71" ht="16.5" customHeight="1" x14ac:dyDescent="0.3">
      <c r="B23" s="24"/>
      <c r="C23" s="26"/>
      <c r="D23" s="26"/>
      <c r="E23" s="254" t="s">
        <v>19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6"/>
      <c r="AP23" s="26"/>
      <c r="AQ23" s="25"/>
    </row>
    <row r="24" spans="2:71" ht="6.95" customHeight="1" x14ac:dyDescent="0.3">
      <c r="B24" s="2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</row>
    <row r="25" spans="2:71" ht="6.95" customHeight="1" x14ac:dyDescent="0.3">
      <c r="B25" s="24"/>
      <c r="C25" s="2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6"/>
      <c r="AQ25" s="25"/>
    </row>
    <row r="26" spans="2:71" ht="14.45" customHeight="1" x14ac:dyDescent="0.3">
      <c r="B26" s="24"/>
      <c r="C26" s="26"/>
      <c r="D26" s="32" t="s">
        <v>37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50">
        <f>ROUND(AG87,2)</f>
        <v>0</v>
      </c>
      <c r="AL26" s="251"/>
      <c r="AM26" s="251"/>
      <c r="AN26" s="251"/>
      <c r="AO26" s="251"/>
      <c r="AP26" s="26"/>
      <c r="AQ26" s="25"/>
    </row>
    <row r="27" spans="2:71" ht="14.45" customHeight="1" x14ac:dyDescent="0.3">
      <c r="B27" s="24"/>
      <c r="C27" s="26"/>
      <c r="D27" s="32" t="s">
        <v>38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50" t="e">
        <f>ROUND(#REF!,2)</f>
        <v>#REF!</v>
      </c>
      <c r="AL27" s="250"/>
      <c r="AM27" s="250"/>
      <c r="AN27" s="250"/>
      <c r="AO27" s="250"/>
      <c r="AP27" s="26"/>
      <c r="AQ27" s="25"/>
    </row>
    <row r="28" spans="2:71" s="1" customFormat="1" ht="6.95" customHeight="1" x14ac:dyDescent="0.3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71" s="1" customFormat="1" ht="25.9" customHeight="1" x14ac:dyDescent="0.3">
      <c r="B29" s="33"/>
      <c r="C29" s="34"/>
      <c r="D29" s="36" t="s">
        <v>39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52" t="e">
        <f>ROUND(AK26+AK27,2)</f>
        <v>#REF!</v>
      </c>
      <c r="AL29" s="253"/>
      <c r="AM29" s="253"/>
      <c r="AN29" s="253"/>
      <c r="AO29" s="253"/>
      <c r="AP29" s="34"/>
      <c r="AQ29" s="35"/>
    </row>
    <row r="30" spans="2:71" s="1" customFormat="1" ht="6.95" customHeight="1" x14ac:dyDescent="0.3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2:71" s="2" customFormat="1" ht="14.45" customHeight="1" x14ac:dyDescent="0.3">
      <c r="B31" s="38"/>
      <c r="C31" s="39"/>
      <c r="D31" s="40" t="s">
        <v>40</v>
      </c>
      <c r="E31" s="39"/>
      <c r="F31" s="40" t="s">
        <v>41</v>
      </c>
      <c r="G31" s="39"/>
      <c r="H31" s="39"/>
      <c r="I31" s="39"/>
      <c r="J31" s="39"/>
      <c r="K31" s="39"/>
      <c r="L31" s="239">
        <v>0.21</v>
      </c>
      <c r="M31" s="240"/>
      <c r="N31" s="240"/>
      <c r="O31" s="240"/>
      <c r="P31" s="39"/>
      <c r="Q31" s="39"/>
      <c r="R31" s="39"/>
      <c r="S31" s="39"/>
      <c r="T31" s="42" t="s">
        <v>42</v>
      </c>
      <c r="U31" s="39"/>
      <c r="V31" s="39"/>
      <c r="W31" s="241" t="e">
        <f>ROUND(AZ87+SUM(CD94),2)</f>
        <v>#REF!</v>
      </c>
      <c r="X31" s="240"/>
      <c r="Y31" s="240"/>
      <c r="Z31" s="240"/>
      <c r="AA31" s="240"/>
      <c r="AB31" s="240"/>
      <c r="AC31" s="240"/>
      <c r="AD31" s="240"/>
      <c r="AE31" s="240"/>
      <c r="AF31" s="39"/>
      <c r="AG31" s="39"/>
      <c r="AH31" s="39"/>
      <c r="AI31" s="39"/>
      <c r="AJ31" s="39"/>
      <c r="AK31" s="241" t="e">
        <f>ROUND(AV87+SUM(BY94),2)</f>
        <v>#REF!</v>
      </c>
      <c r="AL31" s="240"/>
      <c r="AM31" s="240"/>
      <c r="AN31" s="240"/>
      <c r="AO31" s="240"/>
      <c r="AP31" s="39"/>
      <c r="AQ31" s="43"/>
    </row>
    <row r="32" spans="2:71" s="2" customFormat="1" ht="14.45" customHeight="1" x14ac:dyDescent="0.3">
      <c r="B32" s="38"/>
      <c r="C32" s="39"/>
      <c r="D32" s="39"/>
      <c r="E32" s="39"/>
      <c r="F32" s="40" t="s">
        <v>43</v>
      </c>
      <c r="G32" s="39"/>
      <c r="H32" s="39"/>
      <c r="I32" s="39"/>
      <c r="J32" s="39"/>
      <c r="K32" s="39"/>
      <c r="L32" s="239">
        <v>0.15</v>
      </c>
      <c r="M32" s="240"/>
      <c r="N32" s="240"/>
      <c r="O32" s="240"/>
      <c r="P32" s="39"/>
      <c r="Q32" s="39"/>
      <c r="R32" s="39"/>
      <c r="S32" s="39"/>
      <c r="T32" s="42" t="s">
        <v>42</v>
      </c>
      <c r="U32" s="39"/>
      <c r="V32" s="39"/>
      <c r="W32" s="241" t="e">
        <f>ROUND(BA87+SUM(CE94),2)</f>
        <v>#REF!</v>
      </c>
      <c r="X32" s="240"/>
      <c r="Y32" s="240"/>
      <c r="Z32" s="240"/>
      <c r="AA32" s="240"/>
      <c r="AB32" s="240"/>
      <c r="AC32" s="240"/>
      <c r="AD32" s="240"/>
      <c r="AE32" s="240"/>
      <c r="AF32" s="39"/>
      <c r="AG32" s="39"/>
      <c r="AH32" s="39"/>
      <c r="AI32" s="39"/>
      <c r="AJ32" s="39"/>
      <c r="AK32" s="241" t="e">
        <f>ROUND(AW87+SUM(BZ94),2)</f>
        <v>#REF!</v>
      </c>
      <c r="AL32" s="240"/>
      <c r="AM32" s="240"/>
      <c r="AN32" s="240"/>
      <c r="AO32" s="240"/>
      <c r="AP32" s="39"/>
      <c r="AQ32" s="43"/>
    </row>
    <row r="33" spans="2:43" s="2" customFormat="1" ht="14.45" hidden="1" customHeight="1" x14ac:dyDescent="0.3">
      <c r="B33" s="38"/>
      <c r="C33" s="39"/>
      <c r="D33" s="39"/>
      <c r="E33" s="39"/>
      <c r="F33" s="40" t="s">
        <v>44</v>
      </c>
      <c r="G33" s="39"/>
      <c r="H33" s="39"/>
      <c r="I33" s="39"/>
      <c r="J33" s="39"/>
      <c r="K33" s="39"/>
      <c r="L33" s="239">
        <v>0.21</v>
      </c>
      <c r="M33" s="240"/>
      <c r="N33" s="240"/>
      <c r="O33" s="240"/>
      <c r="P33" s="39"/>
      <c r="Q33" s="39"/>
      <c r="R33" s="39"/>
      <c r="S33" s="39"/>
      <c r="T33" s="42" t="s">
        <v>42</v>
      </c>
      <c r="U33" s="39"/>
      <c r="V33" s="39"/>
      <c r="W33" s="241" t="e">
        <f>ROUND(BB87+SUM(CF94),2)</f>
        <v>#REF!</v>
      </c>
      <c r="X33" s="240"/>
      <c r="Y33" s="240"/>
      <c r="Z33" s="240"/>
      <c r="AA33" s="240"/>
      <c r="AB33" s="240"/>
      <c r="AC33" s="240"/>
      <c r="AD33" s="240"/>
      <c r="AE33" s="240"/>
      <c r="AF33" s="39"/>
      <c r="AG33" s="39"/>
      <c r="AH33" s="39"/>
      <c r="AI33" s="39"/>
      <c r="AJ33" s="39"/>
      <c r="AK33" s="241">
        <v>0</v>
      </c>
      <c r="AL33" s="240"/>
      <c r="AM33" s="240"/>
      <c r="AN33" s="240"/>
      <c r="AO33" s="240"/>
      <c r="AP33" s="39"/>
      <c r="AQ33" s="43"/>
    </row>
    <row r="34" spans="2:43" s="2" customFormat="1" ht="14.45" hidden="1" customHeight="1" x14ac:dyDescent="0.3">
      <c r="B34" s="38"/>
      <c r="C34" s="39"/>
      <c r="D34" s="39"/>
      <c r="E34" s="39"/>
      <c r="F34" s="40" t="s">
        <v>45</v>
      </c>
      <c r="G34" s="39"/>
      <c r="H34" s="39"/>
      <c r="I34" s="39"/>
      <c r="J34" s="39"/>
      <c r="K34" s="39"/>
      <c r="L34" s="239">
        <v>0.15</v>
      </c>
      <c r="M34" s="240"/>
      <c r="N34" s="240"/>
      <c r="O34" s="240"/>
      <c r="P34" s="39"/>
      <c r="Q34" s="39"/>
      <c r="R34" s="39"/>
      <c r="S34" s="39"/>
      <c r="T34" s="42" t="s">
        <v>42</v>
      </c>
      <c r="U34" s="39"/>
      <c r="V34" s="39"/>
      <c r="W34" s="241" t="e">
        <f>ROUND(BC87+SUM(CG94),2)</f>
        <v>#REF!</v>
      </c>
      <c r="X34" s="240"/>
      <c r="Y34" s="240"/>
      <c r="Z34" s="240"/>
      <c r="AA34" s="240"/>
      <c r="AB34" s="240"/>
      <c r="AC34" s="240"/>
      <c r="AD34" s="240"/>
      <c r="AE34" s="240"/>
      <c r="AF34" s="39"/>
      <c r="AG34" s="39"/>
      <c r="AH34" s="39"/>
      <c r="AI34" s="39"/>
      <c r="AJ34" s="39"/>
      <c r="AK34" s="241">
        <v>0</v>
      </c>
      <c r="AL34" s="240"/>
      <c r="AM34" s="240"/>
      <c r="AN34" s="240"/>
      <c r="AO34" s="240"/>
      <c r="AP34" s="39"/>
      <c r="AQ34" s="43"/>
    </row>
    <row r="35" spans="2:43" s="2" customFormat="1" ht="14.45" hidden="1" customHeight="1" x14ac:dyDescent="0.3">
      <c r="B35" s="38"/>
      <c r="C35" s="39"/>
      <c r="D35" s="39"/>
      <c r="E35" s="39"/>
      <c r="F35" s="40" t="s">
        <v>46</v>
      </c>
      <c r="G35" s="39"/>
      <c r="H35" s="39"/>
      <c r="I35" s="39"/>
      <c r="J35" s="39"/>
      <c r="K35" s="39"/>
      <c r="L35" s="239">
        <v>0</v>
      </c>
      <c r="M35" s="240"/>
      <c r="N35" s="240"/>
      <c r="O35" s="240"/>
      <c r="P35" s="39"/>
      <c r="Q35" s="39"/>
      <c r="R35" s="39"/>
      <c r="S35" s="39"/>
      <c r="T35" s="42" t="s">
        <v>42</v>
      </c>
      <c r="U35" s="39"/>
      <c r="V35" s="39"/>
      <c r="W35" s="241" t="e">
        <f>ROUND(BD87+SUM(CH94),2)</f>
        <v>#REF!</v>
      </c>
      <c r="X35" s="240"/>
      <c r="Y35" s="240"/>
      <c r="Z35" s="240"/>
      <c r="AA35" s="240"/>
      <c r="AB35" s="240"/>
      <c r="AC35" s="240"/>
      <c r="AD35" s="240"/>
      <c r="AE35" s="240"/>
      <c r="AF35" s="39"/>
      <c r="AG35" s="39"/>
      <c r="AH35" s="39"/>
      <c r="AI35" s="39"/>
      <c r="AJ35" s="39"/>
      <c r="AK35" s="241">
        <v>0</v>
      </c>
      <c r="AL35" s="240"/>
      <c r="AM35" s="240"/>
      <c r="AN35" s="240"/>
      <c r="AO35" s="240"/>
      <c r="AP35" s="39"/>
      <c r="AQ35" s="43"/>
    </row>
    <row r="36" spans="2:43" s="1" customFormat="1" ht="6.95" customHeight="1" x14ac:dyDescent="0.3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43" s="1" customFormat="1" ht="25.9" customHeight="1" x14ac:dyDescent="0.3">
      <c r="B37" s="33"/>
      <c r="C37" s="44"/>
      <c r="D37" s="45" t="s">
        <v>47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48</v>
      </c>
      <c r="U37" s="46"/>
      <c r="V37" s="46"/>
      <c r="W37" s="46"/>
      <c r="X37" s="242" t="s">
        <v>49</v>
      </c>
      <c r="Y37" s="243"/>
      <c r="Z37" s="243"/>
      <c r="AA37" s="243"/>
      <c r="AB37" s="243"/>
      <c r="AC37" s="46"/>
      <c r="AD37" s="46"/>
      <c r="AE37" s="46"/>
      <c r="AF37" s="46"/>
      <c r="AG37" s="46"/>
      <c r="AH37" s="46"/>
      <c r="AI37" s="46"/>
      <c r="AJ37" s="46"/>
      <c r="AK37" s="244" t="e">
        <f>SUM(AK29:AK35)</f>
        <v>#REF!</v>
      </c>
      <c r="AL37" s="243"/>
      <c r="AM37" s="243"/>
      <c r="AN37" s="243"/>
      <c r="AO37" s="245"/>
      <c r="AP37" s="44"/>
      <c r="AQ37" s="35"/>
    </row>
    <row r="38" spans="2:43" s="1" customFormat="1" ht="14.45" customHeigh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43" x14ac:dyDescent="0.3"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5"/>
    </row>
    <row r="40" spans="2:43" x14ac:dyDescent="0.3">
      <c r="B40" s="24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</row>
    <row r="41" spans="2:43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</row>
    <row r="42" spans="2:43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</row>
    <row r="43" spans="2:43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5"/>
    </row>
    <row r="44" spans="2:43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</row>
    <row r="45" spans="2:43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5"/>
    </row>
    <row r="46" spans="2:43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5"/>
    </row>
    <row r="47" spans="2:43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5"/>
    </row>
    <row r="48" spans="2:43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5"/>
    </row>
    <row r="49" spans="2:43" s="1" customFormat="1" ht="15" x14ac:dyDescent="0.3">
      <c r="B49" s="33"/>
      <c r="C49" s="34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51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x14ac:dyDescent="0.3">
      <c r="B50" s="24"/>
      <c r="C50" s="26"/>
      <c r="D50" s="51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2"/>
      <c r="AA50" s="26"/>
      <c r="AB50" s="26"/>
      <c r="AC50" s="51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2"/>
      <c r="AP50" s="26"/>
      <c r="AQ50" s="25"/>
    </row>
    <row r="51" spans="2:43" x14ac:dyDescent="0.3">
      <c r="B51" s="24"/>
      <c r="C51" s="26"/>
      <c r="D51" s="5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2"/>
      <c r="AA51" s="26"/>
      <c r="AB51" s="26"/>
      <c r="AC51" s="51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2"/>
      <c r="AP51" s="26"/>
      <c r="AQ51" s="25"/>
    </row>
    <row r="52" spans="2:43" x14ac:dyDescent="0.3">
      <c r="B52" s="24"/>
      <c r="C52" s="26"/>
      <c r="D52" s="5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2"/>
      <c r="AA52" s="26"/>
      <c r="AB52" s="26"/>
      <c r="AC52" s="51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2"/>
      <c r="AP52" s="26"/>
      <c r="AQ52" s="25"/>
    </row>
    <row r="53" spans="2:43" x14ac:dyDescent="0.3">
      <c r="B53" s="24"/>
      <c r="C53" s="26"/>
      <c r="D53" s="51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2"/>
      <c r="AA53" s="26"/>
      <c r="AB53" s="26"/>
      <c r="AC53" s="51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2"/>
      <c r="AP53" s="26"/>
      <c r="AQ53" s="25"/>
    </row>
    <row r="54" spans="2:43" x14ac:dyDescent="0.3">
      <c r="B54" s="24"/>
      <c r="C54" s="26"/>
      <c r="D54" s="51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2"/>
      <c r="AA54" s="26"/>
      <c r="AB54" s="26"/>
      <c r="AC54" s="51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2"/>
      <c r="AP54" s="26"/>
      <c r="AQ54" s="25"/>
    </row>
    <row r="55" spans="2:43" x14ac:dyDescent="0.3">
      <c r="B55" s="24"/>
      <c r="C55" s="26"/>
      <c r="D55" s="5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2"/>
      <c r="AA55" s="26"/>
      <c r="AB55" s="26"/>
      <c r="AC55" s="51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2"/>
      <c r="AP55" s="26"/>
      <c r="AQ55" s="25"/>
    </row>
    <row r="56" spans="2:43" x14ac:dyDescent="0.3">
      <c r="B56" s="24"/>
      <c r="C56" s="26"/>
      <c r="D56" s="51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2"/>
      <c r="AA56" s="26"/>
      <c r="AB56" s="26"/>
      <c r="AC56" s="51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2"/>
      <c r="AP56" s="26"/>
      <c r="AQ56" s="25"/>
    </row>
    <row r="57" spans="2:43" x14ac:dyDescent="0.3">
      <c r="B57" s="24"/>
      <c r="C57" s="26"/>
      <c r="D57" s="5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2"/>
      <c r="AA57" s="26"/>
      <c r="AB57" s="26"/>
      <c r="AC57" s="51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2"/>
      <c r="AP57" s="26"/>
      <c r="AQ57" s="25"/>
    </row>
    <row r="58" spans="2:43" s="1" customFormat="1" ht="15" x14ac:dyDescent="0.3">
      <c r="B58" s="33"/>
      <c r="C58" s="34"/>
      <c r="D58" s="53" t="s">
        <v>52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53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52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53</v>
      </c>
      <c r="AN58" s="54"/>
      <c r="AO58" s="56"/>
      <c r="AP58" s="34"/>
      <c r="AQ58" s="35"/>
    </row>
    <row r="59" spans="2:43" x14ac:dyDescent="0.3">
      <c r="B59" s="24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</row>
    <row r="60" spans="2:43" s="1" customFormat="1" ht="15" x14ac:dyDescent="0.3">
      <c r="B60" s="33"/>
      <c r="C60" s="34"/>
      <c r="D60" s="48" t="s">
        <v>54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55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x14ac:dyDescent="0.3">
      <c r="B61" s="24"/>
      <c r="C61" s="26"/>
      <c r="D61" s="5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2"/>
      <c r="AA61" s="26"/>
      <c r="AB61" s="26"/>
      <c r="AC61" s="51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2"/>
      <c r="AP61" s="26"/>
      <c r="AQ61" s="25"/>
    </row>
    <row r="62" spans="2:43" x14ac:dyDescent="0.3">
      <c r="B62" s="24"/>
      <c r="C62" s="26"/>
      <c r="D62" s="5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2"/>
      <c r="AA62" s="26"/>
      <c r="AB62" s="26"/>
      <c r="AC62" s="51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2"/>
      <c r="AP62" s="26"/>
      <c r="AQ62" s="25"/>
    </row>
    <row r="63" spans="2:43" x14ac:dyDescent="0.3">
      <c r="B63" s="24"/>
      <c r="C63" s="26"/>
      <c r="D63" s="51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2"/>
      <c r="AA63" s="26"/>
      <c r="AB63" s="26"/>
      <c r="AC63" s="51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2"/>
      <c r="AP63" s="26"/>
      <c r="AQ63" s="25"/>
    </row>
    <row r="64" spans="2:43" x14ac:dyDescent="0.3">
      <c r="B64" s="24"/>
      <c r="C64" s="26"/>
      <c r="D64" s="5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2"/>
      <c r="AA64" s="26"/>
      <c r="AB64" s="26"/>
      <c r="AC64" s="51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2"/>
      <c r="AP64" s="26"/>
      <c r="AQ64" s="25"/>
    </row>
    <row r="65" spans="2:43" x14ac:dyDescent="0.3">
      <c r="B65" s="24"/>
      <c r="C65" s="26"/>
      <c r="D65" s="5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2"/>
      <c r="AA65" s="26"/>
      <c r="AB65" s="26"/>
      <c r="AC65" s="51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2"/>
      <c r="AP65" s="26"/>
      <c r="AQ65" s="25"/>
    </row>
    <row r="66" spans="2:43" x14ac:dyDescent="0.3">
      <c r="B66" s="24"/>
      <c r="C66" s="26"/>
      <c r="D66" s="5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2"/>
      <c r="AA66" s="26"/>
      <c r="AB66" s="26"/>
      <c r="AC66" s="51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2"/>
      <c r="AP66" s="26"/>
      <c r="AQ66" s="25"/>
    </row>
    <row r="67" spans="2:43" x14ac:dyDescent="0.3">
      <c r="B67" s="24"/>
      <c r="C67" s="26"/>
      <c r="D67" s="51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2"/>
      <c r="AA67" s="26"/>
      <c r="AB67" s="26"/>
      <c r="AC67" s="51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2"/>
      <c r="AP67" s="26"/>
      <c r="AQ67" s="25"/>
    </row>
    <row r="68" spans="2:43" x14ac:dyDescent="0.3">
      <c r="B68" s="24"/>
      <c r="C68" s="26"/>
      <c r="D68" s="51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2"/>
      <c r="AA68" s="26"/>
      <c r="AB68" s="26"/>
      <c r="AC68" s="51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2"/>
      <c r="AP68" s="26"/>
      <c r="AQ68" s="25"/>
    </row>
    <row r="69" spans="2:43" s="1" customFormat="1" ht="15" x14ac:dyDescent="0.3">
      <c r="B69" s="33"/>
      <c r="C69" s="34"/>
      <c r="D69" s="53" t="s">
        <v>52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53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52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53</v>
      </c>
      <c r="AN69" s="54"/>
      <c r="AO69" s="56"/>
      <c r="AP69" s="34"/>
      <c r="AQ69" s="35"/>
    </row>
    <row r="70" spans="2:43" s="1" customFormat="1" ht="6.95" customHeight="1" x14ac:dyDescent="0.3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 x14ac:dyDescent="0.3">
      <c r="B76" s="33"/>
      <c r="C76" s="246" t="s">
        <v>56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35"/>
    </row>
    <row r="77" spans="2:43" s="3" customFormat="1" ht="14.45" customHeight="1" x14ac:dyDescent="0.3">
      <c r="B77" s="63"/>
      <c r="C77" s="30" t="s">
        <v>15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2017082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 x14ac:dyDescent="0.3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248" t="str">
        <f>K6</f>
        <v>LIKVIDACE NEVYUŽÍVANÝCH VODOHOSPODÁŘSKÝCH OBJEKTŮ</v>
      </c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68"/>
      <c r="AQ78" s="69"/>
    </row>
    <row r="79" spans="2:43" s="1" customFormat="1" ht="6.9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 x14ac:dyDescent="0.3">
      <c r="B80" s="33"/>
      <c r="C80" s="30" t="s">
        <v>21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 xml:space="preserve"> 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0" t="s">
        <v>23</v>
      </c>
      <c r="AJ80" s="34"/>
      <c r="AK80" s="34"/>
      <c r="AL80" s="34"/>
      <c r="AM80" s="71" t="str">
        <f>IF(AN8= "","",AN8)</f>
        <v>11. 8. 2017</v>
      </c>
      <c r="AN80" s="34"/>
      <c r="AO80" s="34"/>
      <c r="AP80" s="34"/>
      <c r="AQ80" s="35"/>
    </row>
    <row r="81" spans="1:76" s="1" customFormat="1" ht="6.95" customHeight="1" x14ac:dyDescent="0.3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5" x14ac:dyDescent="0.3">
      <c r="B82" s="33"/>
      <c r="C82" s="30" t="s">
        <v>25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VODOVODY A KANALIZACE MLADÁ BOLESLAV A.S.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0" t="s">
        <v>31</v>
      </c>
      <c r="AJ82" s="34"/>
      <c r="AK82" s="34"/>
      <c r="AL82" s="34"/>
      <c r="AM82" s="238" t="str">
        <f>IF(E17="","",E17)</f>
        <v>ING.EVŽEN KOZÁK S.R.O.</v>
      </c>
      <c r="AN82" s="238"/>
      <c r="AO82" s="238"/>
      <c r="AP82" s="238"/>
      <c r="AQ82" s="35"/>
      <c r="AS82" s="232" t="s">
        <v>57</v>
      </c>
      <c r="AT82" s="233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76" s="1" customFormat="1" ht="15" x14ac:dyDescent="0.3">
      <c r="B83" s="33"/>
      <c r="C83" s="30" t="s">
        <v>29</v>
      </c>
      <c r="D83" s="34"/>
      <c r="E83" s="34"/>
      <c r="F83" s="34"/>
      <c r="G83" s="34"/>
      <c r="H83" s="34"/>
      <c r="I83" s="34"/>
      <c r="J83" s="34"/>
      <c r="K83" s="34"/>
      <c r="L83" s="64" t="str">
        <f>IF(E14="","",E14)</f>
        <v>DLE VÝBĚROVÉHO ŘÍZENÍ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0" t="s">
        <v>34</v>
      </c>
      <c r="AJ83" s="34"/>
      <c r="AK83" s="34"/>
      <c r="AL83" s="34"/>
      <c r="AM83" s="238" t="str">
        <f>IF(E20="","",E20)</f>
        <v>ING.EVŽEN KOZÁK</v>
      </c>
      <c r="AN83" s="238"/>
      <c r="AO83" s="238"/>
      <c r="AP83" s="238"/>
      <c r="AQ83" s="35"/>
      <c r="AS83" s="234"/>
      <c r="AT83" s="235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76" s="1" customFormat="1" ht="10.9" customHeight="1" x14ac:dyDescent="0.3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36"/>
      <c r="AT84" s="237"/>
      <c r="AU84" s="34"/>
      <c r="AV84" s="34"/>
      <c r="AW84" s="34"/>
      <c r="AX84" s="34"/>
      <c r="AY84" s="34"/>
      <c r="AZ84" s="34"/>
      <c r="BA84" s="34"/>
      <c r="BB84" s="34"/>
      <c r="BC84" s="34"/>
      <c r="BD84" s="76"/>
    </row>
    <row r="85" spans="1:76" s="1" customFormat="1" ht="29.25" customHeight="1" x14ac:dyDescent="0.3">
      <c r="B85" s="33"/>
      <c r="C85" s="227" t="s">
        <v>58</v>
      </c>
      <c r="D85" s="228"/>
      <c r="E85" s="228"/>
      <c r="F85" s="228"/>
      <c r="G85" s="228"/>
      <c r="H85" s="77"/>
      <c r="I85" s="229" t="s">
        <v>59</v>
      </c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9" t="s">
        <v>60</v>
      </c>
      <c r="AH85" s="228"/>
      <c r="AI85" s="228"/>
      <c r="AJ85" s="228"/>
      <c r="AK85" s="228"/>
      <c r="AL85" s="228"/>
      <c r="AM85" s="228"/>
      <c r="AN85" s="229" t="s">
        <v>61</v>
      </c>
      <c r="AO85" s="228"/>
      <c r="AP85" s="230"/>
      <c r="AQ85" s="35"/>
      <c r="AS85" s="78" t="s">
        <v>62</v>
      </c>
      <c r="AT85" s="79" t="s">
        <v>63</v>
      </c>
      <c r="AU85" s="79" t="s">
        <v>64</v>
      </c>
      <c r="AV85" s="79" t="s">
        <v>65</v>
      </c>
      <c r="AW85" s="79" t="s">
        <v>66</v>
      </c>
      <c r="AX85" s="79" t="s">
        <v>67</v>
      </c>
      <c r="AY85" s="79" t="s">
        <v>68</v>
      </c>
      <c r="AZ85" s="79" t="s">
        <v>69</v>
      </c>
      <c r="BA85" s="79" t="s">
        <v>70</v>
      </c>
      <c r="BB85" s="79" t="s">
        <v>71</v>
      </c>
      <c r="BC85" s="79" t="s">
        <v>72</v>
      </c>
      <c r="BD85" s="80" t="s">
        <v>73</v>
      </c>
    </row>
    <row r="86" spans="1:76" s="1" customFormat="1" ht="10.9" customHeight="1" x14ac:dyDescent="0.3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1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450000000000003" customHeight="1" x14ac:dyDescent="0.3">
      <c r="B87" s="66"/>
      <c r="C87" s="82" t="s">
        <v>74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31">
        <f>ROUND(SUM(AG88:AG92),2)</f>
        <v>0</v>
      </c>
      <c r="AH87" s="231"/>
      <c r="AI87" s="231"/>
      <c r="AJ87" s="231"/>
      <c r="AK87" s="231"/>
      <c r="AL87" s="231"/>
      <c r="AM87" s="231"/>
      <c r="AN87" s="226">
        <f>AG87*1.21</f>
        <v>0</v>
      </c>
      <c r="AO87" s="226"/>
      <c r="AP87" s="226"/>
      <c r="AQ87" s="69"/>
      <c r="AS87" s="84" t="e">
        <f>ROUND(SUM(AS88:AS92),2)</f>
        <v>#REF!</v>
      </c>
      <c r="AT87" s="85" t="e">
        <f t="shared" ref="AT87:AT92" si="0">ROUND(SUM(AV87:AW87),2)</f>
        <v>#REF!</v>
      </c>
      <c r="AU87" s="86" t="e">
        <f>ROUND(SUM(AU88:AU92),5)</f>
        <v>#REF!</v>
      </c>
      <c r="AV87" s="85" t="e">
        <f>ROUND(AZ87*L31,2)</f>
        <v>#REF!</v>
      </c>
      <c r="AW87" s="85" t="e">
        <f>ROUND(BA87*L32,2)</f>
        <v>#REF!</v>
      </c>
      <c r="AX87" s="85" t="e">
        <f>ROUND(BB87*L31,2)</f>
        <v>#REF!</v>
      </c>
      <c r="AY87" s="85" t="e">
        <f>ROUND(BC87*L32,2)</f>
        <v>#REF!</v>
      </c>
      <c r="AZ87" s="85" t="e">
        <f>ROUND(SUM(AZ88:AZ92),2)</f>
        <v>#REF!</v>
      </c>
      <c r="BA87" s="85" t="e">
        <f>ROUND(SUM(BA88:BA92),2)</f>
        <v>#REF!</v>
      </c>
      <c r="BB87" s="85" t="e">
        <f>ROUND(SUM(BB88:BB92),2)</f>
        <v>#REF!</v>
      </c>
      <c r="BC87" s="85" t="e">
        <f>ROUND(SUM(BC88:BC92),2)</f>
        <v>#REF!</v>
      </c>
      <c r="BD87" s="87" t="e">
        <f>ROUND(SUM(BD88:BD92),2)</f>
        <v>#REF!</v>
      </c>
      <c r="BS87" s="88" t="s">
        <v>75</v>
      </c>
      <c r="BT87" s="88" t="s">
        <v>76</v>
      </c>
      <c r="BU87" s="89" t="s">
        <v>77</v>
      </c>
      <c r="BV87" s="88" t="s">
        <v>78</v>
      </c>
      <c r="BW87" s="88" t="s">
        <v>79</v>
      </c>
      <c r="BX87" s="88" t="s">
        <v>80</v>
      </c>
    </row>
    <row r="88" spans="1:76" s="5" customFormat="1" ht="63" customHeight="1" x14ac:dyDescent="0.3">
      <c r="A88" s="90" t="s">
        <v>81</v>
      </c>
      <c r="B88" s="91"/>
      <c r="C88" s="92"/>
      <c r="D88" s="223"/>
      <c r="E88" s="223"/>
      <c r="F88" s="223"/>
      <c r="G88" s="223"/>
      <c r="H88" s="223"/>
      <c r="I88" s="93"/>
      <c r="J88" s="223" t="s">
        <v>82</v>
      </c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4">
        <f>Mukařov!L107</f>
        <v>0</v>
      </c>
      <c r="AH88" s="225"/>
      <c r="AI88" s="225"/>
      <c r="AJ88" s="225"/>
      <c r="AK88" s="225"/>
      <c r="AL88" s="225"/>
      <c r="AM88" s="225"/>
      <c r="AN88" s="226">
        <f t="shared" ref="AN88:AN92" si="1">AG88*1.21</f>
        <v>0</v>
      </c>
      <c r="AO88" s="226"/>
      <c r="AP88" s="226"/>
      <c r="AQ88" s="94"/>
      <c r="AS88" s="95" t="e">
        <f>#REF!</f>
        <v>#REF!</v>
      </c>
      <c r="AT88" s="96" t="e">
        <f t="shared" si="0"/>
        <v>#REF!</v>
      </c>
      <c r="AU88" s="97" t="e">
        <f>#REF!</f>
        <v>#REF!</v>
      </c>
      <c r="AV88" s="96" t="e">
        <f>#REF!</f>
        <v>#REF!</v>
      </c>
      <c r="AW88" s="96" t="e">
        <f>#REF!</f>
        <v>#REF!</v>
      </c>
      <c r="AX88" s="96" t="e">
        <f>#REF!</f>
        <v>#REF!</v>
      </c>
      <c r="AY88" s="96" t="e">
        <f>#REF!</f>
        <v>#REF!</v>
      </c>
      <c r="AZ88" s="96" t="e">
        <f>#REF!</f>
        <v>#REF!</v>
      </c>
      <c r="BA88" s="96" t="e">
        <f>#REF!</f>
        <v>#REF!</v>
      </c>
      <c r="BB88" s="96" t="e">
        <f>#REF!</f>
        <v>#REF!</v>
      </c>
      <c r="BC88" s="96" t="e">
        <f>#REF!</f>
        <v>#REF!</v>
      </c>
      <c r="BD88" s="98" t="e">
        <f>#REF!</f>
        <v>#REF!</v>
      </c>
      <c r="BT88" s="99" t="s">
        <v>83</v>
      </c>
      <c r="BV88" s="99" t="s">
        <v>78</v>
      </c>
      <c r="BW88" s="99" t="s">
        <v>84</v>
      </c>
      <c r="BX88" s="99" t="s">
        <v>79</v>
      </c>
    </row>
    <row r="89" spans="1:76" s="5" customFormat="1" ht="63" customHeight="1" x14ac:dyDescent="0.3">
      <c r="A89" s="90" t="s">
        <v>81</v>
      </c>
      <c r="B89" s="91"/>
      <c r="C89" s="92"/>
      <c r="D89" s="223"/>
      <c r="E89" s="223"/>
      <c r="F89" s="223"/>
      <c r="G89" s="223"/>
      <c r="H89" s="223"/>
      <c r="I89" s="93"/>
      <c r="J89" s="223" t="s">
        <v>85</v>
      </c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4">
        <f>Němčice!L104</f>
        <v>0</v>
      </c>
      <c r="AH89" s="225"/>
      <c r="AI89" s="225"/>
      <c r="AJ89" s="225"/>
      <c r="AK89" s="225"/>
      <c r="AL89" s="225"/>
      <c r="AM89" s="225"/>
      <c r="AN89" s="226">
        <f t="shared" si="1"/>
        <v>0</v>
      </c>
      <c r="AO89" s="226"/>
      <c r="AP89" s="226"/>
      <c r="AQ89" s="94"/>
      <c r="AS89" s="95" t="e">
        <f>#REF!</f>
        <v>#REF!</v>
      </c>
      <c r="AT89" s="96" t="e">
        <f t="shared" si="0"/>
        <v>#REF!</v>
      </c>
      <c r="AU89" s="97" t="e">
        <f>#REF!</f>
        <v>#REF!</v>
      </c>
      <c r="AV89" s="96" t="e">
        <f>#REF!</f>
        <v>#REF!</v>
      </c>
      <c r="AW89" s="96" t="e">
        <f>#REF!</f>
        <v>#REF!</v>
      </c>
      <c r="AX89" s="96" t="e">
        <f>#REF!</f>
        <v>#REF!</v>
      </c>
      <c r="AY89" s="96" t="e">
        <f>#REF!</f>
        <v>#REF!</v>
      </c>
      <c r="AZ89" s="96" t="e">
        <f>#REF!</f>
        <v>#REF!</v>
      </c>
      <c r="BA89" s="96" t="e">
        <f>#REF!</f>
        <v>#REF!</v>
      </c>
      <c r="BB89" s="96" t="e">
        <f>#REF!</f>
        <v>#REF!</v>
      </c>
      <c r="BC89" s="96" t="e">
        <f>#REF!</f>
        <v>#REF!</v>
      </c>
      <c r="BD89" s="98" t="e">
        <f>#REF!</f>
        <v>#REF!</v>
      </c>
      <c r="BT89" s="99" t="s">
        <v>83</v>
      </c>
      <c r="BV89" s="99" t="s">
        <v>78</v>
      </c>
      <c r="BW89" s="99" t="s">
        <v>86</v>
      </c>
      <c r="BX89" s="99" t="s">
        <v>79</v>
      </c>
    </row>
    <row r="90" spans="1:76" s="5" customFormat="1" ht="47.25" customHeight="1" x14ac:dyDescent="0.3">
      <c r="A90" s="90" t="s">
        <v>81</v>
      </c>
      <c r="B90" s="91"/>
      <c r="C90" s="92"/>
      <c r="D90" s="223"/>
      <c r="E90" s="223"/>
      <c r="F90" s="223"/>
      <c r="G90" s="223"/>
      <c r="H90" s="223"/>
      <c r="I90" s="93"/>
      <c r="J90" s="223" t="s">
        <v>87</v>
      </c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4">
        <f>Sýčina!L103</f>
        <v>0</v>
      </c>
      <c r="AH90" s="225"/>
      <c r="AI90" s="225"/>
      <c r="AJ90" s="225"/>
      <c r="AK90" s="225"/>
      <c r="AL90" s="225"/>
      <c r="AM90" s="225"/>
      <c r="AN90" s="226">
        <f t="shared" si="1"/>
        <v>0</v>
      </c>
      <c r="AO90" s="226"/>
      <c r="AP90" s="226"/>
      <c r="AQ90" s="94"/>
      <c r="AS90" s="95" t="e">
        <f>#REF!</f>
        <v>#REF!</v>
      </c>
      <c r="AT90" s="96" t="e">
        <f t="shared" si="0"/>
        <v>#REF!</v>
      </c>
      <c r="AU90" s="97" t="e">
        <f>#REF!</f>
        <v>#REF!</v>
      </c>
      <c r="AV90" s="96" t="e">
        <f>#REF!</f>
        <v>#REF!</v>
      </c>
      <c r="AW90" s="96" t="e">
        <f>#REF!</f>
        <v>#REF!</v>
      </c>
      <c r="AX90" s="96" t="e">
        <f>#REF!</f>
        <v>#REF!</v>
      </c>
      <c r="AY90" s="96" t="e">
        <f>#REF!</f>
        <v>#REF!</v>
      </c>
      <c r="AZ90" s="96" t="e">
        <f>#REF!</f>
        <v>#REF!</v>
      </c>
      <c r="BA90" s="96" t="e">
        <f>#REF!</f>
        <v>#REF!</v>
      </c>
      <c r="BB90" s="96" t="e">
        <f>#REF!</f>
        <v>#REF!</v>
      </c>
      <c r="BC90" s="96" t="e">
        <f>#REF!</f>
        <v>#REF!</v>
      </c>
      <c r="BD90" s="98" t="e">
        <f>#REF!</f>
        <v>#REF!</v>
      </c>
      <c r="BT90" s="99" t="s">
        <v>83</v>
      </c>
      <c r="BV90" s="99" t="s">
        <v>78</v>
      </c>
      <c r="BW90" s="99" t="s">
        <v>88</v>
      </c>
      <c r="BX90" s="99" t="s">
        <v>79</v>
      </c>
    </row>
    <row r="91" spans="1:76" s="5" customFormat="1" ht="63" customHeight="1" x14ac:dyDescent="0.3">
      <c r="A91" s="90" t="s">
        <v>81</v>
      </c>
      <c r="B91" s="91"/>
      <c r="C91" s="92"/>
      <c r="D91" s="223"/>
      <c r="E91" s="223"/>
      <c r="F91" s="223"/>
      <c r="G91" s="223"/>
      <c r="H91" s="223"/>
      <c r="I91" s="93"/>
      <c r="J91" s="223" t="s">
        <v>89</v>
      </c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4">
        <f>Kovánec!L99</f>
        <v>0</v>
      </c>
      <c r="AH91" s="225"/>
      <c r="AI91" s="225"/>
      <c r="AJ91" s="225"/>
      <c r="AK91" s="225"/>
      <c r="AL91" s="225"/>
      <c r="AM91" s="225"/>
      <c r="AN91" s="226">
        <f t="shared" si="1"/>
        <v>0</v>
      </c>
      <c r="AO91" s="226"/>
      <c r="AP91" s="226"/>
      <c r="AQ91" s="94"/>
      <c r="AS91" s="95" t="e">
        <f>#REF!</f>
        <v>#REF!</v>
      </c>
      <c r="AT91" s="96" t="e">
        <f t="shared" si="0"/>
        <v>#REF!</v>
      </c>
      <c r="AU91" s="97" t="e">
        <f>#REF!</f>
        <v>#REF!</v>
      </c>
      <c r="AV91" s="96" t="e">
        <f>#REF!</f>
        <v>#REF!</v>
      </c>
      <c r="AW91" s="96" t="e">
        <f>#REF!</f>
        <v>#REF!</v>
      </c>
      <c r="AX91" s="96" t="e">
        <f>#REF!</f>
        <v>#REF!</v>
      </c>
      <c r="AY91" s="96" t="e">
        <f>#REF!</f>
        <v>#REF!</v>
      </c>
      <c r="AZ91" s="96" t="e">
        <f>#REF!</f>
        <v>#REF!</v>
      </c>
      <c r="BA91" s="96" t="e">
        <f>#REF!</f>
        <v>#REF!</v>
      </c>
      <c r="BB91" s="96" t="e">
        <f>#REF!</f>
        <v>#REF!</v>
      </c>
      <c r="BC91" s="96" t="e">
        <f>#REF!</f>
        <v>#REF!</v>
      </c>
      <c r="BD91" s="98" t="e">
        <f>#REF!</f>
        <v>#REF!</v>
      </c>
      <c r="BT91" s="99" t="s">
        <v>83</v>
      </c>
      <c r="BV91" s="99" t="s">
        <v>78</v>
      </c>
      <c r="BW91" s="99" t="s">
        <v>90</v>
      </c>
      <c r="BX91" s="99" t="s">
        <v>79</v>
      </c>
    </row>
    <row r="92" spans="1:76" s="5" customFormat="1" ht="31.5" customHeight="1" x14ac:dyDescent="0.3">
      <c r="A92" s="90" t="s">
        <v>81</v>
      </c>
      <c r="B92" s="91"/>
      <c r="C92" s="92"/>
      <c r="D92" s="223"/>
      <c r="E92" s="223"/>
      <c r="F92" s="223"/>
      <c r="G92" s="223"/>
      <c r="H92" s="223"/>
      <c r="I92" s="93"/>
      <c r="J92" s="223" t="s">
        <v>91</v>
      </c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4">
        <f>'Vedlejší náklady'!N88</f>
        <v>0</v>
      </c>
      <c r="AH92" s="225"/>
      <c r="AI92" s="225"/>
      <c r="AJ92" s="225"/>
      <c r="AK92" s="225"/>
      <c r="AL92" s="225"/>
      <c r="AM92" s="225"/>
      <c r="AN92" s="226">
        <f t="shared" si="1"/>
        <v>0</v>
      </c>
      <c r="AO92" s="226"/>
      <c r="AP92" s="226"/>
      <c r="AQ92" s="94"/>
      <c r="AS92" s="100" t="e">
        <f>#REF!</f>
        <v>#REF!</v>
      </c>
      <c r="AT92" s="101" t="e">
        <f t="shared" si="0"/>
        <v>#REF!</v>
      </c>
      <c r="AU92" s="102" t="e">
        <f>#REF!</f>
        <v>#REF!</v>
      </c>
      <c r="AV92" s="101" t="e">
        <f>#REF!</f>
        <v>#REF!</v>
      </c>
      <c r="AW92" s="101" t="e">
        <f>#REF!</f>
        <v>#REF!</v>
      </c>
      <c r="AX92" s="101" t="e">
        <f>#REF!</f>
        <v>#REF!</v>
      </c>
      <c r="AY92" s="101" t="e">
        <f>#REF!</f>
        <v>#REF!</v>
      </c>
      <c r="AZ92" s="101" t="e">
        <f>#REF!</f>
        <v>#REF!</v>
      </c>
      <c r="BA92" s="101" t="e">
        <f>#REF!</f>
        <v>#REF!</v>
      </c>
      <c r="BB92" s="101" t="e">
        <f>#REF!</f>
        <v>#REF!</v>
      </c>
      <c r="BC92" s="101" t="e">
        <f>#REF!</f>
        <v>#REF!</v>
      </c>
      <c r="BD92" s="103" t="e">
        <f>#REF!</f>
        <v>#REF!</v>
      </c>
      <c r="BT92" s="99" t="s">
        <v>83</v>
      </c>
      <c r="BV92" s="99" t="s">
        <v>78</v>
      </c>
      <c r="BW92" s="99" t="s">
        <v>92</v>
      </c>
      <c r="BX92" s="99" t="s">
        <v>79</v>
      </c>
    </row>
    <row r="93" spans="1:76" x14ac:dyDescent="0.3">
      <c r="B93" s="24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5"/>
    </row>
    <row r="94" spans="1:76" s="1" customFormat="1" ht="10.9" customHeight="1" x14ac:dyDescent="0.3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5"/>
      <c r="AS94" s="104"/>
      <c r="AT94" s="105"/>
      <c r="AU94" s="105"/>
      <c r="AV94" s="106"/>
    </row>
    <row r="95" spans="1:76" s="1" customFormat="1" ht="30" customHeight="1" x14ac:dyDescent="0.3">
      <c r="B95" s="33"/>
      <c r="C95" s="107" t="s">
        <v>93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222">
        <f>AG87</f>
        <v>0</v>
      </c>
      <c r="AH95" s="222"/>
      <c r="AI95" s="222"/>
      <c r="AJ95" s="222"/>
      <c r="AK95" s="222"/>
      <c r="AL95" s="222"/>
      <c r="AM95" s="222"/>
      <c r="AN95" s="222">
        <f>AG95*1.21</f>
        <v>0</v>
      </c>
      <c r="AO95" s="222"/>
      <c r="AP95" s="222"/>
      <c r="AQ95" s="35"/>
    </row>
    <row r="96" spans="1:76" s="1" customFormat="1" ht="6.95" customHeight="1" x14ac:dyDescent="0.3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9"/>
    </row>
  </sheetData>
  <sheetProtection algorithmName="SHA-512" hashValue="MWgXjVooQI0utchV7e1a8xzzUURlZF1ra+7wy/n4DL7BflBtdSux//k0ezKs0E2KdWK0R/Gn3GVFK+fe+jrypw==" saltValue="kXx89U9Tpyda/N+JA4oBgA==" spinCount="100000" sheet="1" objects="1" scenarios="1"/>
  <mergeCells count="59">
    <mergeCell ref="E23:AN23"/>
    <mergeCell ref="C2:AP2"/>
    <mergeCell ref="AR2:BE2"/>
    <mergeCell ref="C4:AP4"/>
    <mergeCell ref="K5:AO5"/>
    <mergeCell ref="K6:AO6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AS82:AT84"/>
    <mergeCell ref="AM83:AP8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8:AM88"/>
    <mergeCell ref="AN88:AP88"/>
    <mergeCell ref="C85:G85"/>
    <mergeCell ref="I85:AF85"/>
    <mergeCell ref="AG85:AM85"/>
    <mergeCell ref="AN85:AP85"/>
    <mergeCell ref="AG87:AM87"/>
    <mergeCell ref="AN87:AP87"/>
    <mergeCell ref="D89:H89"/>
    <mergeCell ref="J89:AF89"/>
    <mergeCell ref="AG89:AM89"/>
    <mergeCell ref="AN89:AP89"/>
    <mergeCell ref="D90:H90"/>
    <mergeCell ref="J90:AF90"/>
    <mergeCell ref="AG90:AM90"/>
    <mergeCell ref="AN90:AP90"/>
    <mergeCell ref="AG95:AM95"/>
    <mergeCell ref="AN95:AP95"/>
    <mergeCell ref="D91:H91"/>
    <mergeCell ref="J91:AF91"/>
    <mergeCell ref="AG91:AM91"/>
    <mergeCell ref="AN91:AP91"/>
    <mergeCell ref="D92:H92"/>
    <mergeCell ref="J92:AF92"/>
    <mergeCell ref="AG92:AM92"/>
    <mergeCell ref="AN92:AP92"/>
  </mergeCells>
  <hyperlinks>
    <hyperlink ref="K1:S1" location="C2" display="1) Souhrnný list stavby"/>
    <hyperlink ref="W1:AF1" location="C87" display="2) Rekapitulace objektů"/>
    <hyperlink ref="A88" location="'2017082-MUKAROV - MUKAŘOV...'!C2" display="/"/>
    <hyperlink ref="A89" location="'2017082-NĚMČICE - NĚMČICE...'!C2" display="/"/>
    <hyperlink ref="A90" location="'2017082-SÝČINA - SÝČINA-L...'!C2" display="/"/>
    <hyperlink ref="A91" location="'2017082-KOVÁNEC - KOVÁNEC...'!C2" display="/"/>
    <hyperlink ref="A92" location="'2017082-VON - VEDLEJŠÍ A ...'!C2" display="/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5"/>
  <sheetViews>
    <sheetView topLeftCell="A114" workbookViewId="0">
      <selection activeCell="J127" sqref="J12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style="211" customWidth="1"/>
    <col min="13" max="13" width="6" style="211" customWidth="1"/>
    <col min="14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94</v>
      </c>
      <c r="G1" s="15"/>
      <c r="H1" s="304" t="s">
        <v>95</v>
      </c>
      <c r="I1" s="304"/>
      <c r="J1" s="304"/>
      <c r="K1" s="304"/>
      <c r="L1" s="15" t="s">
        <v>96</v>
      </c>
      <c r="M1" s="13"/>
      <c r="N1" s="13"/>
      <c r="O1" s="14" t="s">
        <v>97</v>
      </c>
      <c r="P1" s="13"/>
      <c r="Q1" s="13"/>
      <c r="R1" s="13"/>
      <c r="S1" s="15" t="s">
        <v>98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0" t="s">
        <v>84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 x14ac:dyDescent="0.3">
      <c r="B4" s="24"/>
      <c r="C4" s="246" t="s">
        <v>100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12"/>
      <c r="M5" s="212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90" t="e">
        <f>#REF!</f>
        <v>#REF!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6"/>
      <c r="R6" s="25"/>
    </row>
    <row r="7" spans="1:66" s="1" customFormat="1" ht="32.85" customHeight="1" x14ac:dyDescent="0.3">
      <c r="B7" s="33"/>
      <c r="C7" s="34"/>
      <c r="D7" s="29" t="s">
        <v>101</v>
      </c>
      <c r="E7" s="34"/>
      <c r="F7" s="260" t="s">
        <v>102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214"/>
      <c r="M8" s="213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214"/>
      <c r="M9" s="213" t="s">
        <v>23</v>
      </c>
      <c r="N9" s="34"/>
      <c r="O9" s="292" t="e">
        <f>#REF!</f>
        <v>#REF!</v>
      </c>
      <c r="P9" s="292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214"/>
      <c r="M10" s="21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214"/>
      <c r="M11" s="213" t="s">
        <v>26</v>
      </c>
      <c r="N11" s="34"/>
      <c r="O11" s="259" t="s">
        <v>19</v>
      </c>
      <c r="P11" s="259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214"/>
      <c r="M12" s="213" t="s">
        <v>28</v>
      </c>
      <c r="N12" s="34"/>
      <c r="O12" s="259" t="s">
        <v>19</v>
      </c>
      <c r="P12" s="259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214"/>
      <c r="M13" s="21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214"/>
      <c r="M14" s="213" t="s">
        <v>26</v>
      </c>
      <c r="N14" s="34"/>
      <c r="O14" s="259" t="s">
        <v>19</v>
      </c>
      <c r="P14" s="259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214"/>
      <c r="M15" s="213" t="s">
        <v>28</v>
      </c>
      <c r="N15" s="34"/>
      <c r="O15" s="259" t="s">
        <v>19</v>
      </c>
      <c r="P15" s="259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214"/>
      <c r="M16" s="21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214"/>
      <c r="M17" s="213" t="s">
        <v>26</v>
      </c>
      <c r="N17" s="34"/>
      <c r="O17" s="259" t="s">
        <v>19</v>
      </c>
      <c r="P17" s="259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214"/>
      <c r="M18" s="213" t="s">
        <v>28</v>
      </c>
      <c r="N18" s="34"/>
      <c r="O18" s="259" t="s">
        <v>19</v>
      </c>
      <c r="P18" s="259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214"/>
      <c r="M19" s="21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214"/>
      <c r="M20" s="213" t="s">
        <v>26</v>
      </c>
      <c r="N20" s="34"/>
      <c r="O20" s="259" t="s">
        <v>19</v>
      </c>
      <c r="P20" s="259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214"/>
      <c r="M21" s="213" t="s">
        <v>28</v>
      </c>
      <c r="N21" s="34"/>
      <c r="O21" s="259" t="s">
        <v>19</v>
      </c>
      <c r="P21" s="259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214"/>
      <c r="M22" s="21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214"/>
      <c r="M23" s="21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54" t="s">
        <v>19</v>
      </c>
      <c r="F24" s="254"/>
      <c r="G24" s="254"/>
      <c r="H24" s="254"/>
      <c r="I24" s="254"/>
      <c r="J24" s="254"/>
      <c r="K24" s="254"/>
      <c r="L24" s="254"/>
      <c r="M24" s="21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14"/>
      <c r="M25" s="21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103</v>
      </c>
      <c r="E27" s="34"/>
      <c r="F27" s="34"/>
      <c r="G27" s="34"/>
      <c r="H27" s="34"/>
      <c r="I27" s="34"/>
      <c r="J27" s="34"/>
      <c r="K27" s="34"/>
      <c r="L27" s="214"/>
      <c r="M27" s="250">
        <f>N88</f>
        <v>0</v>
      </c>
      <c r="N27" s="250"/>
      <c r="O27" s="250"/>
      <c r="P27" s="250"/>
      <c r="Q27" s="34"/>
      <c r="R27" s="35"/>
    </row>
    <row r="28" spans="2:18" s="1" customFormat="1" ht="14.45" customHeight="1" x14ac:dyDescent="0.3">
      <c r="B28" s="33"/>
      <c r="C28" s="34"/>
      <c r="D28" s="32" t="s">
        <v>104</v>
      </c>
      <c r="E28" s="34"/>
      <c r="F28" s="34"/>
      <c r="G28" s="34"/>
      <c r="H28" s="34"/>
      <c r="I28" s="34"/>
      <c r="J28" s="34"/>
      <c r="K28" s="34"/>
      <c r="L28" s="214"/>
      <c r="M28" s="250">
        <f>N105</f>
        <v>0</v>
      </c>
      <c r="N28" s="250"/>
      <c r="O28" s="250"/>
      <c r="P28" s="250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214"/>
      <c r="M29" s="21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39</v>
      </c>
      <c r="E30" s="34"/>
      <c r="F30" s="34"/>
      <c r="G30" s="34"/>
      <c r="H30" s="34"/>
      <c r="I30" s="34"/>
      <c r="J30" s="34"/>
      <c r="K30" s="34"/>
      <c r="L30" s="214"/>
      <c r="M30" s="303">
        <f>ROUND(M27+M28,2)</f>
        <v>0</v>
      </c>
      <c r="N30" s="289"/>
      <c r="O30" s="289"/>
      <c r="P30" s="289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40</v>
      </c>
      <c r="E32" s="40" t="s">
        <v>41</v>
      </c>
      <c r="F32" s="41">
        <v>0.21</v>
      </c>
      <c r="G32" s="112" t="s">
        <v>42</v>
      </c>
      <c r="H32" s="300">
        <f>ROUND((SUM(BE105:BE106)+SUM(BE124:BE204)), 2)</f>
        <v>0</v>
      </c>
      <c r="I32" s="289"/>
      <c r="J32" s="289"/>
      <c r="K32" s="34"/>
      <c r="L32" s="214"/>
      <c r="M32" s="300">
        <f>ROUND(ROUND((SUM(BE105:BE106)+SUM(BE124:BE204)), 2)*F32, 2)</f>
        <v>0</v>
      </c>
      <c r="N32" s="289"/>
      <c r="O32" s="289"/>
      <c r="P32" s="289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43</v>
      </c>
      <c r="F33" s="41">
        <v>0.15</v>
      </c>
      <c r="G33" s="112" t="s">
        <v>42</v>
      </c>
      <c r="H33" s="300">
        <f>ROUND((SUM(BF105:BF106)+SUM(BF124:BF204)), 2)</f>
        <v>0</v>
      </c>
      <c r="I33" s="289"/>
      <c r="J33" s="289"/>
      <c r="K33" s="34"/>
      <c r="L33" s="214"/>
      <c r="M33" s="300">
        <f>ROUND(ROUND((SUM(BF105:BF106)+SUM(BF124:BF204)), 2)*F33, 2)</f>
        <v>0</v>
      </c>
      <c r="N33" s="289"/>
      <c r="O33" s="289"/>
      <c r="P33" s="289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44</v>
      </c>
      <c r="F34" s="41">
        <v>0.21</v>
      </c>
      <c r="G34" s="112" t="s">
        <v>42</v>
      </c>
      <c r="H34" s="300">
        <f>ROUND((SUM(BG105:BG106)+SUM(BG124:BG204)), 2)</f>
        <v>0</v>
      </c>
      <c r="I34" s="289"/>
      <c r="J34" s="289"/>
      <c r="K34" s="34"/>
      <c r="L34" s="214"/>
      <c r="M34" s="300">
        <v>0</v>
      </c>
      <c r="N34" s="289"/>
      <c r="O34" s="289"/>
      <c r="P34" s="289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45</v>
      </c>
      <c r="F35" s="41">
        <v>0.15</v>
      </c>
      <c r="G35" s="112" t="s">
        <v>42</v>
      </c>
      <c r="H35" s="300">
        <f>ROUND((SUM(BH105:BH106)+SUM(BH124:BH204)), 2)</f>
        <v>0</v>
      </c>
      <c r="I35" s="289"/>
      <c r="J35" s="289"/>
      <c r="K35" s="34"/>
      <c r="L35" s="214"/>
      <c r="M35" s="300">
        <v>0</v>
      </c>
      <c r="N35" s="289"/>
      <c r="O35" s="289"/>
      <c r="P35" s="289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46</v>
      </c>
      <c r="F36" s="41">
        <v>0</v>
      </c>
      <c r="G36" s="112" t="s">
        <v>42</v>
      </c>
      <c r="H36" s="300">
        <f>ROUND((SUM(BI105:BI106)+SUM(BI124:BI204)), 2)</f>
        <v>0</v>
      </c>
      <c r="I36" s="289"/>
      <c r="J36" s="289"/>
      <c r="K36" s="34"/>
      <c r="L36" s="214"/>
      <c r="M36" s="300">
        <v>0</v>
      </c>
      <c r="N36" s="289"/>
      <c r="O36" s="289"/>
      <c r="P36" s="289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214"/>
      <c r="M37" s="21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47</v>
      </c>
      <c r="E38" s="77"/>
      <c r="F38" s="77"/>
      <c r="G38" s="114" t="s">
        <v>48</v>
      </c>
      <c r="H38" s="115" t="s">
        <v>49</v>
      </c>
      <c r="I38" s="77"/>
      <c r="J38" s="77"/>
      <c r="K38" s="77"/>
      <c r="L38" s="301">
        <f>SUM(M30:M36)</f>
        <v>0</v>
      </c>
      <c r="M38" s="301"/>
      <c r="N38" s="301"/>
      <c r="O38" s="301"/>
      <c r="P38" s="302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214"/>
      <c r="M39" s="21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214"/>
      <c r="M40" s="21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12"/>
      <c r="M41" s="212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12"/>
      <c r="M42" s="212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12"/>
      <c r="M43" s="212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12"/>
      <c r="M44" s="212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12"/>
      <c r="M45" s="212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12"/>
      <c r="M46" s="212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12"/>
      <c r="M47" s="212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12"/>
      <c r="M48" s="212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12"/>
      <c r="M49" s="212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50</v>
      </c>
      <c r="E50" s="49"/>
      <c r="F50" s="49"/>
      <c r="G50" s="49"/>
      <c r="H50" s="50"/>
      <c r="I50" s="34"/>
      <c r="J50" s="48" t="s">
        <v>51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12"/>
      <c r="M51" s="212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12"/>
      <c r="M52" s="212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12"/>
      <c r="M53" s="212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12"/>
      <c r="M54" s="212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12"/>
      <c r="M55" s="212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12"/>
      <c r="M56" s="212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12"/>
      <c r="M57" s="212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12"/>
      <c r="M58" s="212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52</v>
      </c>
      <c r="E59" s="54"/>
      <c r="F59" s="54"/>
      <c r="G59" s="55" t="s">
        <v>53</v>
      </c>
      <c r="H59" s="56"/>
      <c r="I59" s="34"/>
      <c r="J59" s="53" t="s">
        <v>52</v>
      </c>
      <c r="K59" s="54"/>
      <c r="L59" s="54"/>
      <c r="M59" s="54"/>
      <c r="N59" s="55" t="s">
        <v>53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12"/>
      <c r="M60" s="212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54</v>
      </c>
      <c r="E61" s="49"/>
      <c r="F61" s="49"/>
      <c r="G61" s="49"/>
      <c r="H61" s="50"/>
      <c r="I61" s="34"/>
      <c r="J61" s="48" t="s">
        <v>55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12"/>
      <c r="M62" s="212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12"/>
      <c r="M63" s="212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12"/>
      <c r="M64" s="212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12"/>
      <c r="M65" s="212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12"/>
      <c r="M66" s="212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12"/>
      <c r="M67" s="212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12"/>
      <c r="M68" s="212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12"/>
      <c r="M69" s="212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52</v>
      </c>
      <c r="E70" s="54"/>
      <c r="F70" s="54"/>
      <c r="G70" s="55" t="s">
        <v>53</v>
      </c>
      <c r="H70" s="56"/>
      <c r="I70" s="34"/>
      <c r="J70" s="53" t="s">
        <v>52</v>
      </c>
      <c r="K70" s="54"/>
      <c r="L70" s="54"/>
      <c r="M70" s="54"/>
      <c r="N70" s="55" t="s">
        <v>53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6" t="s">
        <v>105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214"/>
      <c r="M77" s="21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30" t="s">
        <v>17</v>
      </c>
      <c r="D78" s="34"/>
      <c r="E78" s="34"/>
      <c r="F78" s="290" t="e">
        <f>F6</f>
        <v>#REF!</v>
      </c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101</v>
      </c>
      <c r="D79" s="34"/>
      <c r="E79" s="34"/>
      <c r="F79" s="248" t="str">
        <f>F7</f>
        <v>2017082-MUKAROV - MUKAŘOV-LIKVIDACE ZDROJE A ČS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214"/>
      <c r="M80" s="21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214"/>
      <c r="M81" s="292" t="e">
        <f>IF(O9="","",O9)</f>
        <v>#REF!</v>
      </c>
      <c r="N81" s="292"/>
      <c r="O81" s="292"/>
      <c r="P81" s="292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214"/>
      <c r="M82" s="21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214"/>
      <c r="M83" s="259" t="str">
        <f>E18</f>
        <v>ING.EVŽEN KOZÁK S.R.O.</v>
      </c>
      <c r="N83" s="259"/>
      <c r="O83" s="259"/>
      <c r="P83" s="259"/>
      <c r="Q83" s="259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214"/>
      <c r="M84" s="259" t="str">
        <f>E21</f>
        <v>ING.EVŽEN KOZÁK</v>
      </c>
      <c r="N84" s="259"/>
      <c r="O84" s="259"/>
      <c r="P84" s="259"/>
      <c r="Q84" s="259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214"/>
      <c r="M85" s="21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8" t="s">
        <v>106</v>
      </c>
      <c r="D86" s="299"/>
      <c r="E86" s="299"/>
      <c r="F86" s="299"/>
      <c r="G86" s="299"/>
      <c r="H86" s="108"/>
      <c r="I86" s="108"/>
      <c r="J86" s="108"/>
      <c r="K86" s="108"/>
      <c r="L86" s="217"/>
      <c r="M86" s="217"/>
      <c r="N86" s="298" t="s">
        <v>107</v>
      </c>
      <c r="O86" s="299"/>
      <c r="P86" s="299"/>
      <c r="Q86" s="299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214"/>
      <c r="M87" s="21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108</v>
      </c>
      <c r="D88" s="34"/>
      <c r="E88" s="34"/>
      <c r="F88" s="34"/>
      <c r="G88" s="34"/>
      <c r="H88" s="34"/>
      <c r="I88" s="34"/>
      <c r="J88" s="34"/>
      <c r="K88" s="34"/>
      <c r="L88" s="214"/>
      <c r="M88" s="214"/>
      <c r="N88" s="226">
        <f>N124</f>
        <v>0</v>
      </c>
      <c r="O88" s="295"/>
      <c r="P88" s="295"/>
      <c r="Q88" s="295"/>
      <c r="R88" s="35"/>
      <c r="T88" s="119"/>
      <c r="U88" s="119"/>
      <c r="AU88" s="20" t="s">
        <v>109</v>
      </c>
    </row>
    <row r="89" spans="2:47" s="6" customFormat="1" ht="24.95" customHeight="1" x14ac:dyDescent="0.3">
      <c r="B89" s="121"/>
      <c r="C89" s="122"/>
      <c r="D89" s="123" t="s">
        <v>110</v>
      </c>
      <c r="E89" s="122"/>
      <c r="F89" s="122"/>
      <c r="G89" s="122"/>
      <c r="H89" s="122"/>
      <c r="I89" s="122"/>
      <c r="J89" s="122"/>
      <c r="K89" s="122"/>
      <c r="L89" s="215"/>
      <c r="M89" s="215"/>
      <c r="N89" s="288">
        <f>N125</f>
        <v>0</v>
      </c>
      <c r="O89" s="297"/>
      <c r="P89" s="297"/>
      <c r="Q89" s="297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111</v>
      </c>
      <c r="E90" s="127"/>
      <c r="F90" s="127"/>
      <c r="G90" s="127"/>
      <c r="H90" s="127"/>
      <c r="I90" s="127"/>
      <c r="J90" s="127"/>
      <c r="K90" s="127"/>
      <c r="L90" s="216"/>
      <c r="M90" s="216"/>
      <c r="N90" s="293">
        <f>N126</f>
        <v>0</v>
      </c>
      <c r="O90" s="294"/>
      <c r="P90" s="294"/>
      <c r="Q90" s="294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112</v>
      </c>
      <c r="E91" s="127"/>
      <c r="F91" s="127"/>
      <c r="G91" s="127"/>
      <c r="H91" s="127"/>
      <c r="I91" s="127"/>
      <c r="J91" s="127"/>
      <c r="K91" s="127"/>
      <c r="L91" s="216"/>
      <c r="M91" s="216"/>
      <c r="N91" s="293">
        <f>N147</f>
        <v>0</v>
      </c>
      <c r="O91" s="294"/>
      <c r="P91" s="294"/>
      <c r="Q91" s="294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113</v>
      </c>
      <c r="E92" s="127"/>
      <c r="F92" s="127"/>
      <c r="G92" s="127"/>
      <c r="H92" s="127"/>
      <c r="I92" s="127"/>
      <c r="J92" s="127"/>
      <c r="K92" s="127"/>
      <c r="L92" s="216"/>
      <c r="M92" s="216"/>
      <c r="N92" s="293">
        <f>N150</f>
        <v>0</v>
      </c>
      <c r="O92" s="294"/>
      <c r="P92" s="294"/>
      <c r="Q92" s="294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114</v>
      </c>
      <c r="E93" s="127"/>
      <c r="F93" s="127"/>
      <c r="G93" s="127"/>
      <c r="H93" s="127"/>
      <c r="I93" s="127"/>
      <c r="J93" s="127"/>
      <c r="K93" s="127"/>
      <c r="L93" s="216"/>
      <c r="M93" s="216"/>
      <c r="N93" s="293">
        <f>N154</f>
        <v>0</v>
      </c>
      <c r="O93" s="294"/>
      <c r="P93" s="294"/>
      <c r="Q93" s="294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115</v>
      </c>
      <c r="E94" s="127"/>
      <c r="F94" s="127"/>
      <c r="G94" s="127"/>
      <c r="H94" s="127"/>
      <c r="I94" s="127"/>
      <c r="J94" s="127"/>
      <c r="K94" s="127"/>
      <c r="L94" s="216"/>
      <c r="M94" s="216"/>
      <c r="N94" s="293">
        <f>N157</f>
        <v>0</v>
      </c>
      <c r="O94" s="294"/>
      <c r="P94" s="294"/>
      <c r="Q94" s="294"/>
      <c r="R94" s="129"/>
      <c r="T94" s="130"/>
      <c r="U94" s="130"/>
    </row>
    <row r="95" spans="2:47" s="7" customFormat="1" ht="19.899999999999999" customHeight="1" x14ac:dyDescent="0.3">
      <c r="B95" s="126"/>
      <c r="C95" s="127"/>
      <c r="D95" s="128" t="s">
        <v>116</v>
      </c>
      <c r="E95" s="127"/>
      <c r="F95" s="127"/>
      <c r="G95" s="127"/>
      <c r="H95" s="127"/>
      <c r="I95" s="127"/>
      <c r="J95" s="127"/>
      <c r="K95" s="127"/>
      <c r="L95" s="216"/>
      <c r="M95" s="216"/>
      <c r="N95" s="293">
        <f>N164</f>
        <v>0</v>
      </c>
      <c r="O95" s="294"/>
      <c r="P95" s="294"/>
      <c r="Q95" s="294"/>
      <c r="R95" s="129"/>
      <c r="T95" s="130"/>
      <c r="U95" s="130"/>
    </row>
    <row r="96" spans="2:47" s="6" customFormat="1" ht="24.95" customHeight="1" x14ac:dyDescent="0.3">
      <c r="B96" s="121"/>
      <c r="C96" s="122"/>
      <c r="D96" s="123" t="s">
        <v>117</v>
      </c>
      <c r="E96" s="122"/>
      <c r="F96" s="122"/>
      <c r="G96" s="122"/>
      <c r="H96" s="122"/>
      <c r="I96" s="122"/>
      <c r="J96" s="122"/>
      <c r="K96" s="122"/>
      <c r="L96" s="215"/>
      <c r="M96" s="215"/>
      <c r="N96" s="288">
        <f>N169</f>
        <v>0</v>
      </c>
      <c r="O96" s="297"/>
      <c r="P96" s="297"/>
      <c r="Q96" s="297"/>
      <c r="R96" s="124"/>
      <c r="T96" s="125"/>
      <c r="U96" s="125"/>
    </row>
    <row r="97" spans="2:21" s="7" customFormat="1" ht="19.899999999999999" customHeight="1" x14ac:dyDescent="0.3">
      <c r="B97" s="126"/>
      <c r="C97" s="127"/>
      <c r="D97" s="128" t="s">
        <v>118</v>
      </c>
      <c r="E97" s="127"/>
      <c r="F97" s="127"/>
      <c r="G97" s="127"/>
      <c r="H97" s="127"/>
      <c r="I97" s="127"/>
      <c r="J97" s="127"/>
      <c r="K97" s="127"/>
      <c r="L97" s="216"/>
      <c r="M97" s="216"/>
      <c r="N97" s="293">
        <f>N170</f>
        <v>0</v>
      </c>
      <c r="O97" s="294"/>
      <c r="P97" s="294"/>
      <c r="Q97" s="294"/>
      <c r="R97" s="129"/>
      <c r="T97" s="130"/>
      <c r="U97" s="130"/>
    </row>
    <row r="98" spans="2:21" s="7" customFormat="1" ht="19.899999999999999" customHeight="1" x14ac:dyDescent="0.3">
      <c r="B98" s="126"/>
      <c r="C98" s="127"/>
      <c r="D98" s="128" t="s">
        <v>119</v>
      </c>
      <c r="E98" s="127"/>
      <c r="F98" s="127"/>
      <c r="G98" s="127"/>
      <c r="H98" s="127"/>
      <c r="I98" s="127"/>
      <c r="J98" s="127"/>
      <c r="K98" s="127"/>
      <c r="L98" s="216"/>
      <c r="M98" s="216"/>
      <c r="N98" s="293">
        <f>N188</f>
        <v>0</v>
      </c>
      <c r="O98" s="294"/>
      <c r="P98" s="294"/>
      <c r="Q98" s="294"/>
      <c r="R98" s="129"/>
      <c r="T98" s="130"/>
      <c r="U98" s="130"/>
    </row>
    <row r="99" spans="2:21" s="7" customFormat="1" ht="19.899999999999999" customHeight="1" x14ac:dyDescent="0.3">
      <c r="B99" s="126"/>
      <c r="C99" s="127"/>
      <c r="D99" s="128" t="s">
        <v>120</v>
      </c>
      <c r="E99" s="127"/>
      <c r="F99" s="127"/>
      <c r="G99" s="127"/>
      <c r="H99" s="127"/>
      <c r="I99" s="127"/>
      <c r="J99" s="127"/>
      <c r="K99" s="127"/>
      <c r="L99" s="216"/>
      <c r="M99" s="216"/>
      <c r="N99" s="293">
        <f>N190</f>
        <v>0</v>
      </c>
      <c r="O99" s="294"/>
      <c r="P99" s="294"/>
      <c r="Q99" s="294"/>
      <c r="R99" s="129"/>
      <c r="T99" s="130"/>
      <c r="U99" s="130"/>
    </row>
    <row r="100" spans="2:21" s="7" customFormat="1" ht="19.899999999999999" customHeight="1" x14ac:dyDescent="0.3">
      <c r="B100" s="126"/>
      <c r="C100" s="127"/>
      <c r="D100" s="128" t="s">
        <v>121</v>
      </c>
      <c r="E100" s="127"/>
      <c r="F100" s="127"/>
      <c r="G100" s="127"/>
      <c r="H100" s="127"/>
      <c r="I100" s="127"/>
      <c r="J100" s="127"/>
      <c r="K100" s="127"/>
      <c r="L100" s="216"/>
      <c r="M100" s="216"/>
      <c r="N100" s="293">
        <f>N193</f>
        <v>0</v>
      </c>
      <c r="O100" s="294"/>
      <c r="P100" s="294"/>
      <c r="Q100" s="294"/>
      <c r="R100" s="129"/>
      <c r="T100" s="130"/>
      <c r="U100" s="130"/>
    </row>
    <row r="101" spans="2:21" s="7" customFormat="1" ht="19.899999999999999" customHeight="1" x14ac:dyDescent="0.3">
      <c r="B101" s="126"/>
      <c r="C101" s="127"/>
      <c r="D101" s="128" t="s">
        <v>122</v>
      </c>
      <c r="E101" s="127"/>
      <c r="F101" s="127"/>
      <c r="G101" s="127"/>
      <c r="H101" s="127"/>
      <c r="I101" s="127"/>
      <c r="J101" s="127"/>
      <c r="K101" s="127"/>
      <c r="L101" s="216"/>
      <c r="M101" s="216"/>
      <c r="N101" s="293">
        <f>N196</f>
        <v>0</v>
      </c>
      <c r="O101" s="294"/>
      <c r="P101" s="294"/>
      <c r="Q101" s="294"/>
      <c r="R101" s="129"/>
      <c r="T101" s="130"/>
      <c r="U101" s="130"/>
    </row>
    <row r="102" spans="2:21" s="7" customFormat="1" ht="19.899999999999999" customHeight="1" x14ac:dyDescent="0.3">
      <c r="B102" s="126"/>
      <c r="C102" s="127"/>
      <c r="D102" s="128" t="s">
        <v>123</v>
      </c>
      <c r="E102" s="127"/>
      <c r="F102" s="127"/>
      <c r="G102" s="127"/>
      <c r="H102" s="127"/>
      <c r="I102" s="127"/>
      <c r="J102" s="127"/>
      <c r="K102" s="127"/>
      <c r="L102" s="216"/>
      <c r="M102" s="216"/>
      <c r="N102" s="293">
        <f>N201</f>
        <v>0</v>
      </c>
      <c r="O102" s="294"/>
      <c r="P102" s="294"/>
      <c r="Q102" s="294"/>
      <c r="R102" s="129"/>
      <c r="T102" s="130"/>
      <c r="U102" s="130"/>
    </row>
    <row r="103" spans="2:21" s="7" customFormat="1" ht="19.899999999999999" customHeight="1" x14ac:dyDescent="0.3">
      <c r="B103" s="126"/>
      <c r="C103" s="127"/>
      <c r="D103" s="128" t="s">
        <v>124</v>
      </c>
      <c r="E103" s="127"/>
      <c r="F103" s="127"/>
      <c r="G103" s="127"/>
      <c r="H103" s="127"/>
      <c r="I103" s="127"/>
      <c r="J103" s="127"/>
      <c r="K103" s="127"/>
      <c r="L103" s="216"/>
      <c r="M103" s="216"/>
      <c r="N103" s="293">
        <f>N203</f>
        <v>0</v>
      </c>
      <c r="O103" s="294"/>
      <c r="P103" s="294"/>
      <c r="Q103" s="294"/>
      <c r="R103" s="129"/>
      <c r="T103" s="130"/>
      <c r="U103" s="130"/>
    </row>
    <row r="104" spans="2:21" s="1" customFormat="1" ht="21.75" customHeight="1" x14ac:dyDescent="0.3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214"/>
      <c r="M104" s="214"/>
      <c r="N104" s="34"/>
      <c r="O104" s="34"/>
      <c r="P104" s="34"/>
      <c r="Q104" s="34"/>
      <c r="R104" s="35"/>
      <c r="T104" s="119"/>
      <c r="U104" s="119"/>
    </row>
    <row r="105" spans="2:21" s="1" customFormat="1" ht="29.25" customHeight="1" x14ac:dyDescent="0.3">
      <c r="B105" s="33"/>
      <c r="C105" s="120" t="s">
        <v>125</v>
      </c>
      <c r="D105" s="34"/>
      <c r="E105" s="34"/>
      <c r="F105" s="34"/>
      <c r="G105" s="34"/>
      <c r="H105" s="34"/>
      <c r="I105" s="34"/>
      <c r="J105" s="34"/>
      <c r="K105" s="34"/>
      <c r="L105" s="214"/>
      <c r="M105" s="214"/>
      <c r="N105" s="295">
        <v>0</v>
      </c>
      <c r="O105" s="296"/>
      <c r="P105" s="296"/>
      <c r="Q105" s="296"/>
      <c r="R105" s="35"/>
      <c r="T105" s="131"/>
      <c r="U105" s="132" t="s">
        <v>40</v>
      </c>
    </row>
    <row r="106" spans="2:21" s="1" customFormat="1" ht="18" customHeight="1" x14ac:dyDescent="0.3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214"/>
      <c r="M106" s="214"/>
      <c r="N106" s="34"/>
      <c r="O106" s="34"/>
      <c r="P106" s="34"/>
      <c r="Q106" s="34"/>
      <c r="R106" s="35"/>
      <c r="T106" s="119"/>
      <c r="U106" s="119"/>
    </row>
    <row r="107" spans="2:21" s="1" customFormat="1" ht="29.25" customHeight="1" x14ac:dyDescent="0.3">
      <c r="B107" s="33"/>
      <c r="C107" s="107" t="s">
        <v>93</v>
      </c>
      <c r="D107" s="108"/>
      <c r="E107" s="108"/>
      <c r="F107" s="108"/>
      <c r="G107" s="108"/>
      <c r="H107" s="108"/>
      <c r="I107" s="108"/>
      <c r="J107" s="108"/>
      <c r="K107" s="108"/>
      <c r="L107" s="222">
        <f>ROUND(SUM(N88+N105),2)</f>
        <v>0</v>
      </c>
      <c r="M107" s="222"/>
      <c r="N107" s="222"/>
      <c r="O107" s="222"/>
      <c r="P107" s="222"/>
      <c r="Q107" s="222"/>
      <c r="R107" s="35"/>
      <c r="T107" s="119"/>
      <c r="U107" s="119"/>
    </row>
    <row r="108" spans="2:21" s="1" customFormat="1" ht="6.95" customHeight="1" x14ac:dyDescent="0.3"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9"/>
      <c r="T108" s="119"/>
      <c r="U108" s="119"/>
    </row>
    <row r="112" spans="2:21" s="1" customFormat="1" ht="6.95" customHeight="1" x14ac:dyDescent="0.3"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</row>
    <row r="113" spans="2:65" s="1" customFormat="1" ht="36.950000000000003" customHeight="1" x14ac:dyDescent="0.3">
      <c r="B113" s="33"/>
      <c r="C113" s="246" t="s">
        <v>126</v>
      </c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35"/>
    </row>
    <row r="114" spans="2:65" s="1" customFormat="1" ht="6.95" customHeight="1" x14ac:dyDescent="0.3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214"/>
      <c r="M114" s="214"/>
      <c r="N114" s="34"/>
      <c r="O114" s="34"/>
      <c r="P114" s="34"/>
      <c r="Q114" s="34"/>
      <c r="R114" s="35"/>
    </row>
    <row r="115" spans="2:65" s="1" customFormat="1" ht="30" customHeight="1" x14ac:dyDescent="0.3">
      <c r="B115" s="33"/>
      <c r="C115" s="30" t="s">
        <v>17</v>
      </c>
      <c r="D115" s="34"/>
      <c r="E115" s="34"/>
      <c r="F115" s="290" t="e">
        <f>F6</f>
        <v>#REF!</v>
      </c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34"/>
      <c r="R115" s="35"/>
    </row>
    <row r="116" spans="2:65" s="1" customFormat="1" ht="36.950000000000003" customHeight="1" x14ac:dyDescent="0.3">
      <c r="B116" s="33"/>
      <c r="C116" s="67" t="s">
        <v>101</v>
      </c>
      <c r="D116" s="34"/>
      <c r="E116" s="34"/>
      <c r="F116" s="248" t="str">
        <f>F7</f>
        <v>2017082-MUKAROV - MUKAŘOV-LIKVIDACE ZDROJE A ČS</v>
      </c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34"/>
      <c r="R116" s="35"/>
    </row>
    <row r="117" spans="2:65" s="1" customFormat="1" ht="6.95" customHeight="1" x14ac:dyDescent="0.3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214"/>
      <c r="M117" s="214"/>
      <c r="N117" s="34"/>
      <c r="O117" s="34"/>
      <c r="P117" s="34"/>
      <c r="Q117" s="34"/>
      <c r="R117" s="35"/>
    </row>
    <row r="118" spans="2:65" s="1" customFormat="1" ht="18" customHeight="1" x14ac:dyDescent="0.3">
      <c r="B118" s="33"/>
      <c r="C118" s="30" t="s">
        <v>21</v>
      </c>
      <c r="D118" s="34"/>
      <c r="E118" s="34"/>
      <c r="F118" s="28" t="str">
        <f>F9</f>
        <v xml:space="preserve"> </v>
      </c>
      <c r="G118" s="34"/>
      <c r="H118" s="34"/>
      <c r="I118" s="34"/>
      <c r="J118" s="34"/>
      <c r="K118" s="30" t="s">
        <v>23</v>
      </c>
      <c r="L118" s="214"/>
      <c r="M118" s="292" t="e">
        <f>IF(O9="","",O9)</f>
        <v>#REF!</v>
      </c>
      <c r="N118" s="292"/>
      <c r="O118" s="292"/>
      <c r="P118" s="292"/>
      <c r="Q118" s="34"/>
      <c r="R118" s="35"/>
    </row>
    <row r="119" spans="2:65" s="1" customFormat="1" ht="6.95" customHeight="1" x14ac:dyDescent="0.3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214"/>
      <c r="M119" s="214"/>
      <c r="N119" s="34"/>
      <c r="O119" s="34"/>
      <c r="P119" s="34"/>
      <c r="Q119" s="34"/>
      <c r="R119" s="35"/>
    </row>
    <row r="120" spans="2:65" s="1" customFormat="1" ht="15" x14ac:dyDescent="0.3">
      <c r="B120" s="33"/>
      <c r="C120" s="30" t="s">
        <v>25</v>
      </c>
      <c r="D120" s="34"/>
      <c r="E120" s="34"/>
      <c r="F120" s="28" t="str">
        <f>E12</f>
        <v>VODOVODY A KANALIZACE MLADÁ BOLESLAV A.S.</v>
      </c>
      <c r="G120" s="34"/>
      <c r="H120" s="34"/>
      <c r="I120" s="34"/>
      <c r="J120" s="34"/>
      <c r="K120" s="30" t="s">
        <v>31</v>
      </c>
      <c r="L120" s="214"/>
      <c r="M120" s="259" t="str">
        <f>E18</f>
        <v>ING.EVŽEN KOZÁK S.R.O.</v>
      </c>
      <c r="N120" s="259"/>
      <c r="O120" s="259"/>
      <c r="P120" s="259"/>
      <c r="Q120" s="259"/>
      <c r="R120" s="35"/>
    </row>
    <row r="121" spans="2:65" s="1" customFormat="1" ht="14.45" customHeight="1" x14ac:dyDescent="0.3">
      <c r="B121" s="33"/>
      <c r="C121" s="30" t="s">
        <v>29</v>
      </c>
      <c r="D121" s="34"/>
      <c r="E121" s="34"/>
      <c r="F121" s="28" t="str">
        <f>IF(E15="","",E15)</f>
        <v>DLE VÝBĚROVÉHO ŘÍZENÍ</v>
      </c>
      <c r="G121" s="34"/>
      <c r="H121" s="34"/>
      <c r="I121" s="34"/>
      <c r="J121" s="34"/>
      <c r="K121" s="30" t="s">
        <v>34</v>
      </c>
      <c r="L121" s="214"/>
      <c r="M121" s="259" t="str">
        <f>E21</f>
        <v>ING.EVŽEN KOZÁK</v>
      </c>
      <c r="N121" s="259"/>
      <c r="O121" s="259"/>
      <c r="P121" s="259"/>
      <c r="Q121" s="259"/>
      <c r="R121" s="35"/>
    </row>
    <row r="122" spans="2:65" s="1" customFormat="1" ht="10.35" customHeight="1" x14ac:dyDescent="0.3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214"/>
      <c r="M122" s="214"/>
      <c r="N122" s="34"/>
      <c r="O122" s="34"/>
      <c r="P122" s="34"/>
      <c r="Q122" s="34"/>
      <c r="R122" s="35"/>
    </row>
    <row r="123" spans="2:65" s="8" customFormat="1" ht="29.25" customHeight="1" x14ac:dyDescent="0.3">
      <c r="B123" s="133"/>
      <c r="C123" s="134" t="s">
        <v>127</v>
      </c>
      <c r="D123" s="135" t="s">
        <v>128</v>
      </c>
      <c r="E123" s="135" t="s">
        <v>58</v>
      </c>
      <c r="F123" s="283" t="s">
        <v>129</v>
      </c>
      <c r="G123" s="283"/>
      <c r="H123" s="283"/>
      <c r="I123" s="283"/>
      <c r="J123" s="135" t="s">
        <v>130</v>
      </c>
      <c r="K123" s="135" t="s">
        <v>131</v>
      </c>
      <c r="L123" s="283" t="s">
        <v>132</v>
      </c>
      <c r="M123" s="283"/>
      <c r="N123" s="283" t="s">
        <v>107</v>
      </c>
      <c r="O123" s="283"/>
      <c r="P123" s="283"/>
      <c r="Q123" s="284"/>
      <c r="R123" s="136"/>
      <c r="T123" s="78" t="s">
        <v>133</v>
      </c>
      <c r="U123" s="79" t="s">
        <v>40</v>
      </c>
      <c r="V123" s="79" t="s">
        <v>134</v>
      </c>
      <c r="W123" s="79" t="s">
        <v>135</v>
      </c>
      <c r="X123" s="79" t="s">
        <v>136</v>
      </c>
      <c r="Y123" s="79" t="s">
        <v>137</v>
      </c>
      <c r="Z123" s="79" t="s">
        <v>138</v>
      </c>
      <c r="AA123" s="80" t="s">
        <v>139</v>
      </c>
    </row>
    <row r="124" spans="2:65" s="1" customFormat="1" ht="29.25" customHeight="1" x14ac:dyDescent="0.35">
      <c r="B124" s="33"/>
      <c r="C124" s="82" t="s">
        <v>103</v>
      </c>
      <c r="D124" s="34"/>
      <c r="E124" s="34"/>
      <c r="F124" s="34"/>
      <c r="G124" s="34"/>
      <c r="H124" s="34"/>
      <c r="I124" s="34"/>
      <c r="J124" s="34"/>
      <c r="K124" s="34"/>
      <c r="L124" s="214"/>
      <c r="M124" s="214"/>
      <c r="N124" s="285">
        <f>N125+N169</f>
        <v>0</v>
      </c>
      <c r="O124" s="286"/>
      <c r="P124" s="286"/>
      <c r="Q124" s="286"/>
      <c r="R124" s="35"/>
      <c r="T124" s="81"/>
      <c r="U124" s="49"/>
      <c r="V124" s="49"/>
      <c r="W124" s="137">
        <f>W125+W169</f>
        <v>78.386103000000006</v>
      </c>
      <c r="X124" s="49"/>
      <c r="Y124" s="137">
        <f>Y125+Y169</f>
        <v>13.93187367</v>
      </c>
      <c r="Z124" s="49"/>
      <c r="AA124" s="138">
        <f>AA125+AA169</f>
        <v>18.457221999999998</v>
      </c>
      <c r="AT124" s="20" t="s">
        <v>75</v>
      </c>
      <c r="AU124" s="20" t="s">
        <v>109</v>
      </c>
      <c r="BK124" s="139">
        <f>BK125+BK169</f>
        <v>0</v>
      </c>
    </row>
    <row r="125" spans="2:65" s="9" customFormat="1" ht="37.35" customHeight="1" x14ac:dyDescent="0.35">
      <c r="B125" s="140"/>
      <c r="C125" s="141"/>
      <c r="D125" s="142" t="s">
        <v>110</v>
      </c>
      <c r="E125" s="142"/>
      <c r="F125" s="142"/>
      <c r="G125" s="142"/>
      <c r="H125" s="142"/>
      <c r="I125" s="142"/>
      <c r="J125" s="142"/>
      <c r="K125" s="142"/>
      <c r="L125" s="142"/>
      <c r="M125" s="142"/>
      <c r="N125" s="287">
        <f>N126+N147+N150+N154+N157+N164</f>
        <v>0</v>
      </c>
      <c r="O125" s="288"/>
      <c r="P125" s="288"/>
      <c r="Q125" s="288"/>
      <c r="R125" s="143"/>
      <c r="T125" s="144"/>
      <c r="U125" s="141"/>
      <c r="V125" s="141"/>
      <c r="W125" s="145">
        <f>W126+W147+W150+W154+W157+W164</f>
        <v>70.002902000000006</v>
      </c>
      <c r="X125" s="141"/>
      <c r="Y125" s="145">
        <f>Y126+Y147+Y150+Y154+Y157+Y164</f>
        <v>13.88667802</v>
      </c>
      <c r="Z125" s="141"/>
      <c r="AA125" s="146">
        <f>AA126+AA147+AA150+AA154+AA157+AA164</f>
        <v>18.127579999999998</v>
      </c>
      <c r="AR125" s="147" t="s">
        <v>83</v>
      </c>
      <c r="AT125" s="148" t="s">
        <v>75</v>
      </c>
      <c r="AU125" s="148" t="s">
        <v>76</v>
      </c>
      <c r="AY125" s="147" t="s">
        <v>140</v>
      </c>
      <c r="BK125" s="149">
        <f>BK126+BK147+BK150+BK154+BK157+BK164</f>
        <v>0</v>
      </c>
    </row>
    <row r="126" spans="2:65" s="9" customFormat="1" ht="19.899999999999999" customHeight="1" x14ac:dyDescent="0.3">
      <c r="B126" s="140"/>
      <c r="C126" s="141"/>
      <c r="D126" s="150" t="s">
        <v>111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269">
        <f>SUM(N127:N146)</f>
        <v>0</v>
      </c>
      <c r="O126" s="270"/>
      <c r="P126" s="270"/>
      <c r="Q126" s="270"/>
      <c r="R126" s="143"/>
      <c r="T126" s="144"/>
      <c r="U126" s="141"/>
      <c r="V126" s="141"/>
      <c r="W126" s="145">
        <f>SUM(W127:W146)</f>
        <v>7.359572</v>
      </c>
      <c r="X126" s="141"/>
      <c r="Y126" s="145">
        <f>SUM(Y127:Y146)</f>
        <v>13.072049999999999</v>
      </c>
      <c r="Z126" s="141"/>
      <c r="AA126" s="146">
        <f>SUM(AA127:AA146)</f>
        <v>0</v>
      </c>
      <c r="AR126" s="147" t="s">
        <v>83</v>
      </c>
      <c r="AT126" s="148" t="s">
        <v>75</v>
      </c>
      <c r="AU126" s="148" t="s">
        <v>83</v>
      </c>
      <c r="AY126" s="147" t="s">
        <v>140</v>
      </c>
      <c r="BK126" s="149">
        <f>SUM(BK127:BK146)</f>
        <v>0</v>
      </c>
    </row>
    <row r="127" spans="2:65" s="1" customFormat="1" ht="25.5" customHeight="1" x14ac:dyDescent="0.3">
      <c r="B127" s="33"/>
      <c r="C127" s="151">
        <v>1</v>
      </c>
      <c r="D127" s="151" t="s">
        <v>141</v>
      </c>
      <c r="E127" s="152" t="s">
        <v>142</v>
      </c>
      <c r="F127" s="263" t="s">
        <v>143</v>
      </c>
      <c r="G127" s="263"/>
      <c r="H127" s="263"/>
      <c r="I127" s="263"/>
      <c r="J127" s="153" t="s">
        <v>144</v>
      </c>
      <c r="K127" s="154">
        <v>5.8280000000000003</v>
      </c>
      <c r="L127" s="328"/>
      <c r="M127" s="328"/>
      <c r="N127" s="264">
        <f>ROUND(L127*K127,2)</f>
        <v>0</v>
      </c>
      <c r="O127" s="264"/>
      <c r="P127" s="264"/>
      <c r="Q127" s="264"/>
      <c r="R127" s="35"/>
      <c r="T127" s="155" t="s">
        <v>19</v>
      </c>
      <c r="U127" s="42" t="s">
        <v>41</v>
      </c>
      <c r="V127" s="156">
        <v>0.29899999999999999</v>
      </c>
      <c r="W127" s="156">
        <f>V127*K127</f>
        <v>1.742572</v>
      </c>
      <c r="X127" s="156">
        <v>0</v>
      </c>
      <c r="Y127" s="156">
        <f>X127*K127</f>
        <v>0</v>
      </c>
      <c r="Z127" s="156">
        <v>0</v>
      </c>
      <c r="AA127" s="157">
        <f>Z127*K127</f>
        <v>0</v>
      </c>
      <c r="AR127" s="20" t="s">
        <v>145</v>
      </c>
      <c r="AT127" s="20" t="s">
        <v>141</v>
      </c>
      <c r="AU127" s="20" t="s">
        <v>99</v>
      </c>
      <c r="AY127" s="20" t="s">
        <v>140</v>
      </c>
      <c r="BE127" s="158">
        <f>IF(U127="základní",N127,0)</f>
        <v>0</v>
      </c>
      <c r="BF127" s="158">
        <f>IF(U127="snížená",N127,0)</f>
        <v>0</v>
      </c>
      <c r="BG127" s="158">
        <f>IF(U127="zákl. přenesená",N127,0)</f>
        <v>0</v>
      </c>
      <c r="BH127" s="158">
        <f>IF(U127="sníž. přenesená",N127,0)</f>
        <v>0</v>
      </c>
      <c r="BI127" s="158">
        <f>IF(U127="nulová",N127,0)</f>
        <v>0</v>
      </c>
      <c r="BJ127" s="20" t="s">
        <v>83</v>
      </c>
      <c r="BK127" s="158">
        <f>ROUND(L127*K127,2)</f>
        <v>0</v>
      </c>
      <c r="BL127" s="20" t="s">
        <v>145</v>
      </c>
      <c r="BM127" s="20" t="s">
        <v>146</v>
      </c>
    </row>
    <row r="128" spans="2:65" s="10" customFormat="1" ht="25.5" customHeight="1" x14ac:dyDescent="0.3">
      <c r="B128" s="159"/>
      <c r="C128" s="160"/>
      <c r="D128" s="160"/>
      <c r="E128" s="161" t="s">
        <v>19</v>
      </c>
      <c r="F128" s="267" t="s">
        <v>147</v>
      </c>
      <c r="G128" s="268"/>
      <c r="H128" s="268"/>
      <c r="I128" s="268"/>
      <c r="J128" s="160"/>
      <c r="K128" s="162">
        <v>5.1219999999999999</v>
      </c>
      <c r="L128" s="329"/>
      <c r="M128" s="329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148</v>
      </c>
      <c r="AU128" s="166" t="s">
        <v>99</v>
      </c>
      <c r="AV128" s="10" t="s">
        <v>99</v>
      </c>
      <c r="AW128" s="10" t="s">
        <v>33</v>
      </c>
      <c r="AX128" s="10" t="s">
        <v>76</v>
      </c>
      <c r="AY128" s="166" t="s">
        <v>140</v>
      </c>
    </row>
    <row r="129" spans="2:65" s="10" customFormat="1" ht="25.5" customHeight="1" x14ac:dyDescent="0.3">
      <c r="B129" s="159"/>
      <c r="C129" s="160"/>
      <c r="D129" s="160"/>
      <c r="E129" s="161" t="s">
        <v>19</v>
      </c>
      <c r="F129" s="279" t="s">
        <v>149</v>
      </c>
      <c r="G129" s="280"/>
      <c r="H129" s="280"/>
      <c r="I129" s="280"/>
      <c r="J129" s="160"/>
      <c r="K129" s="162">
        <v>0.35299999999999998</v>
      </c>
      <c r="L129" s="329"/>
      <c r="M129" s="329"/>
      <c r="N129" s="160"/>
      <c r="O129" s="160"/>
      <c r="P129" s="160"/>
      <c r="Q129" s="160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148</v>
      </c>
      <c r="AU129" s="166" t="s">
        <v>99</v>
      </c>
      <c r="AV129" s="10" t="s">
        <v>99</v>
      </c>
      <c r="AW129" s="10" t="s">
        <v>33</v>
      </c>
      <c r="AX129" s="10" t="s">
        <v>76</v>
      </c>
      <c r="AY129" s="166" t="s">
        <v>140</v>
      </c>
    </row>
    <row r="130" spans="2:65" s="10" customFormat="1" ht="25.5" customHeight="1" x14ac:dyDescent="0.3">
      <c r="B130" s="159"/>
      <c r="C130" s="160"/>
      <c r="D130" s="160"/>
      <c r="E130" s="161" t="s">
        <v>19</v>
      </c>
      <c r="F130" s="279" t="s">
        <v>150</v>
      </c>
      <c r="G130" s="280"/>
      <c r="H130" s="280"/>
      <c r="I130" s="280"/>
      <c r="J130" s="160"/>
      <c r="K130" s="162">
        <v>0.35299999999999998</v>
      </c>
      <c r="L130" s="329"/>
      <c r="M130" s="329"/>
      <c r="N130" s="160"/>
      <c r="O130" s="160"/>
      <c r="P130" s="160"/>
      <c r="Q130" s="160"/>
      <c r="R130" s="163"/>
      <c r="T130" s="164"/>
      <c r="U130" s="160"/>
      <c r="V130" s="160"/>
      <c r="W130" s="160"/>
      <c r="X130" s="160"/>
      <c r="Y130" s="160"/>
      <c r="Z130" s="160"/>
      <c r="AA130" s="165"/>
      <c r="AT130" s="166" t="s">
        <v>148</v>
      </c>
      <c r="AU130" s="166" t="s">
        <v>99</v>
      </c>
      <c r="AV130" s="10" t="s">
        <v>99</v>
      </c>
      <c r="AW130" s="10" t="s">
        <v>33</v>
      </c>
      <c r="AX130" s="10" t="s">
        <v>76</v>
      </c>
      <c r="AY130" s="166" t="s">
        <v>140</v>
      </c>
    </row>
    <row r="131" spans="2:65" s="11" customFormat="1" ht="16.5" customHeight="1" x14ac:dyDescent="0.3">
      <c r="B131" s="167"/>
      <c r="C131" s="168"/>
      <c r="D131" s="168"/>
      <c r="E131" s="169" t="s">
        <v>19</v>
      </c>
      <c r="F131" s="281" t="s">
        <v>151</v>
      </c>
      <c r="G131" s="282"/>
      <c r="H131" s="282"/>
      <c r="I131" s="282"/>
      <c r="J131" s="168"/>
      <c r="K131" s="170">
        <v>5.8280000000000003</v>
      </c>
      <c r="L131" s="330"/>
      <c r="M131" s="330"/>
      <c r="N131" s="168"/>
      <c r="O131" s="168"/>
      <c r="P131" s="168"/>
      <c r="Q131" s="168"/>
      <c r="R131" s="171"/>
      <c r="T131" s="172"/>
      <c r="U131" s="168"/>
      <c r="V131" s="168"/>
      <c r="W131" s="168"/>
      <c r="X131" s="168"/>
      <c r="Y131" s="168"/>
      <c r="Z131" s="168"/>
      <c r="AA131" s="173"/>
      <c r="AT131" s="174" t="s">
        <v>148</v>
      </c>
      <c r="AU131" s="174" t="s">
        <v>99</v>
      </c>
      <c r="AV131" s="11" t="s">
        <v>145</v>
      </c>
      <c r="AW131" s="11" t="s">
        <v>33</v>
      </c>
      <c r="AX131" s="11" t="s">
        <v>83</v>
      </c>
      <c r="AY131" s="174" t="s">
        <v>140</v>
      </c>
    </row>
    <row r="132" spans="2:65" s="1" customFormat="1" ht="16.5" customHeight="1" x14ac:dyDescent="0.3">
      <c r="B132" s="33"/>
      <c r="C132" s="175">
        <v>2</v>
      </c>
      <c r="D132" s="175" t="s">
        <v>152</v>
      </c>
      <c r="E132" s="176" t="s">
        <v>153</v>
      </c>
      <c r="F132" s="265" t="s">
        <v>154</v>
      </c>
      <c r="G132" s="265"/>
      <c r="H132" s="265"/>
      <c r="I132" s="265"/>
      <c r="J132" s="177" t="s">
        <v>155</v>
      </c>
      <c r="K132" s="178">
        <v>12.292999999999999</v>
      </c>
      <c r="L132" s="331"/>
      <c r="M132" s="331"/>
      <c r="N132" s="266">
        <f>ROUND(L132*K132,2)</f>
        <v>0</v>
      </c>
      <c r="O132" s="264"/>
      <c r="P132" s="264"/>
      <c r="Q132" s="264"/>
      <c r="R132" s="35"/>
      <c r="T132" s="155" t="s">
        <v>19</v>
      </c>
      <c r="U132" s="42" t="s">
        <v>41</v>
      </c>
      <c r="V132" s="156">
        <v>0</v>
      </c>
      <c r="W132" s="156">
        <f>V132*K132</f>
        <v>0</v>
      </c>
      <c r="X132" s="156">
        <v>1</v>
      </c>
      <c r="Y132" s="156">
        <f>X132*K132</f>
        <v>12.292999999999999</v>
      </c>
      <c r="Z132" s="156">
        <v>0</v>
      </c>
      <c r="AA132" s="157">
        <f>Z132*K132</f>
        <v>0</v>
      </c>
      <c r="AR132" s="20" t="s">
        <v>156</v>
      </c>
      <c r="AT132" s="20" t="s">
        <v>152</v>
      </c>
      <c r="AU132" s="20" t="s">
        <v>99</v>
      </c>
      <c r="AY132" s="20" t="s">
        <v>140</v>
      </c>
      <c r="BE132" s="158">
        <f>IF(U132="základní",N132,0)</f>
        <v>0</v>
      </c>
      <c r="BF132" s="158">
        <f>IF(U132="snížená",N132,0)</f>
        <v>0</v>
      </c>
      <c r="BG132" s="158">
        <f>IF(U132="zákl. přenesená",N132,0)</f>
        <v>0</v>
      </c>
      <c r="BH132" s="158">
        <f>IF(U132="sníž. přenesená",N132,0)</f>
        <v>0</v>
      </c>
      <c r="BI132" s="158">
        <f>IF(U132="nulová",N132,0)</f>
        <v>0</v>
      </c>
      <c r="BJ132" s="20" t="s">
        <v>83</v>
      </c>
      <c r="BK132" s="158">
        <f>ROUND(L132*K132,2)</f>
        <v>0</v>
      </c>
      <c r="BL132" s="20" t="s">
        <v>145</v>
      </c>
      <c r="BM132" s="20" t="s">
        <v>157</v>
      </c>
    </row>
    <row r="133" spans="2:65" s="10" customFormat="1" ht="25.5" customHeight="1" x14ac:dyDescent="0.3">
      <c r="B133" s="159"/>
      <c r="C133" s="160"/>
      <c r="D133" s="160"/>
      <c r="E133" s="161" t="s">
        <v>19</v>
      </c>
      <c r="F133" s="267" t="s">
        <v>147</v>
      </c>
      <c r="G133" s="268"/>
      <c r="H133" s="268"/>
      <c r="I133" s="268"/>
      <c r="J133" s="160"/>
      <c r="K133" s="162">
        <v>5.1219999999999999</v>
      </c>
      <c r="L133" s="329"/>
      <c r="M133" s="329"/>
      <c r="N133" s="160"/>
      <c r="O133" s="160"/>
      <c r="P133" s="160"/>
      <c r="Q133" s="160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148</v>
      </c>
      <c r="AU133" s="166" t="s">
        <v>99</v>
      </c>
      <c r="AV133" s="10" t="s">
        <v>99</v>
      </c>
      <c r="AW133" s="10" t="s">
        <v>33</v>
      </c>
      <c r="AX133" s="10" t="s">
        <v>76</v>
      </c>
      <c r="AY133" s="166" t="s">
        <v>140</v>
      </c>
    </row>
    <row r="134" spans="2:65" s="10" customFormat="1" ht="16.5" customHeight="1" x14ac:dyDescent="0.3">
      <c r="B134" s="159"/>
      <c r="C134" s="160"/>
      <c r="D134" s="160"/>
      <c r="E134" s="161" t="s">
        <v>19</v>
      </c>
      <c r="F134" s="279" t="s">
        <v>158</v>
      </c>
      <c r="G134" s="280"/>
      <c r="H134" s="280"/>
      <c r="I134" s="280"/>
      <c r="J134" s="160"/>
      <c r="K134" s="162">
        <v>12.292999999999999</v>
      </c>
      <c r="L134" s="329"/>
      <c r="M134" s="329"/>
      <c r="N134" s="160"/>
      <c r="O134" s="160"/>
      <c r="P134" s="160"/>
      <c r="Q134" s="160"/>
      <c r="R134" s="163"/>
      <c r="T134" s="164"/>
      <c r="U134" s="160"/>
      <c r="V134" s="160"/>
      <c r="W134" s="160"/>
      <c r="X134" s="160"/>
      <c r="Y134" s="160"/>
      <c r="Z134" s="160"/>
      <c r="AA134" s="165"/>
      <c r="AT134" s="166" t="s">
        <v>148</v>
      </c>
      <c r="AU134" s="166" t="s">
        <v>99</v>
      </c>
      <c r="AV134" s="10" t="s">
        <v>99</v>
      </c>
      <c r="AW134" s="10" t="s">
        <v>33</v>
      </c>
      <c r="AX134" s="10" t="s">
        <v>83</v>
      </c>
      <c r="AY134" s="166" t="s">
        <v>140</v>
      </c>
    </row>
    <row r="135" spans="2:65" s="1" customFormat="1" ht="16.5" customHeight="1" x14ac:dyDescent="0.3">
      <c r="B135" s="33"/>
      <c r="C135" s="175">
        <v>3</v>
      </c>
      <c r="D135" s="175" t="s">
        <v>152</v>
      </c>
      <c r="E135" s="176" t="s">
        <v>159</v>
      </c>
      <c r="F135" s="265" t="s">
        <v>160</v>
      </c>
      <c r="G135" s="265"/>
      <c r="H135" s="265"/>
      <c r="I135" s="265"/>
      <c r="J135" s="177" t="s">
        <v>155</v>
      </c>
      <c r="K135" s="178">
        <v>0.77700000000000002</v>
      </c>
      <c r="L135" s="331"/>
      <c r="M135" s="331"/>
      <c r="N135" s="266">
        <f>ROUND(L135*K135,2)</f>
        <v>0</v>
      </c>
      <c r="O135" s="264"/>
      <c r="P135" s="264"/>
      <c r="Q135" s="264"/>
      <c r="R135" s="35"/>
      <c r="T135" s="155" t="s">
        <v>19</v>
      </c>
      <c r="U135" s="42" t="s">
        <v>41</v>
      </c>
      <c r="V135" s="156">
        <v>0</v>
      </c>
      <c r="W135" s="156">
        <f>V135*K135</f>
        <v>0</v>
      </c>
      <c r="X135" s="156">
        <v>1</v>
      </c>
      <c r="Y135" s="156">
        <f>X135*K135</f>
        <v>0.77700000000000002</v>
      </c>
      <c r="Z135" s="156">
        <v>0</v>
      </c>
      <c r="AA135" s="157">
        <f>Z135*K135</f>
        <v>0</v>
      </c>
      <c r="AR135" s="20" t="s">
        <v>156</v>
      </c>
      <c r="AT135" s="20" t="s">
        <v>152</v>
      </c>
      <c r="AU135" s="20" t="s">
        <v>99</v>
      </c>
      <c r="AY135" s="20" t="s">
        <v>140</v>
      </c>
      <c r="BE135" s="158">
        <f>IF(U135="základní",N135,0)</f>
        <v>0</v>
      </c>
      <c r="BF135" s="158">
        <f>IF(U135="snížená",N135,0)</f>
        <v>0</v>
      </c>
      <c r="BG135" s="158">
        <f>IF(U135="zákl. přenesená",N135,0)</f>
        <v>0</v>
      </c>
      <c r="BH135" s="158">
        <f>IF(U135="sníž. přenesená",N135,0)</f>
        <v>0</v>
      </c>
      <c r="BI135" s="158">
        <f>IF(U135="nulová",N135,0)</f>
        <v>0</v>
      </c>
      <c r="BJ135" s="20" t="s">
        <v>83</v>
      </c>
      <c r="BK135" s="158">
        <f>ROUND(L135*K135,2)</f>
        <v>0</v>
      </c>
      <c r="BL135" s="20" t="s">
        <v>145</v>
      </c>
      <c r="BM135" s="20" t="s">
        <v>161</v>
      </c>
    </row>
    <row r="136" spans="2:65" s="10" customFormat="1" ht="25.5" customHeight="1" x14ac:dyDescent="0.3">
      <c r="B136" s="159"/>
      <c r="C136" s="160"/>
      <c r="D136" s="160"/>
      <c r="E136" s="161" t="s">
        <v>19</v>
      </c>
      <c r="F136" s="267" t="s">
        <v>150</v>
      </c>
      <c r="G136" s="268"/>
      <c r="H136" s="268"/>
      <c r="I136" s="268"/>
      <c r="J136" s="160"/>
      <c r="K136" s="162">
        <v>0.35299999999999998</v>
      </c>
      <c r="L136" s="329"/>
      <c r="M136" s="329"/>
      <c r="N136" s="160"/>
      <c r="O136" s="160"/>
      <c r="P136" s="160"/>
      <c r="Q136" s="160"/>
      <c r="R136" s="163"/>
      <c r="T136" s="164"/>
      <c r="U136" s="160"/>
      <c r="V136" s="160"/>
      <c r="W136" s="160"/>
      <c r="X136" s="160"/>
      <c r="Y136" s="160"/>
      <c r="Z136" s="160"/>
      <c r="AA136" s="165"/>
      <c r="AT136" s="166" t="s">
        <v>148</v>
      </c>
      <c r="AU136" s="166" t="s">
        <v>99</v>
      </c>
      <c r="AV136" s="10" t="s">
        <v>99</v>
      </c>
      <c r="AW136" s="10" t="s">
        <v>33</v>
      </c>
      <c r="AX136" s="10" t="s">
        <v>76</v>
      </c>
      <c r="AY136" s="166" t="s">
        <v>140</v>
      </c>
    </row>
    <row r="137" spans="2:65" s="10" customFormat="1" ht="16.5" customHeight="1" x14ac:dyDescent="0.3">
      <c r="B137" s="159"/>
      <c r="C137" s="160"/>
      <c r="D137" s="160"/>
      <c r="E137" s="161" t="s">
        <v>19</v>
      </c>
      <c r="F137" s="279" t="s">
        <v>162</v>
      </c>
      <c r="G137" s="280"/>
      <c r="H137" s="280"/>
      <c r="I137" s="280"/>
      <c r="J137" s="160"/>
      <c r="K137" s="162">
        <v>0.77700000000000002</v>
      </c>
      <c r="L137" s="329"/>
      <c r="M137" s="329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148</v>
      </c>
      <c r="AU137" s="166" t="s">
        <v>99</v>
      </c>
      <c r="AV137" s="10" t="s">
        <v>99</v>
      </c>
      <c r="AW137" s="10" t="s">
        <v>33</v>
      </c>
      <c r="AX137" s="10" t="s">
        <v>83</v>
      </c>
      <c r="AY137" s="166" t="s">
        <v>140</v>
      </c>
    </row>
    <row r="138" spans="2:65" s="1" customFormat="1" ht="38.25" customHeight="1" x14ac:dyDescent="0.3">
      <c r="B138" s="33"/>
      <c r="C138" s="151">
        <v>4</v>
      </c>
      <c r="D138" s="151" t="s">
        <v>141</v>
      </c>
      <c r="E138" s="152" t="s">
        <v>163</v>
      </c>
      <c r="F138" s="263" t="s">
        <v>164</v>
      </c>
      <c r="G138" s="263"/>
      <c r="H138" s="263"/>
      <c r="I138" s="263"/>
      <c r="J138" s="153" t="s">
        <v>165</v>
      </c>
      <c r="K138" s="154">
        <v>41</v>
      </c>
      <c r="L138" s="328"/>
      <c r="M138" s="328"/>
      <c r="N138" s="264">
        <f>ROUND(L138*K138,2)</f>
        <v>0</v>
      </c>
      <c r="O138" s="264"/>
      <c r="P138" s="264"/>
      <c r="Q138" s="264"/>
      <c r="R138" s="35"/>
      <c r="T138" s="155" t="s">
        <v>19</v>
      </c>
      <c r="U138" s="42" t="s">
        <v>41</v>
      </c>
      <c r="V138" s="156">
        <v>0.13</v>
      </c>
      <c r="W138" s="156">
        <f>V138*K138</f>
        <v>5.33</v>
      </c>
      <c r="X138" s="156">
        <v>0</v>
      </c>
      <c r="Y138" s="156">
        <f>X138*K138</f>
        <v>0</v>
      </c>
      <c r="Z138" s="156">
        <v>0</v>
      </c>
      <c r="AA138" s="157">
        <f>Z138*K138</f>
        <v>0</v>
      </c>
      <c r="AR138" s="20" t="s">
        <v>145</v>
      </c>
      <c r="AT138" s="20" t="s">
        <v>141</v>
      </c>
      <c r="AU138" s="20" t="s">
        <v>99</v>
      </c>
      <c r="AY138" s="20" t="s">
        <v>140</v>
      </c>
      <c r="BE138" s="158">
        <f>IF(U138="základní",N138,0)</f>
        <v>0</v>
      </c>
      <c r="BF138" s="158">
        <f>IF(U138="snížená",N138,0)</f>
        <v>0</v>
      </c>
      <c r="BG138" s="158">
        <f>IF(U138="zákl. přenesená",N138,0)</f>
        <v>0</v>
      </c>
      <c r="BH138" s="158">
        <f>IF(U138="sníž. přenesená",N138,0)</f>
        <v>0</v>
      </c>
      <c r="BI138" s="158">
        <f>IF(U138="nulová",N138,0)</f>
        <v>0</v>
      </c>
      <c r="BJ138" s="20" t="s">
        <v>83</v>
      </c>
      <c r="BK138" s="158">
        <f>ROUND(L138*K138,2)</f>
        <v>0</v>
      </c>
      <c r="BL138" s="20" t="s">
        <v>145</v>
      </c>
      <c r="BM138" s="20" t="s">
        <v>166</v>
      </c>
    </row>
    <row r="139" spans="2:65" s="10" customFormat="1" ht="16.5" customHeight="1" x14ac:dyDescent="0.3">
      <c r="B139" s="159"/>
      <c r="C139" s="160"/>
      <c r="D139" s="160"/>
      <c r="E139" s="161" t="s">
        <v>19</v>
      </c>
      <c r="F139" s="267" t="s">
        <v>167</v>
      </c>
      <c r="G139" s="268"/>
      <c r="H139" s="268"/>
      <c r="I139" s="268"/>
      <c r="J139" s="160"/>
      <c r="K139" s="162">
        <v>25</v>
      </c>
      <c r="L139" s="329"/>
      <c r="M139" s="329"/>
      <c r="N139" s="160"/>
      <c r="O139" s="160"/>
      <c r="P139" s="160"/>
      <c r="Q139" s="160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148</v>
      </c>
      <c r="AU139" s="166" t="s">
        <v>99</v>
      </c>
      <c r="AV139" s="10" t="s">
        <v>99</v>
      </c>
      <c r="AW139" s="10" t="s">
        <v>33</v>
      </c>
      <c r="AX139" s="10" t="s">
        <v>76</v>
      </c>
      <c r="AY139" s="166" t="s">
        <v>140</v>
      </c>
    </row>
    <row r="140" spans="2:65" s="10" customFormat="1" ht="16.5" customHeight="1" x14ac:dyDescent="0.3">
      <c r="B140" s="159"/>
      <c r="C140" s="160"/>
      <c r="D140" s="160"/>
      <c r="E140" s="161" t="s">
        <v>19</v>
      </c>
      <c r="F140" s="279" t="s">
        <v>168</v>
      </c>
      <c r="G140" s="280"/>
      <c r="H140" s="280"/>
      <c r="I140" s="280"/>
      <c r="J140" s="160"/>
      <c r="K140" s="162">
        <v>16</v>
      </c>
      <c r="L140" s="329"/>
      <c r="M140" s="329"/>
      <c r="N140" s="160"/>
      <c r="O140" s="160"/>
      <c r="P140" s="160"/>
      <c r="Q140" s="160"/>
      <c r="R140" s="163"/>
      <c r="T140" s="164"/>
      <c r="U140" s="160"/>
      <c r="V140" s="160"/>
      <c r="W140" s="160"/>
      <c r="X140" s="160"/>
      <c r="Y140" s="160"/>
      <c r="Z140" s="160"/>
      <c r="AA140" s="165"/>
      <c r="AT140" s="166" t="s">
        <v>148</v>
      </c>
      <c r="AU140" s="166" t="s">
        <v>99</v>
      </c>
      <c r="AV140" s="10" t="s">
        <v>99</v>
      </c>
      <c r="AW140" s="10" t="s">
        <v>33</v>
      </c>
      <c r="AX140" s="10" t="s">
        <v>76</v>
      </c>
      <c r="AY140" s="166" t="s">
        <v>140</v>
      </c>
    </row>
    <row r="141" spans="2:65" s="11" customFormat="1" ht="16.5" customHeight="1" x14ac:dyDescent="0.3">
      <c r="B141" s="167"/>
      <c r="C141" s="168"/>
      <c r="D141" s="168"/>
      <c r="E141" s="169" t="s">
        <v>19</v>
      </c>
      <c r="F141" s="281" t="s">
        <v>151</v>
      </c>
      <c r="G141" s="282"/>
      <c r="H141" s="282"/>
      <c r="I141" s="282"/>
      <c r="J141" s="168"/>
      <c r="K141" s="170">
        <v>41</v>
      </c>
      <c r="L141" s="330"/>
      <c r="M141" s="330"/>
      <c r="N141" s="168"/>
      <c r="O141" s="168"/>
      <c r="P141" s="168"/>
      <c r="Q141" s="168"/>
      <c r="R141" s="171"/>
      <c r="T141" s="172"/>
      <c r="U141" s="168"/>
      <c r="V141" s="168"/>
      <c r="W141" s="168"/>
      <c r="X141" s="168"/>
      <c r="Y141" s="168"/>
      <c r="Z141" s="168"/>
      <c r="AA141" s="173"/>
      <c r="AT141" s="174" t="s">
        <v>148</v>
      </c>
      <c r="AU141" s="174" t="s">
        <v>99</v>
      </c>
      <c r="AV141" s="11" t="s">
        <v>145</v>
      </c>
      <c r="AW141" s="11" t="s">
        <v>33</v>
      </c>
      <c r="AX141" s="11" t="s">
        <v>83</v>
      </c>
      <c r="AY141" s="174" t="s">
        <v>140</v>
      </c>
    </row>
    <row r="142" spans="2:65" s="1" customFormat="1" ht="25.5" customHeight="1" x14ac:dyDescent="0.3">
      <c r="B142" s="33"/>
      <c r="C142" s="151">
        <v>5</v>
      </c>
      <c r="D142" s="151" t="s">
        <v>141</v>
      </c>
      <c r="E142" s="152" t="s">
        <v>169</v>
      </c>
      <c r="F142" s="263" t="s">
        <v>170</v>
      </c>
      <c r="G142" s="263"/>
      <c r="H142" s="263"/>
      <c r="I142" s="263"/>
      <c r="J142" s="153" t="s">
        <v>165</v>
      </c>
      <c r="K142" s="154">
        <v>41</v>
      </c>
      <c r="L142" s="328"/>
      <c r="M142" s="328"/>
      <c r="N142" s="264">
        <f>ROUND(L142*K142,2)</f>
        <v>0</v>
      </c>
      <c r="O142" s="264"/>
      <c r="P142" s="264"/>
      <c r="Q142" s="264"/>
      <c r="R142" s="35"/>
      <c r="T142" s="155" t="s">
        <v>19</v>
      </c>
      <c r="U142" s="42" t="s">
        <v>41</v>
      </c>
      <c r="V142" s="156">
        <v>7.0000000000000001E-3</v>
      </c>
      <c r="W142" s="156">
        <f>V142*K142</f>
        <v>0.28700000000000003</v>
      </c>
      <c r="X142" s="156">
        <v>0</v>
      </c>
      <c r="Y142" s="156">
        <f>X142*K142</f>
        <v>0</v>
      </c>
      <c r="Z142" s="156">
        <v>0</v>
      </c>
      <c r="AA142" s="157">
        <f>Z142*K142</f>
        <v>0</v>
      </c>
      <c r="AR142" s="20" t="s">
        <v>145</v>
      </c>
      <c r="AT142" s="20" t="s">
        <v>141</v>
      </c>
      <c r="AU142" s="20" t="s">
        <v>99</v>
      </c>
      <c r="AY142" s="20" t="s">
        <v>140</v>
      </c>
      <c r="BE142" s="158">
        <f>IF(U142="základní",N142,0)</f>
        <v>0</v>
      </c>
      <c r="BF142" s="158">
        <f>IF(U142="snížená",N142,0)</f>
        <v>0</v>
      </c>
      <c r="BG142" s="158">
        <f>IF(U142="zákl. přenesená",N142,0)</f>
        <v>0</v>
      </c>
      <c r="BH142" s="158">
        <f>IF(U142="sníž. přenesená",N142,0)</f>
        <v>0</v>
      </c>
      <c r="BI142" s="158">
        <f>IF(U142="nulová",N142,0)</f>
        <v>0</v>
      </c>
      <c r="BJ142" s="20" t="s">
        <v>83</v>
      </c>
      <c r="BK142" s="158">
        <f>ROUND(L142*K142,2)</f>
        <v>0</v>
      </c>
      <c r="BL142" s="20" t="s">
        <v>145</v>
      </c>
      <c r="BM142" s="20" t="s">
        <v>171</v>
      </c>
    </row>
    <row r="143" spans="2:65" s="10" customFormat="1" ht="16.5" customHeight="1" x14ac:dyDescent="0.3">
      <c r="B143" s="159"/>
      <c r="C143" s="160"/>
      <c r="D143" s="160"/>
      <c r="E143" s="161" t="s">
        <v>19</v>
      </c>
      <c r="F143" s="267" t="s">
        <v>167</v>
      </c>
      <c r="G143" s="268"/>
      <c r="H143" s="268"/>
      <c r="I143" s="268"/>
      <c r="J143" s="160"/>
      <c r="K143" s="162">
        <v>25</v>
      </c>
      <c r="L143" s="329"/>
      <c r="M143" s="329"/>
      <c r="N143" s="160"/>
      <c r="O143" s="160"/>
      <c r="P143" s="160"/>
      <c r="Q143" s="160"/>
      <c r="R143" s="163"/>
      <c r="T143" s="164"/>
      <c r="U143" s="160"/>
      <c r="V143" s="160"/>
      <c r="W143" s="160"/>
      <c r="X143" s="160"/>
      <c r="Y143" s="160"/>
      <c r="Z143" s="160"/>
      <c r="AA143" s="165"/>
      <c r="AT143" s="166" t="s">
        <v>148</v>
      </c>
      <c r="AU143" s="166" t="s">
        <v>99</v>
      </c>
      <c r="AV143" s="10" t="s">
        <v>99</v>
      </c>
      <c r="AW143" s="10" t="s">
        <v>33</v>
      </c>
      <c r="AX143" s="10" t="s">
        <v>76</v>
      </c>
      <c r="AY143" s="166" t="s">
        <v>140</v>
      </c>
    </row>
    <row r="144" spans="2:65" s="10" customFormat="1" ht="16.5" customHeight="1" x14ac:dyDescent="0.3">
      <c r="B144" s="159"/>
      <c r="C144" s="160"/>
      <c r="D144" s="160"/>
      <c r="E144" s="161" t="s">
        <v>19</v>
      </c>
      <c r="F144" s="279" t="s">
        <v>168</v>
      </c>
      <c r="G144" s="280"/>
      <c r="H144" s="280"/>
      <c r="I144" s="280"/>
      <c r="J144" s="160"/>
      <c r="K144" s="162">
        <v>16</v>
      </c>
      <c r="L144" s="329"/>
      <c r="M144" s="329"/>
      <c r="N144" s="160"/>
      <c r="O144" s="160"/>
      <c r="P144" s="160"/>
      <c r="Q144" s="160"/>
      <c r="R144" s="163"/>
      <c r="T144" s="164"/>
      <c r="U144" s="160"/>
      <c r="V144" s="160"/>
      <c r="W144" s="160"/>
      <c r="X144" s="160"/>
      <c r="Y144" s="160"/>
      <c r="Z144" s="160"/>
      <c r="AA144" s="165"/>
      <c r="AT144" s="166" t="s">
        <v>148</v>
      </c>
      <c r="AU144" s="166" t="s">
        <v>99</v>
      </c>
      <c r="AV144" s="10" t="s">
        <v>99</v>
      </c>
      <c r="AW144" s="10" t="s">
        <v>33</v>
      </c>
      <c r="AX144" s="10" t="s">
        <v>76</v>
      </c>
      <c r="AY144" s="166" t="s">
        <v>140</v>
      </c>
    </row>
    <row r="145" spans="2:65" s="11" customFormat="1" ht="16.5" customHeight="1" x14ac:dyDescent="0.3">
      <c r="B145" s="167"/>
      <c r="C145" s="168"/>
      <c r="D145" s="168"/>
      <c r="E145" s="169" t="s">
        <v>19</v>
      </c>
      <c r="F145" s="281" t="s">
        <v>151</v>
      </c>
      <c r="G145" s="282"/>
      <c r="H145" s="282"/>
      <c r="I145" s="282"/>
      <c r="J145" s="168"/>
      <c r="K145" s="170">
        <v>41</v>
      </c>
      <c r="L145" s="330"/>
      <c r="M145" s="330"/>
      <c r="N145" s="168"/>
      <c r="O145" s="168"/>
      <c r="P145" s="168"/>
      <c r="Q145" s="168"/>
      <c r="R145" s="171"/>
      <c r="T145" s="172"/>
      <c r="U145" s="168"/>
      <c r="V145" s="168"/>
      <c r="W145" s="168"/>
      <c r="X145" s="168"/>
      <c r="Y145" s="168"/>
      <c r="Z145" s="168"/>
      <c r="AA145" s="173"/>
      <c r="AT145" s="174" t="s">
        <v>148</v>
      </c>
      <c r="AU145" s="174" t="s">
        <v>99</v>
      </c>
      <c r="AV145" s="11" t="s">
        <v>145</v>
      </c>
      <c r="AW145" s="11" t="s">
        <v>33</v>
      </c>
      <c r="AX145" s="11" t="s">
        <v>83</v>
      </c>
      <c r="AY145" s="174" t="s">
        <v>140</v>
      </c>
    </row>
    <row r="146" spans="2:65" s="1" customFormat="1" ht="16.5" customHeight="1" x14ac:dyDescent="0.3">
      <c r="B146" s="33"/>
      <c r="C146" s="175">
        <v>6</v>
      </c>
      <c r="D146" s="175" t="s">
        <v>152</v>
      </c>
      <c r="E146" s="176" t="s">
        <v>173</v>
      </c>
      <c r="F146" s="265" t="s">
        <v>174</v>
      </c>
      <c r="G146" s="265"/>
      <c r="H146" s="265"/>
      <c r="I146" s="265"/>
      <c r="J146" s="177" t="s">
        <v>175</v>
      </c>
      <c r="K146" s="178">
        <v>2.0499999999999998</v>
      </c>
      <c r="L146" s="331"/>
      <c r="M146" s="331"/>
      <c r="N146" s="266">
        <f>ROUND(L146*K146,2)</f>
        <v>0</v>
      </c>
      <c r="O146" s="264"/>
      <c r="P146" s="264"/>
      <c r="Q146" s="264"/>
      <c r="R146" s="35"/>
      <c r="T146" s="155" t="s">
        <v>19</v>
      </c>
      <c r="U146" s="42" t="s">
        <v>41</v>
      </c>
      <c r="V146" s="156">
        <v>0</v>
      </c>
      <c r="W146" s="156">
        <f>V146*K146</f>
        <v>0</v>
      </c>
      <c r="X146" s="156">
        <v>1E-3</v>
      </c>
      <c r="Y146" s="156">
        <f>X146*K146</f>
        <v>2.0499999999999997E-3</v>
      </c>
      <c r="Z146" s="156">
        <v>0</v>
      </c>
      <c r="AA146" s="157">
        <f>Z146*K146</f>
        <v>0</v>
      </c>
      <c r="AR146" s="20" t="s">
        <v>156</v>
      </c>
      <c r="AT146" s="20" t="s">
        <v>152</v>
      </c>
      <c r="AU146" s="20" t="s">
        <v>99</v>
      </c>
      <c r="AY146" s="20" t="s">
        <v>140</v>
      </c>
      <c r="BE146" s="158">
        <f>IF(U146="základní",N146,0)</f>
        <v>0</v>
      </c>
      <c r="BF146" s="158">
        <f>IF(U146="snížená",N146,0)</f>
        <v>0</v>
      </c>
      <c r="BG146" s="158">
        <f>IF(U146="zákl. přenesená",N146,0)</f>
        <v>0</v>
      </c>
      <c r="BH146" s="158">
        <f>IF(U146="sníž. přenesená",N146,0)</f>
        <v>0</v>
      </c>
      <c r="BI146" s="158">
        <f>IF(U146="nulová",N146,0)</f>
        <v>0</v>
      </c>
      <c r="BJ146" s="20" t="s">
        <v>83</v>
      </c>
      <c r="BK146" s="158">
        <f>ROUND(L146*K146,2)</f>
        <v>0</v>
      </c>
      <c r="BL146" s="20" t="s">
        <v>145</v>
      </c>
      <c r="BM146" s="20" t="s">
        <v>176</v>
      </c>
    </row>
    <row r="147" spans="2:65" s="9" customFormat="1" ht="29.85" customHeight="1" x14ac:dyDescent="0.3">
      <c r="B147" s="140"/>
      <c r="C147" s="141"/>
      <c r="D147" s="150" t="s">
        <v>112</v>
      </c>
      <c r="E147" s="150"/>
      <c r="F147" s="150"/>
      <c r="G147" s="150"/>
      <c r="H147" s="150"/>
      <c r="I147" s="150"/>
      <c r="J147" s="150"/>
      <c r="K147" s="150"/>
      <c r="L147" s="332"/>
      <c r="M147" s="332"/>
      <c r="N147" s="261">
        <f>SUM(N148:N148)</f>
        <v>0</v>
      </c>
      <c r="O147" s="262"/>
      <c r="P147" s="262"/>
      <c r="Q147" s="262"/>
      <c r="R147" s="143"/>
      <c r="T147" s="144"/>
      <c r="U147" s="141"/>
      <c r="V147" s="141"/>
      <c r="W147" s="145">
        <f>SUM(W148:W149)</f>
        <v>0.20615199999999997</v>
      </c>
      <c r="X147" s="141"/>
      <c r="Y147" s="145">
        <f>SUM(Y148:Y149)</f>
        <v>0.79648801999999985</v>
      </c>
      <c r="Z147" s="141"/>
      <c r="AA147" s="146">
        <f>SUM(AA148:AA149)</f>
        <v>0</v>
      </c>
      <c r="AR147" s="147" t="s">
        <v>83</v>
      </c>
      <c r="AT147" s="148" t="s">
        <v>75</v>
      </c>
      <c r="AU147" s="148" t="s">
        <v>83</v>
      </c>
      <c r="AY147" s="147" t="s">
        <v>140</v>
      </c>
      <c r="BK147" s="149">
        <f>SUM(BK148:BK149)</f>
        <v>0</v>
      </c>
    </row>
    <row r="148" spans="2:65" s="1" customFormat="1" ht="16.5" customHeight="1" x14ac:dyDescent="0.3">
      <c r="B148" s="33"/>
      <c r="C148" s="151">
        <v>7</v>
      </c>
      <c r="D148" s="151" t="s">
        <v>141</v>
      </c>
      <c r="E148" s="152" t="s">
        <v>177</v>
      </c>
      <c r="F148" s="263" t="s">
        <v>178</v>
      </c>
      <c r="G148" s="263"/>
      <c r="H148" s="263"/>
      <c r="I148" s="263"/>
      <c r="J148" s="153" t="s">
        <v>144</v>
      </c>
      <c r="K148" s="154">
        <v>0.35299999999999998</v>
      </c>
      <c r="L148" s="328"/>
      <c r="M148" s="328"/>
      <c r="N148" s="264">
        <f>ROUND(L148*K148,2)</f>
        <v>0</v>
      </c>
      <c r="O148" s="264"/>
      <c r="P148" s="264"/>
      <c r="Q148" s="264"/>
      <c r="R148" s="35"/>
      <c r="T148" s="155" t="s">
        <v>19</v>
      </c>
      <c r="U148" s="42" t="s">
        <v>41</v>
      </c>
      <c r="V148" s="156">
        <v>0.58399999999999996</v>
      </c>
      <c r="W148" s="156">
        <f>V148*K148</f>
        <v>0.20615199999999997</v>
      </c>
      <c r="X148" s="156">
        <v>2.2563399999999998</v>
      </c>
      <c r="Y148" s="156">
        <f>X148*K148</f>
        <v>0.79648801999999985</v>
      </c>
      <c r="Z148" s="156">
        <v>0</v>
      </c>
      <c r="AA148" s="157">
        <f>Z148*K148</f>
        <v>0</v>
      </c>
      <c r="AR148" s="20" t="s">
        <v>145</v>
      </c>
      <c r="AT148" s="20" t="s">
        <v>141</v>
      </c>
      <c r="AU148" s="20" t="s">
        <v>99</v>
      </c>
      <c r="AY148" s="20" t="s">
        <v>140</v>
      </c>
      <c r="BE148" s="158">
        <f>IF(U148="základní",N148,0)</f>
        <v>0</v>
      </c>
      <c r="BF148" s="158">
        <f>IF(U148="snížená",N148,0)</f>
        <v>0</v>
      </c>
      <c r="BG148" s="158">
        <f>IF(U148="zákl. přenesená",N148,0)</f>
        <v>0</v>
      </c>
      <c r="BH148" s="158">
        <f>IF(U148="sníž. přenesená",N148,0)</f>
        <v>0</v>
      </c>
      <c r="BI148" s="158">
        <f>IF(U148="nulová",N148,0)</f>
        <v>0</v>
      </c>
      <c r="BJ148" s="20" t="s">
        <v>83</v>
      </c>
      <c r="BK148" s="158">
        <f>ROUND(L148*K148,2)</f>
        <v>0</v>
      </c>
      <c r="BL148" s="20" t="s">
        <v>145</v>
      </c>
      <c r="BM148" s="20" t="s">
        <v>179</v>
      </c>
    </row>
    <row r="149" spans="2:65" s="10" customFormat="1" ht="25.5" customHeight="1" x14ac:dyDescent="0.3">
      <c r="B149" s="159"/>
      <c r="C149" s="160"/>
      <c r="D149" s="160"/>
      <c r="E149" s="161" t="s">
        <v>19</v>
      </c>
      <c r="F149" s="267" t="s">
        <v>180</v>
      </c>
      <c r="G149" s="268"/>
      <c r="H149" s="268"/>
      <c r="I149" s="268"/>
      <c r="J149" s="160"/>
      <c r="K149" s="162">
        <v>0.35299999999999998</v>
      </c>
      <c r="L149" s="329"/>
      <c r="M149" s="329"/>
      <c r="N149" s="160"/>
      <c r="O149" s="160"/>
      <c r="P149" s="160"/>
      <c r="Q149" s="160"/>
      <c r="R149" s="163"/>
      <c r="T149" s="164"/>
      <c r="U149" s="160"/>
      <c r="V149" s="160"/>
      <c r="W149" s="160"/>
      <c r="X149" s="160"/>
      <c r="Y149" s="160"/>
      <c r="Z149" s="160"/>
      <c r="AA149" s="165"/>
      <c r="AT149" s="166" t="s">
        <v>148</v>
      </c>
      <c r="AU149" s="166" t="s">
        <v>99</v>
      </c>
      <c r="AV149" s="10" t="s">
        <v>99</v>
      </c>
      <c r="AW149" s="10" t="s">
        <v>33</v>
      </c>
      <c r="AX149" s="10" t="s">
        <v>83</v>
      </c>
      <c r="AY149" s="166" t="s">
        <v>140</v>
      </c>
    </row>
    <row r="150" spans="2:65" s="9" customFormat="1" ht="29.85" customHeight="1" x14ac:dyDescent="0.3">
      <c r="B150" s="140"/>
      <c r="C150" s="141"/>
      <c r="D150" s="150" t="s">
        <v>113</v>
      </c>
      <c r="E150" s="150"/>
      <c r="F150" s="150"/>
      <c r="G150" s="150"/>
      <c r="H150" s="150"/>
      <c r="I150" s="150"/>
      <c r="J150" s="150"/>
      <c r="K150" s="150"/>
      <c r="L150" s="332"/>
      <c r="M150" s="332"/>
      <c r="N150" s="269">
        <f>SUM(N151:N153)</f>
        <v>0</v>
      </c>
      <c r="O150" s="270"/>
      <c r="P150" s="270"/>
      <c r="Q150" s="270"/>
      <c r="R150" s="143"/>
      <c r="T150" s="144"/>
      <c r="U150" s="141"/>
      <c r="V150" s="141"/>
      <c r="W150" s="145">
        <f>SUM(W151:W152)</f>
        <v>2.6837999999999997</v>
      </c>
      <c r="X150" s="141"/>
      <c r="Y150" s="145">
        <f>SUM(Y151:Y152)</f>
        <v>0</v>
      </c>
      <c r="Z150" s="141"/>
      <c r="AA150" s="146">
        <f>SUM(AA151:AA152)</f>
        <v>0</v>
      </c>
      <c r="AR150" s="147" t="s">
        <v>83</v>
      </c>
      <c r="AT150" s="148" t="s">
        <v>75</v>
      </c>
      <c r="AU150" s="148" t="s">
        <v>83</v>
      </c>
      <c r="AY150" s="147" t="s">
        <v>140</v>
      </c>
      <c r="BK150" s="149">
        <f>SUM(BK151:BK152)</f>
        <v>0</v>
      </c>
    </row>
    <row r="151" spans="2:65" s="1" customFormat="1" ht="38.25" customHeight="1" x14ac:dyDescent="0.3">
      <c r="B151" s="33"/>
      <c r="C151" s="151">
        <v>8</v>
      </c>
      <c r="D151" s="151" t="s">
        <v>141</v>
      </c>
      <c r="E151" s="152" t="s">
        <v>181</v>
      </c>
      <c r="F151" s="263" t="s">
        <v>182</v>
      </c>
      <c r="G151" s="263"/>
      <c r="H151" s="263"/>
      <c r="I151" s="263"/>
      <c r="J151" s="153" t="s">
        <v>165</v>
      </c>
      <c r="K151" s="154">
        <v>12.6</v>
      </c>
      <c r="L151" s="328"/>
      <c r="M151" s="328"/>
      <c r="N151" s="264">
        <f>ROUND(L151*K151,2)</f>
        <v>0</v>
      </c>
      <c r="O151" s="264"/>
      <c r="P151" s="264"/>
      <c r="Q151" s="264"/>
      <c r="R151" s="35"/>
      <c r="T151" s="155" t="s">
        <v>19</v>
      </c>
      <c r="U151" s="42" t="s">
        <v>41</v>
      </c>
      <c r="V151" s="156">
        <v>0.21299999999999999</v>
      </c>
      <c r="W151" s="156">
        <f>V151*K151</f>
        <v>2.6837999999999997</v>
      </c>
      <c r="X151" s="156">
        <v>0</v>
      </c>
      <c r="Y151" s="156">
        <f>X151*K151</f>
        <v>0</v>
      </c>
      <c r="Z151" s="156">
        <v>0</v>
      </c>
      <c r="AA151" s="157">
        <f>Z151*K151</f>
        <v>0</v>
      </c>
      <c r="AR151" s="20" t="s">
        <v>145</v>
      </c>
      <c r="AT151" s="20" t="s">
        <v>141</v>
      </c>
      <c r="AU151" s="20" t="s">
        <v>99</v>
      </c>
      <c r="AY151" s="20" t="s">
        <v>140</v>
      </c>
      <c r="BE151" s="158">
        <f>IF(U151="základní",N151,0)</f>
        <v>0</v>
      </c>
      <c r="BF151" s="158">
        <f>IF(U151="snížená",N151,0)</f>
        <v>0</v>
      </c>
      <c r="BG151" s="158">
        <f>IF(U151="zákl. přenesená",N151,0)</f>
        <v>0</v>
      </c>
      <c r="BH151" s="158">
        <f>IF(U151="sníž. přenesená",N151,0)</f>
        <v>0</v>
      </c>
      <c r="BI151" s="158">
        <f>IF(U151="nulová",N151,0)</f>
        <v>0</v>
      </c>
      <c r="BJ151" s="20" t="s">
        <v>83</v>
      </c>
      <c r="BK151" s="158">
        <f>ROUND(L151*K151,2)</f>
        <v>0</v>
      </c>
      <c r="BL151" s="20" t="s">
        <v>145</v>
      </c>
      <c r="BM151" s="20" t="s">
        <v>183</v>
      </c>
    </row>
    <row r="152" spans="2:65" s="10" customFormat="1" ht="16.5" customHeight="1" x14ac:dyDescent="0.3">
      <c r="B152" s="159"/>
      <c r="C152" s="160"/>
      <c r="D152" s="160"/>
      <c r="E152" s="161" t="s">
        <v>19</v>
      </c>
      <c r="F152" s="267" t="s">
        <v>184</v>
      </c>
      <c r="G152" s="268"/>
      <c r="H152" s="268"/>
      <c r="I152" s="268"/>
      <c r="J152" s="160"/>
      <c r="K152" s="162">
        <v>12.6</v>
      </c>
      <c r="L152" s="329"/>
      <c r="M152" s="329"/>
      <c r="N152" s="160"/>
      <c r="O152" s="160"/>
      <c r="P152" s="160"/>
      <c r="Q152" s="160"/>
      <c r="R152" s="163"/>
      <c r="T152" s="164"/>
      <c r="U152" s="160"/>
      <c r="V152" s="160"/>
      <c r="W152" s="160"/>
      <c r="X152" s="160"/>
      <c r="Y152" s="160"/>
      <c r="Z152" s="160"/>
      <c r="AA152" s="165"/>
      <c r="AT152" s="166" t="s">
        <v>148</v>
      </c>
      <c r="AU152" s="166" t="s">
        <v>99</v>
      </c>
      <c r="AV152" s="10" t="s">
        <v>99</v>
      </c>
      <c r="AW152" s="10" t="s">
        <v>33</v>
      </c>
      <c r="AX152" s="10" t="s">
        <v>83</v>
      </c>
      <c r="AY152" s="166" t="s">
        <v>140</v>
      </c>
    </row>
    <row r="153" spans="2:65" s="1" customFormat="1" ht="38.25" customHeight="1" x14ac:dyDescent="0.3">
      <c r="B153" s="33"/>
      <c r="C153" s="151">
        <v>9</v>
      </c>
      <c r="D153" s="151" t="s">
        <v>141</v>
      </c>
      <c r="E153" s="152"/>
      <c r="F153" s="263" t="s">
        <v>506</v>
      </c>
      <c r="G153" s="263"/>
      <c r="H153" s="263"/>
      <c r="I153" s="263"/>
      <c r="J153" s="153" t="s">
        <v>187</v>
      </c>
      <c r="K153" s="154">
        <v>1</v>
      </c>
      <c r="L153" s="328"/>
      <c r="M153" s="328"/>
      <c r="N153" s="264">
        <f>ROUND(L153*K153,2)</f>
        <v>0</v>
      </c>
      <c r="O153" s="264"/>
      <c r="P153" s="264"/>
      <c r="Q153" s="264"/>
      <c r="R153" s="35"/>
      <c r="T153" s="155" t="s">
        <v>19</v>
      </c>
      <c r="U153" s="42" t="s">
        <v>41</v>
      </c>
      <c r="V153" s="156">
        <v>0.21299999999999999</v>
      </c>
      <c r="W153" s="156">
        <f>V153*K153</f>
        <v>0.21299999999999999</v>
      </c>
      <c r="X153" s="156">
        <v>0</v>
      </c>
      <c r="Y153" s="156">
        <f>X153*K153</f>
        <v>0</v>
      </c>
      <c r="Z153" s="156">
        <v>0</v>
      </c>
      <c r="AA153" s="157">
        <f>Z153*K153</f>
        <v>0</v>
      </c>
      <c r="AR153" s="20" t="s">
        <v>145</v>
      </c>
      <c r="AT153" s="20" t="s">
        <v>141</v>
      </c>
      <c r="AU153" s="20" t="s">
        <v>99</v>
      </c>
      <c r="AY153" s="20" t="s">
        <v>140</v>
      </c>
      <c r="BE153" s="158">
        <f>IF(U153="základní",N153,0)</f>
        <v>0</v>
      </c>
      <c r="BF153" s="158">
        <f>IF(U153="snížená",N153,0)</f>
        <v>0</v>
      </c>
      <c r="BG153" s="158">
        <f>IF(U153="zákl. přenesená",N153,0)</f>
        <v>0</v>
      </c>
      <c r="BH153" s="158">
        <f>IF(U153="sníž. přenesená",N153,0)</f>
        <v>0</v>
      </c>
      <c r="BI153" s="158">
        <f>IF(U153="nulová",N153,0)</f>
        <v>0</v>
      </c>
      <c r="BJ153" s="20" t="s">
        <v>83</v>
      </c>
      <c r="BK153" s="158">
        <f>ROUND(L153*K153,2)</f>
        <v>0</v>
      </c>
      <c r="BL153" s="20" t="s">
        <v>145</v>
      </c>
      <c r="BM153" s="20" t="s">
        <v>183</v>
      </c>
    </row>
    <row r="154" spans="2:65" s="9" customFormat="1" ht="29.85" customHeight="1" x14ac:dyDescent="0.3">
      <c r="B154" s="140"/>
      <c r="C154" s="141"/>
      <c r="D154" s="150" t="s">
        <v>114</v>
      </c>
      <c r="E154" s="150"/>
      <c r="F154" s="150"/>
      <c r="G154" s="150"/>
      <c r="H154" s="150"/>
      <c r="I154" s="150"/>
      <c r="J154" s="150"/>
      <c r="K154" s="150"/>
      <c r="L154" s="332"/>
      <c r="M154" s="332"/>
      <c r="N154" s="269">
        <f>SUM(N155:N156)</f>
        <v>0</v>
      </c>
      <c r="O154" s="270"/>
      <c r="P154" s="270"/>
      <c r="Q154" s="270"/>
      <c r="R154" s="143"/>
      <c r="T154" s="144"/>
      <c r="U154" s="141"/>
      <c r="V154" s="141"/>
      <c r="W154" s="145">
        <f>SUM(W155:W156)</f>
        <v>0.92</v>
      </c>
      <c r="X154" s="141"/>
      <c r="Y154" s="145">
        <f>SUM(Y155:Y156)</f>
        <v>1.8020000000000001E-2</v>
      </c>
      <c r="Z154" s="141"/>
      <c r="AA154" s="146">
        <f>SUM(AA155:AA156)</f>
        <v>0</v>
      </c>
      <c r="AR154" s="147" t="s">
        <v>83</v>
      </c>
      <c r="AT154" s="148" t="s">
        <v>75</v>
      </c>
      <c r="AU154" s="148" t="s">
        <v>83</v>
      </c>
      <c r="AY154" s="147" t="s">
        <v>140</v>
      </c>
      <c r="BK154" s="149">
        <f>SUM(BK155:BK156)</f>
        <v>0</v>
      </c>
    </row>
    <row r="155" spans="2:65" s="1" customFormat="1" ht="25.5" customHeight="1" x14ac:dyDescent="0.3">
      <c r="B155" s="33"/>
      <c r="C155" s="151">
        <v>10</v>
      </c>
      <c r="D155" s="151" t="s">
        <v>141</v>
      </c>
      <c r="E155" s="152" t="s">
        <v>185</v>
      </c>
      <c r="F155" s="263" t="s">
        <v>186</v>
      </c>
      <c r="G155" s="263"/>
      <c r="H155" s="263"/>
      <c r="I155" s="263"/>
      <c r="J155" s="153" t="s">
        <v>187</v>
      </c>
      <c r="K155" s="154">
        <v>1</v>
      </c>
      <c r="L155" s="328"/>
      <c r="M155" s="328"/>
      <c r="N155" s="264">
        <f>ROUND(L155*K155,2)</f>
        <v>0</v>
      </c>
      <c r="O155" s="264"/>
      <c r="P155" s="264"/>
      <c r="Q155" s="264"/>
      <c r="R155" s="35"/>
      <c r="T155" s="155" t="s">
        <v>19</v>
      </c>
      <c r="U155" s="42" t="s">
        <v>41</v>
      </c>
      <c r="V155" s="156">
        <v>0.92</v>
      </c>
      <c r="W155" s="156">
        <f>V155*K155</f>
        <v>0.92</v>
      </c>
      <c r="X155" s="156">
        <v>7.0200000000000002E-3</v>
      </c>
      <c r="Y155" s="156">
        <f>X155*K155</f>
        <v>7.0200000000000002E-3</v>
      </c>
      <c r="Z155" s="156">
        <v>0</v>
      </c>
      <c r="AA155" s="157">
        <f>Z155*K155</f>
        <v>0</v>
      </c>
      <c r="AR155" s="20" t="s">
        <v>145</v>
      </c>
      <c r="AT155" s="20" t="s">
        <v>141</v>
      </c>
      <c r="AU155" s="20" t="s">
        <v>99</v>
      </c>
      <c r="AY155" s="20" t="s">
        <v>140</v>
      </c>
      <c r="BE155" s="158">
        <f>IF(U155="základní",N155,0)</f>
        <v>0</v>
      </c>
      <c r="BF155" s="158">
        <f>IF(U155="snížená",N155,0)</f>
        <v>0</v>
      </c>
      <c r="BG155" s="158">
        <f>IF(U155="zákl. přenesená",N155,0)</f>
        <v>0</v>
      </c>
      <c r="BH155" s="158">
        <f>IF(U155="sníž. přenesená",N155,0)</f>
        <v>0</v>
      </c>
      <c r="BI155" s="158">
        <f>IF(U155="nulová",N155,0)</f>
        <v>0</v>
      </c>
      <c r="BJ155" s="20" t="s">
        <v>83</v>
      </c>
      <c r="BK155" s="158">
        <f>ROUND(L155*K155,2)</f>
        <v>0</v>
      </c>
      <c r="BL155" s="20" t="s">
        <v>145</v>
      </c>
      <c r="BM155" s="20" t="s">
        <v>188</v>
      </c>
    </row>
    <row r="156" spans="2:65" s="1" customFormat="1" ht="25.5" customHeight="1" x14ac:dyDescent="0.3">
      <c r="B156" s="33"/>
      <c r="C156" s="175">
        <v>11</v>
      </c>
      <c r="D156" s="175" t="s">
        <v>152</v>
      </c>
      <c r="E156" s="176" t="s">
        <v>189</v>
      </c>
      <c r="F156" s="265" t="s">
        <v>190</v>
      </c>
      <c r="G156" s="265"/>
      <c r="H156" s="265"/>
      <c r="I156" s="265"/>
      <c r="J156" s="177" t="s">
        <v>187</v>
      </c>
      <c r="K156" s="178">
        <v>1</v>
      </c>
      <c r="L156" s="331"/>
      <c r="M156" s="331"/>
      <c r="N156" s="266">
        <f>ROUND(L156*K156,2)</f>
        <v>0</v>
      </c>
      <c r="O156" s="264"/>
      <c r="P156" s="264"/>
      <c r="Q156" s="264"/>
      <c r="R156" s="35"/>
      <c r="T156" s="155" t="s">
        <v>19</v>
      </c>
      <c r="U156" s="42" t="s">
        <v>41</v>
      </c>
      <c r="V156" s="156">
        <v>0</v>
      </c>
      <c r="W156" s="156">
        <f>V156*K156</f>
        <v>0</v>
      </c>
      <c r="X156" s="156">
        <v>1.0999999999999999E-2</v>
      </c>
      <c r="Y156" s="156">
        <f>X156*K156</f>
        <v>1.0999999999999999E-2</v>
      </c>
      <c r="Z156" s="156">
        <v>0</v>
      </c>
      <c r="AA156" s="157">
        <f>Z156*K156</f>
        <v>0</v>
      </c>
      <c r="AR156" s="20" t="s">
        <v>156</v>
      </c>
      <c r="AT156" s="20" t="s">
        <v>152</v>
      </c>
      <c r="AU156" s="20" t="s">
        <v>99</v>
      </c>
      <c r="AY156" s="20" t="s">
        <v>140</v>
      </c>
      <c r="BE156" s="158">
        <f>IF(U156="základní",N156,0)</f>
        <v>0</v>
      </c>
      <c r="BF156" s="158">
        <f>IF(U156="snížená",N156,0)</f>
        <v>0</v>
      </c>
      <c r="BG156" s="158">
        <f>IF(U156="zákl. přenesená",N156,0)</f>
        <v>0</v>
      </c>
      <c r="BH156" s="158">
        <f>IF(U156="sníž. přenesená",N156,0)</f>
        <v>0</v>
      </c>
      <c r="BI156" s="158">
        <f>IF(U156="nulová",N156,0)</f>
        <v>0</v>
      </c>
      <c r="BJ156" s="20" t="s">
        <v>83</v>
      </c>
      <c r="BK156" s="158">
        <f>ROUND(L156*K156,2)</f>
        <v>0</v>
      </c>
      <c r="BL156" s="20" t="s">
        <v>145</v>
      </c>
      <c r="BM156" s="20" t="s">
        <v>191</v>
      </c>
    </row>
    <row r="157" spans="2:65" s="9" customFormat="1" ht="29.85" customHeight="1" x14ac:dyDescent="0.3">
      <c r="B157" s="140"/>
      <c r="C157" s="141"/>
      <c r="D157" s="150" t="s">
        <v>115</v>
      </c>
      <c r="E157" s="150"/>
      <c r="F157" s="150"/>
      <c r="G157" s="150"/>
      <c r="H157" s="150"/>
      <c r="I157" s="150"/>
      <c r="J157" s="150"/>
      <c r="K157" s="150"/>
      <c r="L157" s="332"/>
      <c r="M157" s="332"/>
      <c r="N157" s="261">
        <f>SUM(N158:N162)</f>
        <v>0</v>
      </c>
      <c r="O157" s="262"/>
      <c r="P157" s="262"/>
      <c r="Q157" s="262"/>
      <c r="R157" s="143"/>
      <c r="T157" s="144"/>
      <c r="U157" s="141"/>
      <c r="V157" s="141"/>
      <c r="W157" s="145">
        <f>SUM(W158:W163)</f>
        <v>22.878523999999999</v>
      </c>
      <c r="X157" s="141"/>
      <c r="Y157" s="145">
        <f>SUM(Y158:Y163)</f>
        <v>1.2000000000000002E-4</v>
      </c>
      <c r="Z157" s="141"/>
      <c r="AA157" s="146">
        <f>SUM(AA158:AA163)</f>
        <v>18.127579999999998</v>
      </c>
      <c r="AR157" s="147" t="s">
        <v>83</v>
      </c>
      <c r="AT157" s="148" t="s">
        <v>75</v>
      </c>
      <c r="AU157" s="148" t="s">
        <v>83</v>
      </c>
      <c r="AY157" s="147" t="s">
        <v>140</v>
      </c>
      <c r="BK157" s="149">
        <f>SUM(BK158:BK163)</f>
        <v>0</v>
      </c>
    </row>
    <row r="158" spans="2:65" s="1" customFormat="1" ht="38.25" customHeight="1" x14ac:dyDescent="0.3">
      <c r="B158" s="33"/>
      <c r="C158" s="151">
        <v>12</v>
      </c>
      <c r="D158" s="151" t="s">
        <v>141</v>
      </c>
      <c r="E158" s="152" t="s">
        <v>192</v>
      </c>
      <c r="F158" s="263" t="s">
        <v>193</v>
      </c>
      <c r="G158" s="263"/>
      <c r="H158" s="263"/>
      <c r="I158" s="263"/>
      <c r="J158" s="153" t="s">
        <v>187</v>
      </c>
      <c r="K158" s="154">
        <v>12</v>
      </c>
      <c r="L158" s="328"/>
      <c r="M158" s="328"/>
      <c r="N158" s="264">
        <f>ROUND(L158*K158,2)</f>
        <v>0</v>
      </c>
      <c r="O158" s="264"/>
      <c r="P158" s="264"/>
      <c r="Q158" s="264"/>
      <c r="R158" s="35"/>
      <c r="T158" s="155" t="s">
        <v>19</v>
      </c>
      <c r="U158" s="42" t="s">
        <v>41</v>
      </c>
      <c r="V158" s="156">
        <v>0.104</v>
      </c>
      <c r="W158" s="156">
        <f>V158*K158</f>
        <v>1.248</v>
      </c>
      <c r="X158" s="156">
        <v>1.0000000000000001E-5</v>
      </c>
      <c r="Y158" s="156">
        <f>X158*K158</f>
        <v>1.2000000000000002E-4</v>
      </c>
      <c r="Z158" s="156">
        <v>0</v>
      </c>
      <c r="AA158" s="157">
        <f>Z158*K158</f>
        <v>0</v>
      </c>
      <c r="AR158" s="20" t="s">
        <v>145</v>
      </c>
      <c r="AT158" s="20" t="s">
        <v>141</v>
      </c>
      <c r="AU158" s="20" t="s">
        <v>99</v>
      </c>
      <c r="AY158" s="20" t="s">
        <v>140</v>
      </c>
      <c r="BE158" s="158">
        <f>IF(U158="základní",N158,0)</f>
        <v>0</v>
      </c>
      <c r="BF158" s="158">
        <f>IF(U158="snížená",N158,0)</f>
        <v>0</v>
      </c>
      <c r="BG158" s="158">
        <f>IF(U158="zákl. přenesená",N158,0)</f>
        <v>0</v>
      </c>
      <c r="BH158" s="158">
        <f>IF(U158="sníž. přenesená",N158,0)</f>
        <v>0</v>
      </c>
      <c r="BI158" s="158">
        <f>IF(U158="nulová",N158,0)</f>
        <v>0</v>
      </c>
      <c r="BJ158" s="20" t="s">
        <v>83</v>
      </c>
      <c r="BK158" s="158">
        <f>ROUND(L158*K158,2)</f>
        <v>0</v>
      </c>
      <c r="BL158" s="20" t="s">
        <v>145</v>
      </c>
      <c r="BM158" s="20" t="s">
        <v>194</v>
      </c>
    </row>
    <row r="159" spans="2:65" s="1" customFormat="1" ht="25.5" customHeight="1" x14ac:dyDescent="0.3">
      <c r="B159" s="33"/>
      <c r="C159" s="151">
        <v>13</v>
      </c>
      <c r="D159" s="151" t="s">
        <v>141</v>
      </c>
      <c r="E159" s="152" t="s">
        <v>195</v>
      </c>
      <c r="F159" s="263" t="s">
        <v>196</v>
      </c>
      <c r="G159" s="263"/>
      <c r="H159" s="263"/>
      <c r="I159" s="263"/>
      <c r="J159" s="153" t="s">
        <v>144</v>
      </c>
      <c r="K159" s="154">
        <v>7.6340000000000003</v>
      </c>
      <c r="L159" s="328"/>
      <c r="M159" s="328"/>
      <c r="N159" s="264">
        <f>ROUND(L159*K159,2)</f>
        <v>0</v>
      </c>
      <c r="O159" s="264"/>
      <c r="P159" s="264"/>
      <c r="Q159" s="264"/>
      <c r="R159" s="35"/>
      <c r="T159" s="155" t="s">
        <v>19</v>
      </c>
      <c r="U159" s="42" t="s">
        <v>41</v>
      </c>
      <c r="V159" s="156">
        <v>1.5860000000000001</v>
      </c>
      <c r="W159" s="156">
        <f>V159*K159</f>
        <v>12.107524000000002</v>
      </c>
      <c r="X159" s="156">
        <v>0</v>
      </c>
      <c r="Y159" s="156">
        <f>X159*K159</f>
        <v>0</v>
      </c>
      <c r="Z159" s="156">
        <v>2.27</v>
      </c>
      <c r="AA159" s="157">
        <f>Z159*K159</f>
        <v>17.329180000000001</v>
      </c>
      <c r="AR159" s="20" t="s">
        <v>145</v>
      </c>
      <c r="AT159" s="20" t="s">
        <v>141</v>
      </c>
      <c r="AU159" s="20" t="s">
        <v>99</v>
      </c>
      <c r="AY159" s="20" t="s">
        <v>140</v>
      </c>
      <c r="BE159" s="158">
        <f>IF(U159="základní",N159,0)</f>
        <v>0</v>
      </c>
      <c r="BF159" s="158">
        <f>IF(U159="snížená",N159,0)</f>
        <v>0</v>
      </c>
      <c r="BG159" s="158">
        <f>IF(U159="zákl. přenesená",N159,0)</f>
        <v>0</v>
      </c>
      <c r="BH159" s="158">
        <f>IF(U159="sníž. přenesená",N159,0)</f>
        <v>0</v>
      </c>
      <c r="BI159" s="158">
        <f>IF(U159="nulová",N159,0)</f>
        <v>0</v>
      </c>
      <c r="BJ159" s="20" t="s">
        <v>83</v>
      </c>
      <c r="BK159" s="158">
        <f>ROUND(L159*K159,2)</f>
        <v>0</v>
      </c>
      <c r="BL159" s="20" t="s">
        <v>145</v>
      </c>
      <c r="BM159" s="20" t="s">
        <v>197</v>
      </c>
    </row>
    <row r="160" spans="2:65" s="10" customFormat="1" ht="16.5" customHeight="1" x14ac:dyDescent="0.3">
      <c r="B160" s="159"/>
      <c r="C160" s="160"/>
      <c r="D160" s="160"/>
      <c r="E160" s="161" t="s">
        <v>19</v>
      </c>
      <c r="F160" s="267" t="s">
        <v>198</v>
      </c>
      <c r="G160" s="268"/>
      <c r="H160" s="268"/>
      <c r="I160" s="268"/>
      <c r="J160" s="160"/>
      <c r="K160" s="162">
        <v>7.6340000000000003</v>
      </c>
      <c r="L160" s="329"/>
      <c r="M160" s="329"/>
      <c r="N160" s="160"/>
      <c r="O160" s="160"/>
      <c r="P160" s="160"/>
      <c r="Q160" s="160"/>
      <c r="R160" s="163"/>
      <c r="T160" s="164"/>
      <c r="U160" s="160"/>
      <c r="V160" s="160"/>
      <c r="W160" s="160"/>
      <c r="X160" s="160"/>
      <c r="Y160" s="160"/>
      <c r="Z160" s="160"/>
      <c r="AA160" s="165"/>
      <c r="AT160" s="166" t="s">
        <v>148</v>
      </c>
      <c r="AU160" s="166" t="s">
        <v>99</v>
      </c>
      <c r="AV160" s="10" t="s">
        <v>99</v>
      </c>
      <c r="AW160" s="10" t="s">
        <v>33</v>
      </c>
      <c r="AX160" s="10" t="s">
        <v>83</v>
      </c>
      <c r="AY160" s="166" t="s">
        <v>140</v>
      </c>
    </row>
    <row r="161" spans="2:65" s="1" customFormat="1" ht="38.25" customHeight="1" x14ac:dyDescent="0.3">
      <c r="B161" s="33"/>
      <c r="C161" s="151">
        <v>14</v>
      </c>
      <c r="D161" s="151" t="s">
        <v>141</v>
      </c>
      <c r="E161" s="152" t="s">
        <v>199</v>
      </c>
      <c r="F161" s="263" t="s">
        <v>200</v>
      </c>
      <c r="G161" s="263"/>
      <c r="H161" s="263"/>
      <c r="I161" s="263"/>
      <c r="J161" s="153" t="s">
        <v>187</v>
      </c>
      <c r="K161" s="154">
        <v>1</v>
      </c>
      <c r="L161" s="328"/>
      <c r="M161" s="328"/>
      <c r="N161" s="264">
        <f>ROUND(L161*K161,2)</f>
        <v>0</v>
      </c>
      <c r="O161" s="264"/>
      <c r="P161" s="264"/>
      <c r="Q161" s="264"/>
      <c r="R161" s="35"/>
      <c r="T161" s="155" t="s">
        <v>19</v>
      </c>
      <c r="U161" s="42" t="s">
        <v>41</v>
      </c>
      <c r="V161" s="156">
        <v>1.585</v>
      </c>
      <c r="W161" s="156">
        <f>V161*K161</f>
        <v>1.585</v>
      </c>
      <c r="X161" s="156">
        <v>0</v>
      </c>
      <c r="Y161" s="156">
        <f>X161*K161</f>
        <v>0</v>
      </c>
      <c r="Z161" s="156">
        <v>0.68500000000000005</v>
      </c>
      <c r="AA161" s="157">
        <f>Z161*K161</f>
        <v>0.68500000000000005</v>
      </c>
      <c r="AR161" s="20" t="s">
        <v>145</v>
      </c>
      <c r="AT161" s="20" t="s">
        <v>141</v>
      </c>
      <c r="AU161" s="20" t="s">
        <v>99</v>
      </c>
      <c r="AY161" s="20" t="s">
        <v>140</v>
      </c>
      <c r="BE161" s="158">
        <f>IF(U161="základní",N161,0)</f>
        <v>0</v>
      </c>
      <c r="BF161" s="158">
        <f>IF(U161="snížená",N161,0)</f>
        <v>0</v>
      </c>
      <c r="BG161" s="158">
        <f>IF(U161="zákl. přenesená",N161,0)</f>
        <v>0</v>
      </c>
      <c r="BH161" s="158">
        <f>IF(U161="sníž. přenesená",N161,0)</f>
        <v>0</v>
      </c>
      <c r="BI161" s="158">
        <f>IF(U161="nulová",N161,0)</f>
        <v>0</v>
      </c>
      <c r="BJ161" s="20" t="s">
        <v>83</v>
      </c>
      <c r="BK161" s="158">
        <f>ROUND(L161*K161,2)</f>
        <v>0</v>
      </c>
      <c r="BL161" s="20" t="s">
        <v>145</v>
      </c>
      <c r="BM161" s="20" t="s">
        <v>201</v>
      </c>
    </row>
    <row r="162" spans="2:65" s="1" customFormat="1" ht="38.25" customHeight="1" x14ac:dyDescent="0.3">
      <c r="B162" s="33"/>
      <c r="C162" s="151">
        <v>15</v>
      </c>
      <c r="D162" s="151" t="s">
        <v>141</v>
      </c>
      <c r="E162" s="152" t="s">
        <v>217</v>
      </c>
      <c r="F162" s="263" t="s">
        <v>218</v>
      </c>
      <c r="G162" s="263"/>
      <c r="H162" s="263"/>
      <c r="I162" s="263"/>
      <c r="J162" s="153" t="s">
        <v>165</v>
      </c>
      <c r="K162" s="154">
        <v>12.6</v>
      </c>
      <c r="L162" s="328"/>
      <c r="M162" s="328"/>
      <c r="N162" s="264">
        <f>ROUND(L162*K162,2)</f>
        <v>0</v>
      </c>
      <c r="O162" s="264"/>
      <c r="P162" s="264"/>
      <c r="Q162" s="264"/>
      <c r="R162" s="35"/>
      <c r="T162" s="155" t="s">
        <v>19</v>
      </c>
      <c r="U162" s="42" t="s">
        <v>41</v>
      </c>
      <c r="V162" s="156">
        <v>0.63</v>
      </c>
      <c r="W162" s="156">
        <f>V162*K162</f>
        <v>7.9379999999999997</v>
      </c>
      <c r="X162" s="156">
        <v>0</v>
      </c>
      <c r="Y162" s="156">
        <f>X162*K162</f>
        <v>0</v>
      </c>
      <c r="Z162" s="156">
        <v>8.9999999999999993E-3</v>
      </c>
      <c r="AA162" s="157">
        <f>Z162*K162</f>
        <v>0.11339999999999999</v>
      </c>
      <c r="AR162" s="20" t="s">
        <v>145</v>
      </c>
      <c r="AT162" s="20" t="s">
        <v>141</v>
      </c>
      <c r="AU162" s="20" t="s">
        <v>99</v>
      </c>
      <c r="AY162" s="20" t="s">
        <v>140</v>
      </c>
      <c r="BE162" s="158">
        <f>IF(U162="základní",N162,0)</f>
        <v>0</v>
      </c>
      <c r="BF162" s="158">
        <f>IF(U162="snížená",N162,0)</f>
        <v>0</v>
      </c>
      <c r="BG162" s="158">
        <f>IF(U162="zákl. přenesená",N162,0)</f>
        <v>0</v>
      </c>
      <c r="BH162" s="158">
        <f>IF(U162="sníž. přenesená",N162,0)</f>
        <v>0</v>
      </c>
      <c r="BI162" s="158">
        <f>IF(U162="nulová",N162,0)</f>
        <v>0</v>
      </c>
      <c r="BJ162" s="20" t="s">
        <v>83</v>
      </c>
      <c r="BK162" s="158">
        <f>ROUND(L162*K162,2)</f>
        <v>0</v>
      </c>
      <c r="BL162" s="20" t="s">
        <v>145</v>
      </c>
      <c r="BM162" s="20" t="s">
        <v>219</v>
      </c>
    </row>
    <row r="163" spans="2:65" s="10" customFormat="1" ht="16.5" customHeight="1" x14ac:dyDescent="0.3">
      <c r="B163" s="159"/>
      <c r="C163" s="160"/>
      <c r="D163" s="160"/>
      <c r="E163" s="161" t="s">
        <v>19</v>
      </c>
      <c r="F163" s="267" t="s">
        <v>184</v>
      </c>
      <c r="G163" s="268"/>
      <c r="H163" s="268"/>
      <c r="I163" s="268"/>
      <c r="J163" s="160"/>
      <c r="K163" s="162">
        <v>12.6</v>
      </c>
      <c r="L163" s="329"/>
      <c r="M163" s="329"/>
      <c r="N163" s="160"/>
      <c r="O163" s="160"/>
      <c r="P163" s="160"/>
      <c r="Q163" s="160"/>
      <c r="R163" s="163"/>
      <c r="T163" s="164"/>
      <c r="U163" s="160"/>
      <c r="V163" s="160"/>
      <c r="W163" s="160"/>
      <c r="X163" s="160"/>
      <c r="Y163" s="160"/>
      <c r="Z163" s="160"/>
      <c r="AA163" s="165"/>
      <c r="AT163" s="166" t="s">
        <v>148</v>
      </c>
      <c r="AU163" s="166" t="s">
        <v>99</v>
      </c>
      <c r="AV163" s="10" t="s">
        <v>99</v>
      </c>
      <c r="AW163" s="10" t="s">
        <v>33</v>
      </c>
      <c r="AX163" s="10" t="s">
        <v>83</v>
      </c>
      <c r="AY163" s="166" t="s">
        <v>140</v>
      </c>
    </row>
    <row r="164" spans="2:65" s="9" customFormat="1" ht="29.85" customHeight="1" x14ac:dyDescent="0.3">
      <c r="B164" s="140"/>
      <c r="C164" s="141"/>
      <c r="D164" s="150" t="s">
        <v>116</v>
      </c>
      <c r="E164" s="150"/>
      <c r="F164" s="150"/>
      <c r="G164" s="150"/>
      <c r="H164" s="150"/>
      <c r="I164" s="150"/>
      <c r="J164" s="150"/>
      <c r="K164" s="150"/>
      <c r="L164" s="332"/>
      <c r="M164" s="332"/>
      <c r="N164" s="269">
        <f>SUM(N165:N168)</f>
        <v>0</v>
      </c>
      <c r="O164" s="270"/>
      <c r="P164" s="270"/>
      <c r="Q164" s="270"/>
      <c r="R164" s="143"/>
      <c r="T164" s="144"/>
      <c r="U164" s="141"/>
      <c r="V164" s="141"/>
      <c r="W164" s="145">
        <f>SUM(W165:W168)</f>
        <v>35.954853999999997</v>
      </c>
      <c r="X164" s="141"/>
      <c r="Y164" s="145">
        <f>SUM(Y165:Y168)</f>
        <v>0</v>
      </c>
      <c r="Z164" s="141"/>
      <c r="AA164" s="146">
        <f>SUM(AA165:AA168)</f>
        <v>0</v>
      </c>
      <c r="AR164" s="147" t="s">
        <v>83</v>
      </c>
      <c r="AT164" s="148" t="s">
        <v>75</v>
      </c>
      <c r="AU164" s="148" t="s">
        <v>83</v>
      </c>
      <c r="AY164" s="147" t="s">
        <v>140</v>
      </c>
      <c r="BK164" s="149">
        <f>SUM(BK165:BK168)</f>
        <v>0</v>
      </c>
    </row>
    <row r="165" spans="2:65" s="1" customFormat="1" ht="25.5" customHeight="1" x14ac:dyDescent="0.3">
      <c r="B165" s="33"/>
      <c r="C165" s="151">
        <v>16</v>
      </c>
      <c r="D165" s="151" t="s">
        <v>141</v>
      </c>
      <c r="E165" s="152" t="s">
        <v>220</v>
      </c>
      <c r="F165" s="263" t="s">
        <v>221</v>
      </c>
      <c r="G165" s="263"/>
      <c r="H165" s="263"/>
      <c r="I165" s="263"/>
      <c r="J165" s="153" t="s">
        <v>155</v>
      </c>
      <c r="K165" s="154">
        <f>K166+K167</f>
        <v>18.707000000000001</v>
      </c>
      <c r="L165" s="328"/>
      <c r="M165" s="328"/>
      <c r="N165" s="264">
        <f>ROUND(L165*K165,2)</f>
        <v>0</v>
      </c>
      <c r="O165" s="264"/>
      <c r="P165" s="264"/>
      <c r="Q165" s="264"/>
      <c r="R165" s="35"/>
      <c r="T165" s="155" t="s">
        <v>19</v>
      </c>
      <c r="U165" s="42" t="s">
        <v>41</v>
      </c>
      <c r="V165" s="156">
        <v>0.125</v>
      </c>
      <c r="W165" s="156">
        <f>V165*K165</f>
        <v>2.3383750000000001</v>
      </c>
      <c r="X165" s="156">
        <v>0</v>
      </c>
      <c r="Y165" s="156">
        <f>X165*K165</f>
        <v>0</v>
      </c>
      <c r="Z165" s="156">
        <v>0</v>
      </c>
      <c r="AA165" s="157">
        <f>Z165*K165</f>
        <v>0</v>
      </c>
      <c r="AR165" s="20" t="s">
        <v>145</v>
      </c>
      <c r="AT165" s="20" t="s">
        <v>141</v>
      </c>
      <c r="AU165" s="20" t="s">
        <v>99</v>
      </c>
      <c r="AY165" s="20" t="s">
        <v>140</v>
      </c>
      <c r="BE165" s="158">
        <f>IF(U165="základní",N165,0)</f>
        <v>0</v>
      </c>
      <c r="BF165" s="158">
        <f>IF(U165="snížená",N165,0)</f>
        <v>0</v>
      </c>
      <c r="BG165" s="158">
        <f>IF(U165="zákl. přenesená",N165,0)</f>
        <v>0</v>
      </c>
      <c r="BH165" s="158">
        <f>IF(U165="sníž. přenesená",N165,0)</f>
        <v>0</v>
      </c>
      <c r="BI165" s="158">
        <f>IF(U165="nulová",N165,0)</f>
        <v>0</v>
      </c>
      <c r="BJ165" s="20" t="s">
        <v>83</v>
      </c>
      <c r="BK165" s="158">
        <f>ROUND(L165*K165,2)</f>
        <v>0</v>
      </c>
      <c r="BL165" s="20" t="s">
        <v>145</v>
      </c>
      <c r="BM165" s="20" t="s">
        <v>222</v>
      </c>
    </row>
    <row r="166" spans="2:65" s="1" customFormat="1" ht="25.5" customHeight="1" x14ac:dyDescent="0.3">
      <c r="B166" s="33"/>
      <c r="C166" s="151">
        <v>17</v>
      </c>
      <c r="D166" s="151" t="s">
        <v>141</v>
      </c>
      <c r="E166" s="152" t="s">
        <v>223</v>
      </c>
      <c r="F166" s="263" t="s">
        <v>505</v>
      </c>
      <c r="G166" s="263"/>
      <c r="H166" s="263"/>
      <c r="I166" s="263"/>
      <c r="J166" s="153" t="s">
        <v>155</v>
      </c>
      <c r="K166" s="154">
        <v>18.457000000000001</v>
      </c>
      <c r="L166" s="328"/>
      <c r="M166" s="328"/>
      <c r="N166" s="264">
        <f>ROUND(L166*K166,2)</f>
        <v>0</v>
      </c>
      <c r="O166" s="264"/>
      <c r="P166" s="264"/>
      <c r="Q166" s="264"/>
      <c r="R166" s="35"/>
      <c r="T166" s="155" t="s">
        <v>19</v>
      </c>
      <c r="U166" s="42" t="s">
        <v>41</v>
      </c>
      <c r="V166" s="156">
        <v>0</v>
      </c>
      <c r="W166" s="156">
        <f>V166*K166</f>
        <v>0</v>
      </c>
      <c r="X166" s="156">
        <v>0</v>
      </c>
      <c r="Y166" s="156">
        <f>X166*K166</f>
        <v>0</v>
      </c>
      <c r="Z166" s="156">
        <v>0</v>
      </c>
      <c r="AA166" s="157">
        <f>Z166*K166</f>
        <v>0</v>
      </c>
      <c r="AR166" s="20" t="s">
        <v>145</v>
      </c>
      <c r="AT166" s="20" t="s">
        <v>141</v>
      </c>
      <c r="AU166" s="20" t="s">
        <v>99</v>
      </c>
      <c r="AY166" s="20" t="s">
        <v>140</v>
      </c>
      <c r="BE166" s="158">
        <f>IF(U166="základní",N166,0)</f>
        <v>0</v>
      </c>
      <c r="BF166" s="158">
        <f>IF(U166="snížená",N166,0)</f>
        <v>0</v>
      </c>
      <c r="BG166" s="158">
        <f>IF(U166="zákl. přenesená",N166,0)</f>
        <v>0</v>
      </c>
      <c r="BH166" s="158">
        <f>IF(U166="sníž. přenesená",N166,0)</f>
        <v>0</v>
      </c>
      <c r="BI166" s="158">
        <f>IF(U166="nulová",N166,0)</f>
        <v>0</v>
      </c>
      <c r="BJ166" s="20" t="s">
        <v>83</v>
      </c>
      <c r="BK166" s="158">
        <f>ROUND(L166*K166,2)</f>
        <v>0</v>
      </c>
      <c r="BL166" s="20" t="s">
        <v>145</v>
      </c>
      <c r="BM166" s="20" t="s">
        <v>224</v>
      </c>
    </row>
    <row r="167" spans="2:65" s="1" customFormat="1" ht="25.5" customHeight="1" x14ac:dyDescent="0.3">
      <c r="B167" s="33"/>
      <c r="C167" s="151">
        <v>18</v>
      </c>
      <c r="D167" s="151" t="s">
        <v>141</v>
      </c>
      <c r="E167" s="152"/>
      <c r="F167" s="263" t="s">
        <v>504</v>
      </c>
      <c r="G167" s="263"/>
      <c r="H167" s="263"/>
      <c r="I167" s="263"/>
      <c r="J167" s="153" t="s">
        <v>155</v>
      </c>
      <c r="K167" s="154">
        <v>0.25</v>
      </c>
      <c r="L167" s="328"/>
      <c r="M167" s="328"/>
      <c r="N167" s="264">
        <f>ROUND(L167*K167,2)</f>
        <v>0</v>
      </c>
      <c r="O167" s="264"/>
      <c r="P167" s="264"/>
      <c r="Q167" s="264"/>
      <c r="R167" s="35"/>
      <c r="T167" s="155" t="s">
        <v>19</v>
      </c>
      <c r="U167" s="42" t="s">
        <v>41</v>
      </c>
      <c r="V167" s="156">
        <v>0</v>
      </c>
      <c r="W167" s="156">
        <f>V167*K167</f>
        <v>0</v>
      </c>
      <c r="X167" s="156">
        <v>0</v>
      </c>
      <c r="Y167" s="156">
        <f>X167*K167</f>
        <v>0</v>
      </c>
      <c r="Z167" s="156">
        <v>0</v>
      </c>
      <c r="AA167" s="157">
        <f>Z167*K167</f>
        <v>0</v>
      </c>
      <c r="AR167" s="20" t="s">
        <v>145</v>
      </c>
      <c r="AT167" s="20" t="s">
        <v>141</v>
      </c>
      <c r="AU167" s="20" t="s">
        <v>99</v>
      </c>
      <c r="AY167" s="20" t="s">
        <v>140</v>
      </c>
      <c r="BE167" s="158">
        <f>IF(U167="základní",N167,0)</f>
        <v>0</v>
      </c>
      <c r="BF167" s="158">
        <f>IF(U167="snížená",N167,0)</f>
        <v>0</v>
      </c>
      <c r="BG167" s="158">
        <f>IF(U167="zákl. přenesená",N167,0)</f>
        <v>0</v>
      </c>
      <c r="BH167" s="158">
        <f>IF(U167="sníž. přenesená",N167,0)</f>
        <v>0</v>
      </c>
      <c r="BI167" s="158">
        <f>IF(U167="nulová",N167,0)</f>
        <v>0</v>
      </c>
      <c r="BJ167" s="20" t="s">
        <v>83</v>
      </c>
      <c r="BK167" s="158">
        <f>ROUND(L167*K167,2)</f>
        <v>0</v>
      </c>
      <c r="BL167" s="20" t="s">
        <v>145</v>
      </c>
      <c r="BM167" s="20" t="s">
        <v>225</v>
      </c>
    </row>
    <row r="168" spans="2:65" s="1" customFormat="1" ht="25.5" customHeight="1" x14ac:dyDescent="0.3">
      <c r="B168" s="33"/>
      <c r="C168" s="151">
        <v>19</v>
      </c>
      <c r="D168" s="151" t="s">
        <v>141</v>
      </c>
      <c r="E168" s="152" t="s">
        <v>226</v>
      </c>
      <c r="F168" s="263" t="s">
        <v>503</v>
      </c>
      <c r="G168" s="263"/>
      <c r="H168" s="263"/>
      <c r="I168" s="263"/>
      <c r="J168" s="153" t="s">
        <v>155</v>
      </c>
      <c r="K168" s="154">
        <f>K165</f>
        <v>18.707000000000001</v>
      </c>
      <c r="L168" s="328"/>
      <c r="M168" s="328"/>
      <c r="N168" s="264">
        <f>ROUND(L168*K168,2)</f>
        <v>0</v>
      </c>
      <c r="O168" s="264"/>
      <c r="P168" s="264"/>
      <c r="Q168" s="264"/>
      <c r="R168" s="35"/>
      <c r="T168" s="155" t="s">
        <v>19</v>
      </c>
      <c r="U168" s="42" t="s">
        <v>41</v>
      </c>
      <c r="V168" s="156">
        <v>1.7969999999999999</v>
      </c>
      <c r="W168" s="156">
        <f>V168*K168</f>
        <v>33.616478999999998</v>
      </c>
      <c r="X168" s="156">
        <v>0</v>
      </c>
      <c r="Y168" s="156">
        <f>X168*K168</f>
        <v>0</v>
      </c>
      <c r="Z168" s="156">
        <v>0</v>
      </c>
      <c r="AA168" s="157">
        <f>Z168*K168</f>
        <v>0</v>
      </c>
      <c r="AR168" s="20" t="s">
        <v>145</v>
      </c>
      <c r="AT168" s="20" t="s">
        <v>141</v>
      </c>
      <c r="AU168" s="20" t="s">
        <v>99</v>
      </c>
      <c r="AY168" s="20" t="s">
        <v>140</v>
      </c>
      <c r="BE168" s="158">
        <f>IF(U168="základní",N168,0)</f>
        <v>0</v>
      </c>
      <c r="BF168" s="158">
        <f>IF(U168="snížená",N168,0)</f>
        <v>0</v>
      </c>
      <c r="BG168" s="158">
        <f>IF(U168="zákl. přenesená",N168,0)</f>
        <v>0</v>
      </c>
      <c r="BH168" s="158">
        <f>IF(U168="sníž. přenesená",N168,0)</f>
        <v>0</v>
      </c>
      <c r="BI168" s="158">
        <f>IF(U168="nulová",N168,0)</f>
        <v>0</v>
      </c>
      <c r="BJ168" s="20" t="s">
        <v>83</v>
      </c>
      <c r="BK168" s="158">
        <f>ROUND(L168*K168,2)</f>
        <v>0</v>
      </c>
      <c r="BL168" s="20" t="s">
        <v>145</v>
      </c>
      <c r="BM168" s="20" t="s">
        <v>228</v>
      </c>
    </row>
    <row r="169" spans="2:65" s="9" customFormat="1" ht="37.35" customHeight="1" x14ac:dyDescent="0.35">
      <c r="B169" s="140"/>
      <c r="C169" s="141"/>
      <c r="D169" s="142" t="s">
        <v>117</v>
      </c>
      <c r="E169" s="142"/>
      <c r="F169" s="142"/>
      <c r="G169" s="142"/>
      <c r="H169" s="142"/>
      <c r="I169" s="142"/>
      <c r="J169" s="142"/>
      <c r="K169" s="142"/>
      <c r="L169" s="333"/>
      <c r="M169" s="333"/>
      <c r="N169" s="277">
        <f>N170+N184+N188+N190+N193+N196+N201+N203</f>
        <v>0</v>
      </c>
      <c r="O169" s="278"/>
      <c r="P169" s="278"/>
      <c r="Q169" s="278"/>
      <c r="R169" s="143"/>
      <c r="T169" s="144"/>
      <c r="U169" s="141"/>
      <c r="V169" s="141"/>
      <c r="W169" s="145">
        <f>W170+W188+W190+W193+W196+W201+W203</f>
        <v>8.3832009999999997</v>
      </c>
      <c r="X169" s="141"/>
      <c r="Y169" s="145">
        <f>Y170+Y188+Y190+Y193+Y196+Y201+Y203</f>
        <v>4.5195649999999997E-2</v>
      </c>
      <c r="Z169" s="141"/>
      <c r="AA169" s="146">
        <f>AA170+AA188+AA190+AA193+AA196+AA201+AA203</f>
        <v>0.32964199999999999</v>
      </c>
      <c r="AR169" s="147" t="s">
        <v>99</v>
      </c>
      <c r="AT169" s="148" t="s">
        <v>75</v>
      </c>
      <c r="AU169" s="148" t="s">
        <v>76</v>
      </c>
      <c r="AY169" s="147" t="s">
        <v>140</v>
      </c>
      <c r="BK169" s="149">
        <f>BK170+BK188+BK190+BK193+BK196+BK201+BK203</f>
        <v>0</v>
      </c>
    </row>
    <row r="170" spans="2:65" s="9" customFormat="1" ht="19.899999999999999" customHeight="1" x14ac:dyDescent="0.3">
      <c r="B170" s="140"/>
      <c r="C170" s="141"/>
      <c r="D170" s="150" t="s">
        <v>118</v>
      </c>
      <c r="E170" s="150"/>
      <c r="F170" s="150"/>
      <c r="G170" s="150"/>
      <c r="H170" s="150"/>
      <c r="I170" s="150"/>
      <c r="J170" s="150"/>
      <c r="K170" s="150"/>
      <c r="L170" s="332"/>
      <c r="M170" s="332"/>
      <c r="N170" s="269">
        <f>SUM(N171:N182)</f>
        <v>0</v>
      </c>
      <c r="O170" s="270"/>
      <c r="P170" s="270"/>
      <c r="Q170" s="270"/>
      <c r="R170" s="143"/>
      <c r="T170" s="144"/>
      <c r="U170" s="141"/>
      <c r="V170" s="141"/>
      <c r="W170" s="145">
        <f>SUM(W171:W179)</f>
        <v>2.6526010000000002</v>
      </c>
      <c r="X170" s="141"/>
      <c r="Y170" s="145">
        <f>SUM(Y171:Y179)</f>
        <v>4.5195649999999997E-2</v>
      </c>
      <c r="Z170" s="141"/>
      <c r="AA170" s="146">
        <f>SUM(AA171:AA179)</f>
        <v>0</v>
      </c>
      <c r="AR170" s="147" t="s">
        <v>99</v>
      </c>
      <c r="AT170" s="148" t="s">
        <v>75</v>
      </c>
      <c r="AU170" s="148" t="s">
        <v>83</v>
      </c>
      <c r="AY170" s="147" t="s">
        <v>140</v>
      </c>
      <c r="BK170" s="149">
        <f>SUM(BK171:BK179)</f>
        <v>0</v>
      </c>
    </row>
    <row r="171" spans="2:65" s="1" customFormat="1" ht="38.25" customHeight="1" x14ac:dyDescent="0.3">
      <c r="B171" s="33"/>
      <c r="C171" s="151">
        <v>20</v>
      </c>
      <c r="D171" s="151" t="s">
        <v>141</v>
      </c>
      <c r="E171" s="152" t="s">
        <v>229</v>
      </c>
      <c r="F171" s="263" t="s">
        <v>230</v>
      </c>
      <c r="G171" s="263"/>
      <c r="H171" s="263"/>
      <c r="I171" s="263"/>
      <c r="J171" s="153" t="s">
        <v>165</v>
      </c>
      <c r="K171" s="154">
        <v>7.0759999999999996</v>
      </c>
      <c r="L171" s="328"/>
      <c r="M171" s="328"/>
      <c r="N171" s="264">
        <f>ROUND(L171*K171,2)</f>
        <v>0</v>
      </c>
      <c r="O171" s="264"/>
      <c r="P171" s="264"/>
      <c r="Q171" s="264"/>
      <c r="R171" s="35"/>
      <c r="T171" s="155" t="s">
        <v>19</v>
      </c>
      <c r="U171" s="42" t="s">
        <v>41</v>
      </c>
      <c r="V171" s="156">
        <v>2.4E-2</v>
      </c>
      <c r="W171" s="156">
        <f>V171*K171</f>
        <v>0.169824</v>
      </c>
      <c r="X171" s="156">
        <v>0</v>
      </c>
      <c r="Y171" s="156">
        <f>X171*K171</f>
        <v>0</v>
      </c>
      <c r="Z171" s="156">
        <v>0</v>
      </c>
      <c r="AA171" s="157">
        <f>Z171*K171</f>
        <v>0</v>
      </c>
      <c r="AR171" s="20" t="s">
        <v>172</v>
      </c>
      <c r="AT171" s="20" t="s">
        <v>141</v>
      </c>
      <c r="AU171" s="20" t="s">
        <v>99</v>
      </c>
      <c r="AY171" s="20" t="s">
        <v>140</v>
      </c>
      <c r="BE171" s="158">
        <f>IF(U171="základní",N171,0)</f>
        <v>0</v>
      </c>
      <c r="BF171" s="158">
        <f>IF(U171="snížená",N171,0)</f>
        <v>0</v>
      </c>
      <c r="BG171" s="158">
        <f>IF(U171="zákl. přenesená",N171,0)</f>
        <v>0</v>
      </c>
      <c r="BH171" s="158">
        <f>IF(U171="sníž. přenesená",N171,0)</f>
        <v>0</v>
      </c>
      <c r="BI171" s="158">
        <f>IF(U171="nulová",N171,0)</f>
        <v>0</v>
      </c>
      <c r="BJ171" s="20" t="s">
        <v>83</v>
      </c>
      <c r="BK171" s="158">
        <f>ROUND(L171*K171,2)</f>
        <v>0</v>
      </c>
      <c r="BL171" s="20" t="s">
        <v>172</v>
      </c>
      <c r="BM171" s="20" t="s">
        <v>231</v>
      </c>
    </row>
    <row r="172" spans="2:65" s="10" customFormat="1" ht="16.5" customHeight="1" x14ac:dyDescent="0.3">
      <c r="B172" s="159"/>
      <c r="C172" s="160"/>
      <c r="D172" s="160"/>
      <c r="E172" s="161" t="s">
        <v>19</v>
      </c>
      <c r="F172" s="267" t="s">
        <v>213</v>
      </c>
      <c r="G172" s="268"/>
      <c r="H172" s="268"/>
      <c r="I172" s="268"/>
      <c r="J172" s="160"/>
      <c r="K172" s="162">
        <v>7.0759999999999996</v>
      </c>
      <c r="L172" s="329"/>
      <c r="M172" s="329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148</v>
      </c>
      <c r="AU172" s="166" t="s">
        <v>99</v>
      </c>
      <c r="AV172" s="10" t="s">
        <v>99</v>
      </c>
      <c r="AW172" s="10" t="s">
        <v>33</v>
      </c>
      <c r="AX172" s="10" t="s">
        <v>83</v>
      </c>
      <c r="AY172" s="166" t="s">
        <v>140</v>
      </c>
    </row>
    <row r="173" spans="2:65" s="1" customFormat="1" ht="16.5" customHeight="1" x14ac:dyDescent="0.3">
      <c r="B173" s="33"/>
      <c r="C173" s="175">
        <v>21</v>
      </c>
      <c r="D173" s="175" t="s">
        <v>152</v>
      </c>
      <c r="E173" s="176" t="s">
        <v>232</v>
      </c>
      <c r="F173" s="265" t="s">
        <v>233</v>
      </c>
      <c r="G173" s="265"/>
      <c r="H173" s="265"/>
      <c r="I173" s="265"/>
      <c r="J173" s="177" t="s">
        <v>155</v>
      </c>
      <c r="K173" s="178">
        <v>2E-3</v>
      </c>
      <c r="L173" s="331"/>
      <c r="M173" s="331"/>
      <c r="N173" s="266">
        <f>ROUND(L173*K173,2)</f>
        <v>0</v>
      </c>
      <c r="O173" s="264"/>
      <c r="P173" s="264"/>
      <c r="Q173" s="264"/>
      <c r="R173" s="35"/>
      <c r="T173" s="155" t="s">
        <v>19</v>
      </c>
      <c r="U173" s="42" t="s">
        <v>41</v>
      </c>
      <c r="V173" s="156">
        <v>0</v>
      </c>
      <c r="W173" s="156">
        <f>V173*K173</f>
        <v>0</v>
      </c>
      <c r="X173" s="156">
        <v>1</v>
      </c>
      <c r="Y173" s="156">
        <f>X173*K173</f>
        <v>2E-3</v>
      </c>
      <c r="Z173" s="156">
        <v>0</v>
      </c>
      <c r="AA173" s="157">
        <f>Z173*K173</f>
        <v>0</v>
      </c>
      <c r="AR173" s="20" t="s">
        <v>202</v>
      </c>
      <c r="AT173" s="20" t="s">
        <v>152</v>
      </c>
      <c r="AU173" s="20" t="s">
        <v>99</v>
      </c>
      <c r="AY173" s="20" t="s">
        <v>140</v>
      </c>
      <c r="BE173" s="158">
        <f>IF(U173="základní",N173,0)</f>
        <v>0</v>
      </c>
      <c r="BF173" s="158">
        <f>IF(U173="snížená",N173,0)</f>
        <v>0</v>
      </c>
      <c r="BG173" s="158">
        <f>IF(U173="zákl. přenesená",N173,0)</f>
        <v>0</v>
      </c>
      <c r="BH173" s="158">
        <f>IF(U173="sníž. přenesená",N173,0)</f>
        <v>0</v>
      </c>
      <c r="BI173" s="158">
        <f>IF(U173="nulová",N173,0)</f>
        <v>0</v>
      </c>
      <c r="BJ173" s="20" t="s">
        <v>83</v>
      </c>
      <c r="BK173" s="158">
        <f>ROUND(L173*K173,2)</f>
        <v>0</v>
      </c>
      <c r="BL173" s="20" t="s">
        <v>172</v>
      </c>
      <c r="BM173" s="20" t="s">
        <v>234</v>
      </c>
    </row>
    <row r="174" spans="2:65" s="1" customFormat="1" ht="25.5" customHeight="1" x14ac:dyDescent="0.3">
      <c r="B174" s="33"/>
      <c r="C174" s="151">
        <v>22</v>
      </c>
      <c r="D174" s="151" t="s">
        <v>141</v>
      </c>
      <c r="E174" s="152" t="s">
        <v>235</v>
      </c>
      <c r="F174" s="263" t="s">
        <v>236</v>
      </c>
      <c r="G174" s="263"/>
      <c r="H174" s="263"/>
      <c r="I174" s="263"/>
      <c r="J174" s="153" t="s">
        <v>165</v>
      </c>
      <c r="K174" s="154">
        <v>7.7830000000000004</v>
      </c>
      <c r="L174" s="328"/>
      <c r="M174" s="328"/>
      <c r="N174" s="264">
        <f>ROUND(L174*K174,2)</f>
        <v>0</v>
      </c>
      <c r="O174" s="264"/>
      <c r="P174" s="264"/>
      <c r="Q174" s="264"/>
      <c r="R174" s="35"/>
      <c r="T174" s="155" t="s">
        <v>19</v>
      </c>
      <c r="U174" s="42" t="s">
        <v>41</v>
      </c>
      <c r="V174" s="156">
        <v>0.222</v>
      </c>
      <c r="W174" s="156">
        <f>V174*K174</f>
        <v>1.7278260000000001</v>
      </c>
      <c r="X174" s="156">
        <v>4.0000000000000002E-4</v>
      </c>
      <c r="Y174" s="156">
        <f>X174*K174</f>
        <v>3.1132000000000004E-3</v>
      </c>
      <c r="Z174" s="156">
        <v>0</v>
      </c>
      <c r="AA174" s="157">
        <f>Z174*K174</f>
        <v>0</v>
      </c>
      <c r="AR174" s="20" t="s">
        <v>172</v>
      </c>
      <c r="AT174" s="20" t="s">
        <v>141</v>
      </c>
      <c r="AU174" s="20" t="s">
        <v>99</v>
      </c>
      <c r="AY174" s="20" t="s">
        <v>140</v>
      </c>
      <c r="BE174" s="158">
        <f>IF(U174="základní",N174,0)</f>
        <v>0</v>
      </c>
      <c r="BF174" s="158">
        <f>IF(U174="snížená",N174,0)</f>
        <v>0</v>
      </c>
      <c r="BG174" s="158">
        <f>IF(U174="zákl. přenesená",N174,0)</f>
        <v>0</v>
      </c>
      <c r="BH174" s="158">
        <f>IF(U174="sníž. přenesená",N174,0)</f>
        <v>0</v>
      </c>
      <c r="BI174" s="158">
        <f>IF(U174="nulová",N174,0)</f>
        <v>0</v>
      </c>
      <c r="BJ174" s="20" t="s">
        <v>83</v>
      </c>
      <c r="BK174" s="158">
        <f>ROUND(L174*K174,2)</f>
        <v>0</v>
      </c>
      <c r="BL174" s="20" t="s">
        <v>172</v>
      </c>
      <c r="BM174" s="20" t="s">
        <v>237</v>
      </c>
    </row>
    <row r="175" spans="2:65" s="10" customFormat="1" ht="16.5" customHeight="1" x14ac:dyDescent="0.3">
      <c r="B175" s="159"/>
      <c r="C175" s="160"/>
      <c r="D175" s="160"/>
      <c r="E175" s="161" t="s">
        <v>19</v>
      </c>
      <c r="F175" s="267" t="s">
        <v>238</v>
      </c>
      <c r="G175" s="268"/>
      <c r="H175" s="268"/>
      <c r="I175" s="268"/>
      <c r="J175" s="160"/>
      <c r="K175" s="162">
        <v>7.7830000000000004</v>
      </c>
      <c r="L175" s="329"/>
      <c r="M175" s="329"/>
      <c r="N175" s="160"/>
      <c r="O175" s="160"/>
      <c r="P175" s="160"/>
      <c r="Q175" s="160"/>
      <c r="R175" s="163"/>
      <c r="T175" s="164"/>
      <c r="U175" s="160"/>
      <c r="V175" s="160"/>
      <c r="W175" s="160"/>
      <c r="X175" s="160"/>
      <c r="Y175" s="160"/>
      <c r="Z175" s="160"/>
      <c r="AA175" s="165"/>
      <c r="AT175" s="166" t="s">
        <v>148</v>
      </c>
      <c r="AU175" s="166" t="s">
        <v>99</v>
      </c>
      <c r="AV175" s="10" t="s">
        <v>99</v>
      </c>
      <c r="AW175" s="10" t="s">
        <v>33</v>
      </c>
      <c r="AX175" s="10" t="s">
        <v>83</v>
      </c>
      <c r="AY175" s="166" t="s">
        <v>140</v>
      </c>
    </row>
    <row r="176" spans="2:65" s="1" customFormat="1" ht="25.5" customHeight="1" x14ac:dyDescent="0.3">
      <c r="B176" s="33"/>
      <c r="C176" s="175">
        <v>23</v>
      </c>
      <c r="D176" s="175" t="s">
        <v>152</v>
      </c>
      <c r="E176" s="176" t="s">
        <v>203</v>
      </c>
      <c r="F176" s="265" t="s">
        <v>204</v>
      </c>
      <c r="G176" s="265"/>
      <c r="H176" s="265"/>
      <c r="I176" s="265"/>
      <c r="J176" s="177" t="s">
        <v>165</v>
      </c>
      <c r="K176" s="178">
        <v>7.7830000000000004</v>
      </c>
      <c r="L176" s="331"/>
      <c r="M176" s="331"/>
      <c r="N176" s="266">
        <f>ROUND(L176*K176,2)</f>
        <v>0</v>
      </c>
      <c r="O176" s="264"/>
      <c r="P176" s="264"/>
      <c r="Q176" s="264"/>
      <c r="R176" s="35"/>
      <c r="T176" s="155" t="s">
        <v>19</v>
      </c>
      <c r="U176" s="42" t="s">
        <v>41</v>
      </c>
      <c r="V176" s="156">
        <v>0</v>
      </c>
      <c r="W176" s="156">
        <f>V176*K176</f>
        <v>0</v>
      </c>
      <c r="X176" s="156">
        <v>4.3E-3</v>
      </c>
      <c r="Y176" s="156">
        <f>X176*K176</f>
        <v>3.3466900000000001E-2</v>
      </c>
      <c r="Z176" s="156">
        <v>0</v>
      </c>
      <c r="AA176" s="157">
        <f>Z176*K176</f>
        <v>0</v>
      </c>
      <c r="AR176" s="20" t="s">
        <v>156</v>
      </c>
      <c r="AT176" s="20" t="s">
        <v>152</v>
      </c>
      <c r="AU176" s="20" t="s">
        <v>99</v>
      </c>
      <c r="AY176" s="20" t="s">
        <v>140</v>
      </c>
      <c r="BE176" s="158">
        <f>IF(U176="základní",N176,0)</f>
        <v>0</v>
      </c>
      <c r="BF176" s="158">
        <f>IF(U176="snížená",N176,0)</f>
        <v>0</v>
      </c>
      <c r="BG176" s="158">
        <f>IF(U176="zákl. přenesená",N176,0)</f>
        <v>0</v>
      </c>
      <c r="BH176" s="158">
        <f>IF(U176="sníž. přenesená",N176,0)</f>
        <v>0</v>
      </c>
      <c r="BI176" s="158">
        <f>IF(U176="nulová",N176,0)</f>
        <v>0</v>
      </c>
      <c r="BJ176" s="20" t="s">
        <v>83</v>
      </c>
      <c r="BK176" s="158">
        <f>ROUND(L176*K176,2)</f>
        <v>0</v>
      </c>
      <c r="BL176" s="20" t="s">
        <v>145</v>
      </c>
      <c r="BM176" s="20" t="s">
        <v>205</v>
      </c>
    </row>
    <row r="177" spans="2:65" s="10" customFormat="1" ht="16.5" customHeight="1" x14ac:dyDescent="0.3">
      <c r="B177" s="159"/>
      <c r="C177" s="160"/>
      <c r="D177" s="160"/>
      <c r="E177" s="161" t="s">
        <v>19</v>
      </c>
      <c r="F177" s="267" t="s">
        <v>206</v>
      </c>
      <c r="G177" s="268"/>
      <c r="H177" s="268"/>
      <c r="I177" s="268"/>
      <c r="J177" s="160"/>
      <c r="K177" s="162">
        <v>7.7830000000000004</v>
      </c>
      <c r="L177" s="329"/>
      <c r="M177" s="329"/>
      <c r="N177" s="160"/>
      <c r="O177" s="160"/>
      <c r="P177" s="160"/>
      <c r="Q177" s="160"/>
      <c r="R177" s="163"/>
      <c r="T177" s="164"/>
      <c r="U177" s="160"/>
      <c r="V177" s="160"/>
      <c r="W177" s="160"/>
      <c r="X177" s="160"/>
      <c r="Y177" s="160"/>
      <c r="Z177" s="160"/>
      <c r="AA177" s="165"/>
      <c r="AT177" s="166" t="s">
        <v>148</v>
      </c>
      <c r="AU177" s="166" t="s">
        <v>99</v>
      </c>
      <c r="AV177" s="10" t="s">
        <v>99</v>
      </c>
      <c r="AW177" s="10" t="s">
        <v>33</v>
      </c>
      <c r="AX177" s="10" t="s">
        <v>83</v>
      </c>
      <c r="AY177" s="166" t="s">
        <v>140</v>
      </c>
    </row>
    <row r="178" spans="2:65" s="1" customFormat="1" ht="38.25" customHeight="1" x14ac:dyDescent="0.3">
      <c r="B178" s="33"/>
      <c r="C178" s="151">
        <v>24</v>
      </c>
      <c r="D178" s="151" t="s">
        <v>141</v>
      </c>
      <c r="E178" s="152" t="s">
        <v>239</v>
      </c>
      <c r="F178" s="263" t="s">
        <v>240</v>
      </c>
      <c r="G178" s="263"/>
      <c r="H178" s="263"/>
      <c r="I178" s="263"/>
      <c r="J178" s="153" t="s">
        <v>165</v>
      </c>
      <c r="K178" s="154">
        <v>7.7830000000000004</v>
      </c>
      <c r="L178" s="328"/>
      <c r="M178" s="328"/>
      <c r="N178" s="264">
        <f>ROUND(L178*K178,2)</f>
        <v>0</v>
      </c>
      <c r="O178" s="264"/>
      <c r="P178" s="264"/>
      <c r="Q178" s="264"/>
      <c r="R178" s="35"/>
      <c r="T178" s="155" t="s">
        <v>19</v>
      </c>
      <c r="U178" s="42" t="s">
        <v>41</v>
      </c>
      <c r="V178" s="156">
        <v>9.7000000000000003E-2</v>
      </c>
      <c r="W178" s="156">
        <f>V178*K178</f>
        <v>0.75495100000000004</v>
      </c>
      <c r="X178" s="156">
        <v>8.4999999999999995E-4</v>
      </c>
      <c r="Y178" s="156">
        <f>X178*K178</f>
        <v>6.6155499999999996E-3</v>
      </c>
      <c r="Z178" s="156">
        <v>0</v>
      </c>
      <c r="AA178" s="157">
        <f>Z178*K178</f>
        <v>0</v>
      </c>
      <c r="AR178" s="20" t="s">
        <v>172</v>
      </c>
      <c r="AT178" s="20" t="s">
        <v>141</v>
      </c>
      <c r="AU178" s="20" t="s">
        <v>99</v>
      </c>
      <c r="AY178" s="20" t="s">
        <v>140</v>
      </c>
      <c r="BE178" s="158">
        <f>IF(U178="základní",N178,0)</f>
        <v>0</v>
      </c>
      <c r="BF178" s="158">
        <f>IF(U178="snížená",N178,0)</f>
        <v>0</v>
      </c>
      <c r="BG178" s="158">
        <f>IF(U178="zákl. přenesená",N178,0)</f>
        <v>0</v>
      </c>
      <c r="BH178" s="158">
        <f>IF(U178="sníž. přenesená",N178,0)</f>
        <v>0</v>
      </c>
      <c r="BI178" s="158">
        <f>IF(U178="nulová",N178,0)</f>
        <v>0</v>
      </c>
      <c r="BJ178" s="20" t="s">
        <v>83</v>
      </c>
      <c r="BK178" s="158">
        <f>ROUND(L178*K178,2)</f>
        <v>0</v>
      </c>
      <c r="BL178" s="20" t="s">
        <v>172</v>
      </c>
      <c r="BM178" s="20" t="s">
        <v>241</v>
      </c>
    </row>
    <row r="179" spans="2:65" s="10" customFormat="1" ht="16.5" customHeight="1" x14ac:dyDescent="0.3">
      <c r="B179" s="159"/>
      <c r="C179" s="160"/>
      <c r="D179" s="160"/>
      <c r="E179" s="161" t="s">
        <v>19</v>
      </c>
      <c r="F179" s="267" t="s">
        <v>238</v>
      </c>
      <c r="G179" s="268"/>
      <c r="H179" s="268"/>
      <c r="I179" s="268"/>
      <c r="J179" s="160"/>
      <c r="K179" s="162">
        <v>7.7830000000000004</v>
      </c>
      <c r="L179" s="329"/>
      <c r="M179" s="329"/>
      <c r="N179" s="160"/>
      <c r="O179" s="160"/>
      <c r="P179" s="160"/>
      <c r="Q179" s="160"/>
      <c r="R179" s="163"/>
      <c r="T179" s="164"/>
      <c r="U179" s="160"/>
      <c r="V179" s="160"/>
      <c r="W179" s="160"/>
      <c r="X179" s="160"/>
      <c r="Y179" s="160"/>
      <c r="Z179" s="160"/>
      <c r="AA179" s="165"/>
      <c r="AT179" s="166" t="s">
        <v>148</v>
      </c>
      <c r="AU179" s="166" t="s">
        <v>99</v>
      </c>
      <c r="AV179" s="10" t="s">
        <v>99</v>
      </c>
      <c r="AW179" s="10" t="s">
        <v>33</v>
      </c>
      <c r="AX179" s="10" t="s">
        <v>83</v>
      </c>
      <c r="AY179" s="166" t="s">
        <v>140</v>
      </c>
    </row>
    <row r="180" spans="2:65" s="1" customFormat="1" ht="25.5" customHeight="1" x14ac:dyDescent="0.3">
      <c r="B180" s="33"/>
      <c r="C180" s="175">
        <v>25</v>
      </c>
      <c r="D180" s="175" t="s">
        <v>152</v>
      </c>
      <c r="E180" s="176" t="s">
        <v>214</v>
      </c>
      <c r="F180" s="265" t="s">
        <v>215</v>
      </c>
      <c r="G180" s="265"/>
      <c r="H180" s="265"/>
      <c r="I180" s="265"/>
      <c r="J180" s="177" t="s">
        <v>165</v>
      </c>
      <c r="K180" s="178">
        <v>7.7830000000000004</v>
      </c>
      <c r="L180" s="331"/>
      <c r="M180" s="331"/>
      <c r="N180" s="266">
        <f>ROUND(L180*K180,2)</f>
        <v>0</v>
      </c>
      <c r="O180" s="264"/>
      <c r="P180" s="264"/>
      <c r="Q180" s="264"/>
      <c r="R180" s="35"/>
      <c r="T180" s="155" t="s">
        <v>19</v>
      </c>
      <c r="U180" s="42" t="s">
        <v>41</v>
      </c>
      <c r="V180" s="156">
        <v>0</v>
      </c>
      <c r="W180" s="156">
        <f>V180*K180</f>
        <v>0</v>
      </c>
      <c r="X180" s="156">
        <v>6.0999999999999997E-4</v>
      </c>
      <c r="Y180" s="156">
        <f>X180*K180</f>
        <v>4.7476300000000001E-3</v>
      </c>
      <c r="Z180" s="156">
        <v>0</v>
      </c>
      <c r="AA180" s="157">
        <f>Z180*K180</f>
        <v>0</v>
      </c>
      <c r="AR180" s="20" t="s">
        <v>156</v>
      </c>
      <c r="AT180" s="20" t="s">
        <v>152</v>
      </c>
      <c r="AU180" s="20" t="s">
        <v>99</v>
      </c>
      <c r="AY180" s="20" t="s">
        <v>140</v>
      </c>
      <c r="BE180" s="158">
        <f>IF(U180="základní",N180,0)</f>
        <v>0</v>
      </c>
      <c r="BF180" s="158">
        <f>IF(U180="snížená",N180,0)</f>
        <v>0</v>
      </c>
      <c r="BG180" s="158">
        <f>IF(U180="zákl. přenesená",N180,0)</f>
        <v>0</v>
      </c>
      <c r="BH180" s="158">
        <f>IF(U180="sníž. přenesená",N180,0)</f>
        <v>0</v>
      </c>
      <c r="BI180" s="158">
        <f>IF(U180="nulová",N180,0)</f>
        <v>0</v>
      </c>
      <c r="BJ180" s="20" t="s">
        <v>83</v>
      </c>
      <c r="BK180" s="158">
        <f>ROUND(L180*K180,2)</f>
        <v>0</v>
      </c>
      <c r="BL180" s="20" t="s">
        <v>145</v>
      </c>
      <c r="BM180" s="20" t="s">
        <v>216</v>
      </c>
    </row>
    <row r="181" spans="2:65" s="10" customFormat="1" ht="16.5" customHeight="1" x14ac:dyDescent="0.3">
      <c r="B181" s="159"/>
      <c r="C181" s="160"/>
      <c r="D181" s="160"/>
      <c r="E181" s="161" t="s">
        <v>19</v>
      </c>
      <c r="F181" s="267" t="s">
        <v>206</v>
      </c>
      <c r="G181" s="268"/>
      <c r="H181" s="268"/>
      <c r="I181" s="268"/>
      <c r="J181" s="160"/>
      <c r="K181" s="162">
        <v>7.7830000000000004</v>
      </c>
      <c r="L181" s="329"/>
      <c r="M181" s="329"/>
      <c r="N181" s="160"/>
      <c r="O181" s="160"/>
      <c r="P181" s="160"/>
      <c r="Q181" s="160"/>
      <c r="R181" s="163"/>
      <c r="T181" s="164"/>
      <c r="U181" s="160"/>
      <c r="V181" s="160"/>
      <c r="W181" s="160"/>
      <c r="X181" s="160"/>
      <c r="Y181" s="160"/>
      <c r="Z181" s="160"/>
      <c r="AA181" s="165"/>
      <c r="AT181" s="166" t="s">
        <v>148</v>
      </c>
      <c r="AU181" s="166" t="s">
        <v>99</v>
      </c>
      <c r="AV181" s="10" t="s">
        <v>99</v>
      </c>
      <c r="AW181" s="10" t="s">
        <v>33</v>
      </c>
      <c r="AX181" s="10" t="s">
        <v>83</v>
      </c>
      <c r="AY181" s="166" t="s">
        <v>140</v>
      </c>
    </row>
    <row r="182" spans="2:65" s="1" customFormat="1" ht="16.5" customHeight="1" x14ac:dyDescent="0.3">
      <c r="B182" s="33"/>
      <c r="C182" s="175">
        <v>26</v>
      </c>
      <c r="D182" s="175" t="s">
        <v>152</v>
      </c>
      <c r="E182" s="176" t="s">
        <v>207</v>
      </c>
      <c r="F182" s="271" t="s">
        <v>208</v>
      </c>
      <c r="G182" s="272"/>
      <c r="H182" s="272"/>
      <c r="I182" s="273"/>
      <c r="J182" s="177" t="s">
        <v>165</v>
      </c>
      <c r="K182" s="178">
        <v>7.7830000000000004</v>
      </c>
      <c r="L182" s="334"/>
      <c r="M182" s="335"/>
      <c r="N182" s="274">
        <f>ROUND(L182*K182,2)</f>
        <v>0</v>
      </c>
      <c r="O182" s="276"/>
      <c r="P182" s="276"/>
      <c r="Q182" s="275"/>
      <c r="R182" s="35"/>
      <c r="T182" s="155" t="s">
        <v>19</v>
      </c>
      <c r="U182" s="42" t="s">
        <v>41</v>
      </c>
      <c r="V182" s="156">
        <v>0</v>
      </c>
      <c r="W182" s="156">
        <f>V182*K182</f>
        <v>0</v>
      </c>
      <c r="X182" s="156">
        <v>2.9999999999999997E-4</v>
      </c>
      <c r="Y182" s="156">
        <f>X182*K182</f>
        <v>2.3349E-3</v>
      </c>
      <c r="Z182" s="156">
        <v>0</v>
      </c>
      <c r="AA182" s="157">
        <f>Z182*K182</f>
        <v>0</v>
      </c>
      <c r="AR182" s="20" t="s">
        <v>156</v>
      </c>
      <c r="AT182" s="20" t="s">
        <v>152</v>
      </c>
      <c r="AU182" s="20" t="s">
        <v>99</v>
      </c>
      <c r="AY182" s="20" t="s">
        <v>140</v>
      </c>
      <c r="BE182" s="158">
        <f>IF(U182="základní",N182,0)</f>
        <v>0</v>
      </c>
      <c r="BF182" s="158">
        <f>IF(U182="snížená",N182,0)</f>
        <v>0</v>
      </c>
      <c r="BG182" s="158">
        <f>IF(U182="zákl. přenesená",N182,0)</f>
        <v>0</v>
      </c>
      <c r="BH182" s="158">
        <f>IF(U182="sníž. přenesená",N182,0)</f>
        <v>0</v>
      </c>
      <c r="BI182" s="158">
        <f>IF(U182="nulová",N182,0)</f>
        <v>0</v>
      </c>
      <c r="BJ182" s="20" t="s">
        <v>83</v>
      </c>
      <c r="BK182" s="158">
        <f>ROUND(L182*K182,2)</f>
        <v>0</v>
      </c>
      <c r="BL182" s="20" t="s">
        <v>145</v>
      </c>
      <c r="BM182" s="20" t="s">
        <v>209</v>
      </c>
    </row>
    <row r="183" spans="2:65" s="10" customFormat="1" ht="16.5" customHeight="1" x14ac:dyDescent="0.3">
      <c r="B183" s="159"/>
      <c r="C183" s="160"/>
      <c r="D183" s="160"/>
      <c r="E183" s="161" t="s">
        <v>19</v>
      </c>
      <c r="F183" s="267" t="s">
        <v>206</v>
      </c>
      <c r="G183" s="268"/>
      <c r="H183" s="268"/>
      <c r="I183" s="268"/>
      <c r="J183" s="160"/>
      <c r="K183" s="162">
        <v>7.7830000000000004</v>
      </c>
      <c r="L183" s="329"/>
      <c r="M183" s="329"/>
      <c r="N183" s="160"/>
      <c r="O183" s="160"/>
      <c r="P183" s="160"/>
      <c r="Q183" s="160"/>
      <c r="R183" s="163"/>
      <c r="T183" s="164"/>
      <c r="U183" s="160"/>
      <c r="V183" s="160"/>
      <c r="W183" s="160"/>
      <c r="X183" s="160"/>
      <c r="Y183" s="160"/>
      <c r="Z183" s="160"/>
      <c r="AA183" s="165"/>
      <c r="AT183" s="166" t="s">
        <v>148</v>
      </c>
      <c r="AU183" s="166" t="s">
        <v>99</v>
      </c>
      <c r="AV183" s="10" t="s">
        <v>99</v>
      </c>
      <c r="AW183" s="10" t="s">
        <v>33</v>
      </c>
      <c r="AX183" s="10" t="s">
        <v>83</v>
      </c>
      <c r="AY183" s="166" t="s">
        <v>140</v>
      </c>
    </row>
    <row r="184" spans="2:65" s="9" customFormat="1" ht="19.899999999999999" customHeight="1" x14ac:dyDescent="0.3">
      <c r="B184" s="140"/>
      <c r="C184" s="141"/>
      <c r="D184" s="150" t="s">
        <v>490</v>
      </c>
      <c r="E184" s="150"/>
      <c r="F184" s="150"/>
      <c r="G184" s="150"/>
      <c r="H184" s="150"/>
      <c r="I184" s="150"/>
      <c r="J184" s="150"/>
      <c r="K184" s="150"/>
      <c r="L184" s="332"/>
      <c r="M184" s="332"/>
      <c r="N184" s="269">
        <f>SUM(N185:N186)</f>
        <v>0</v>
      </c>
      <c r="O184" s="270"/>
      <c r="P184" s="270"/>
      <c r="Q184" s="270"/>
      <c r="R184" s="143"/>
      <c r="T184" s="144"/>
      <c r="U184" s="141"/>
      <c r="V184" s="141"/>
      <c r="W184" s="145">
        <f>SUM(W185:W193)</f>
        <v>2.8778239999999999</v>
      </c>
      <c r="X184" s="141"/>
      <c r="Y184" s="145">
        <f>SUM(Y185:Y193)</f>
        <v>1.27368E-2</v>
      </c>
      <c r="Z184" s="141"/>
      <c r="AA184" s="146"/>
      <c r="AR184" s="147" t="s">
        <v>99</v>
      </c>
      <c r="AT184" s="148" t="s">
        <v>75</v>
      </c>
      <c r="AU184" s="148" t="s">
        <v>83</v>
      </c>
      <c r="AY184" s="147" t="s">
        <v>140</v>
      </c>
      <c r="BK184" s="149">
        <f>SUM(BK185:BK193)</f>
        <v>0</v>
      </c>
    </row>
    <row r="185" spans="2:65" s="1" customFormat="1" ht="38.25" customHeight="1" x14ac:dyDescent="0.3">
      <c r="B185" s="33"/>
      <c r="C185" s="151">
        <v>27</v>
      </c>
      <c r="D185" s="151" t="s">
        <v>141</v>
      </c>
      <c r="E185" s="152"/>
      <c r="F185" s="263" t="s">
        <v>491</v>
      </c>
      <c r="G185" s="263"/>
      <c r="H185" s="263"/>
      <c r="I185" s="263"/>
      <c r="J185" s="153" t="s">
        <v>165</v>
      </c>
      <c r="K185" s="154">
        <v>7.0759999999999996</v>
      </c>
      <c r="L185" s="328"/>
      <c r="M185" s="328"/>
      <c r="N185" s="264">
        <f>ROUND(L185*K185,2)</f>
        <v>0</v>
      </c>
      <c r="O185" s="264"/>
      <c r="P185" s="264"/>
      <c r="Q185" s="264"/>
      <c r="R185" s="35"/>
      <c r="T185" s="155" t="s">
        <v>19</v>
      </c>
      <c r="U185" s="42" t="s">
        <v>41</v>
      </c>
      <c r="V185" s="156">
        <v>2.4E-2</v>
      </c>
      <c r="W185" s="156">
        <f>V185*K185</f>
        <v>0.169824</v>
      </c>
      <c r="X185" s="156">
        <v>0</v>
      </c>
      <c r="Y185" s="156">
        <f>X185*K185</f>
        <v>0</v>
      </c>
      <c r="Z185" s="156">
        <v>0</v>
      </c>
      <c r="AA185" s="157">
        <f>Z185*K185</f>
        <v>0</v>
      </c>
      <c r="AR185" s="20" t="s">
        <v>172</v>
      </c>
      <c r="AT185" s="20" t="s">
        <v>141</v>
      </c>
      <c r="AU185" s="20" t="s">
        <v>99</v>
      </c>
      <c r="AY185" s="20" t="s">
        <v>140</v>
      </c>
      <c r="BE185" s="158">
        <f>IF(U185="základní",N185,0)</f>
        <v>0</v>
      </c>
      <c r="BF185" s="158">
        <f>IF(U185="snížená",N185,0)</f>
        <v>0</v>
      </c>
      <c r="BG185" s="158">
        <f>IF(U185="zákl. přenesená",N185,0)</f>
        <v>0</v>
      </c>
      <c r="BH185" s="158">
        <f>IF(U185="sníž. přenesená",N185,0)</f>
        <v>0</v>
      </c>
      <c r="BI185" s="158">
        <f>IF(U185="nulová",N185,0)</f>
        <v>0</v>
      </c>
      <c r="BJ185" s="20" t="s">
        <v>83</v>
      </c>
      <c r="BK185" s="158">
        <f>ROUND(L185*K185,2)</f>
        <v>0</v>
      </c>
      <c r="BL185" s="20" t="s">
        <v>172</v>
      </c>
      <c r="BM185" s="20" t="s">
        <v>231</v>
      </c>
    </row>
    <row r="186" spans="2:65" s="1" customFormat="1" ht="38.25" customHeight="1" x14ac:dyDescent="0.3">
      <c r="B186" s="33"/>
      <c r="C186" s="175">
        <v>28</v>
      </c>
      <c r="D186" s="175" t="s">
        <v>152</v>
      </c>
      <c r="E186" s="176" t="s">
        <v>210</v>
      </c>
      <c r="F186" s="265" t="s">
        <v>211</v>
      </c>
      <c r="G186" s="265"/>
      <c r="H186" s="265"/>
      <c r="I186" s="265"/>
      <c r="J186" s="177" t="s">
        <v>165</v>
      </c>
      <c r="K186" s="178">
        <v>7.0759999999999996</v>
      </c>
      <c r="L186" s="331"/>
      <c r="M186" s="331"/>
      <c r="N186" s="266">
        <f>ROUND(L186*K186,2)</f>
        <v>0</v>
      </c>
      <c r="O186" s="264"/>
      <c r="P186" s="264"/>
      <c r="Q186" s="264"/>
      <c r="R186" s="35"/>
      <c r="T186" s="155" t="s">
        <v>19</v>
      </c>
      <c r="U186" s="42" t="s">
        <v>41</v>
      </c>
      <c r="V186" s="156">
        <v>0</v>
      </c>
      <c r="W186" s="156">
        <f>V186*K186</f>
        <v>0</v>
      </c>
      <c r="X186" s="156">
        <v>1.8E-3</v>
      </c>
      <c r="Y186" s="156">
        <f>X186*K186</f>
        <v>1.27368E-2</v>
      </c>
      <c r="Z186" s="156">
        <v>0</v>
      </c>
      <c r="AA186" s="157">
        <f>Z186*K186</f>
        <v>0</v>
      </c>
      <c r="AR186" s="20" t="s">
        <v>156</v>
      </c>
      <c r="AT186" s="20" t="s">
        <v>152</v>
      </c>
      <c r="AU186" s="20" t="s">
        <v>99</v>
      </c>
      <c r="AY186" s="20" t="s">
        <v>140</v>
      </c>
      <c r="BE186" s="158">
        <f>IF(U186="základní",N186,0)</f>
        <v>0</v>
      </c>
      <c r="BF186" s="158">
        <f>IF(U186="snížená",N186,0)</f>
        <v>0</v>
      </c>
      <c r="BG186" s="158">
        <f>IF(U186="zákl. přenesená",N186,0)</f>
        <v>0</v>
      </c>
      <c r="BH186" s="158">
        <f>IF(U186="sníž. přenesená",N186,0)</f>
        <v>0</v>
      </c>
      <c r="BI186" s="158">
        <f>IF(U186="nulová",N186,0)</f>
        <v>0</v>
      </c>
      <c r="BJ186" s="20" t="s">
        <v>83</v>
      </c>
      <c r="BK186" s="158">
        <f>ROUND(L186*K186,2)</f>
        <v>0</v>
      </c>
      <c r="BL186" s="20" t="s">
        <v>145</v>
      </c>
      <c r="BM186" s="20" t="s">
        <v>212</v>
      </c>
    </row>
    <row r="187" spans="2:65" s="10" customFormat="1" ht="16.5" customHeight="1" x14ac:dyDescent="0.3">
      <c r="B187" s="159"/>
      <c r="C187" s="160"/>
      <c r="D187" s="160"/>
      <c r="E187" s="161" t="s">
        <v>19</v>
      </c>
      <c r="F187" s="267" t="s">
        <v>213</v>
      </c>
      <c r="G187" s="268"/>
      <c r="H187" s="268"/>
      <c r="I187" s="268"/>
      <c r="J187" s="160"/>
      <c r="K187" s="162">
        <v>7.0759999999999996</v>
      </c>
      <c r="L187" s="329"/>
      <c r="M187" s="329"/>
      <c r="N187" s="160"/>
      <c r="O187" s="160"/>
      <c r="P187" s="160"/>
      <c r="Q187" s="160"/>
      <c r="R187" s="163"/>
      <c r="T187" s="164"/>
      <c r="U187" s="160"/>
      <c r="V187" s="160"/>
      <c r="W187" s="160"/>
      <c r="X187" s="160"/>
      <c r="Y187" s="160"/>
      <c r="Z187" s="160"/>
      <c r="AA187" s="165"/>
      <c r="AT187" s="166" t="s">
        <v>148</v>
      </c>
      <c r="AU187" s="166" t="s">
        <v>99</v>
      </c>
      <c r="AV187" s="10" t="s">
        <v>99</v>
      </c>
      <c r="AW187" s="10" t="s">
        <v>33</v>
      </c>
      <c r="AX187" s="10" t="s">
        <v>83</v>
      </c>
      <c r="AY187" s="166" t="s">
        <v>140</v>
      </c>
    </row>
    <row r="188" spans="2:65" s="9" customFormat="1" ht="29.85" customHeight="1" x14ac:dyDescent="0.3">
      <c r="B188" s="140"/>
      <c r="C188" s="141"/>
      <c r="D188" s="150" t="s">
        <v>119</v>
      </c>
      <c r="E188" s="150"/>
      <c r="F188" s="150"/>
      <c r="G188" s="150"/>
      <c r="H188" s="150"/>
      <c r="I188" s="150"/>
      <c r="J188" s="150"/>
      <c r="K188" s="150"/>
      <c r="L188" s="332"/>
      <c r="M188" s="332"/>
      <c r="N188" s="269">
        <f>N189</f>
        <v>0</v>
      </c>
      <c r="O188" s="270"/>
      <c r="P188" s="270"/>
      <c r="Q188" s="270"/>
      <c r="R188" s="143"/>
      <c r="T188" s="144"/>
      <c r="U188" s="141"/>
      <c r="V188" s="141"/>
      <c r="W188" s="145">
        <f>W189</f>
        <v>0.54800000000000004</v>
      </c>
      <c r="X188" s="141"/>
      <c r="Y188" s="145">
        <f>Y189</f>
        <v>0</v>
      </c>
      <c r="Z188" s="141"/>
      <c r="AA188" s="146">
        <f>AA189</f>
        <v>7.4999999999999997E-2</v>
      </c>
      <c r="AR188" s="147" t="s">
        <v>99</v>
      </c>
      <c r="AT188" s="148" t="s">
        <v>75</v>
      </c>
      <c r="AU188" s="148" t="s">
        <v>83</v>
      </c>
      <c r="AY188" s="147" t="s">
        <v>140</v>
      </c>
      <c r="BK188" s="149">
        <f>BK189</f>
        <v>0</v>
      </c>
    </row>
    <row r="189" spans="2:65" s="1" customFormat="1" ht="16.5" customHeight="1" x14ac:dyDescent="0.3">
      <c r="B189" s="33"/>
      <c r="C189" s="151">
        <v>29</v>
      </c>
      <c r="D189" s="151" t="s">
        <v>141</v>
      </c>
      <c r="E189" s="152" t="s">
        <v>242</v>
      </c>
      <c r="F189" s="263" t="s">
        <v>243</v>
      </c>
      <c r="G189" s="263"/>
      <c r="H189" s="263"/>
      <c r="I189" s="263"/>
      <c r="J189" s="153" t="s">
        <v>244</v>
      </c>
      <c r="K189" s="154">
        <v>1</v>
      </c>
      <c r="L189" s="328"/>
      <c r="M189" s="328"/>
      <c r="N189" s="264">
        <f>ROUND(L189*K189,2)</f>
        <v>0</v>
      </c>
      <c r="O189" s="264"/>
      <c r="P189" s="264"/>
      <c r="Q189" s="264"/>
      <c r="R189" s="35"/>
      <c r="T189" s="155" t="s">
        <v>19</v>
      </c>
      <c r="U189" s="42" t="s">
        <v>41</v>
      </c>
      <c r="V189" s="156">
        <v>0.54800000000000004</v>
      </c>
      <c r="W189" s="156">
        <f>V189*K189</f>
        <v>0.54800000000000004</v>
      </c>
      <c r="X189" s="156">
        <v>0</v>
      </c>
      <c r="Y189" s="156">
        <f>X189*K189</f>
        <v>0</v>
      </c>
      <c r="Z189" s="156">
        <v>7.4999999999999997E-2</v>
      </c>
      <c r="AA189" s="157">
        <f>Z189*K189</f>
        <v>7.4999999999999997E-2</v>
      </c>
      <c r="AR189" s="20" t="s">
        <v>172</v>
      </c>
      <c r="AT189" s="20" t="s">
        <v>141</v>
      </c>
      <c r="AU189" s="20" t="s">
        <v>99</v>
      </c>
      <c r="AY189" s="20" t="s">
        <v>140</v>
      </c>
      <c r="BE189" s="158">
        <f>IF(U189="základní",N189,0)</f>
        <v>0</v>
      </c>
      <c r="BF189" s="158">
        <f>IF(U189="snížená",N189,0)</f>
        <v>0</v>
      </c>
      <c r="BG189" s="158">
        <f>IF(U189="zákl. přenesená",N189,0)</f>
        <v>0</v>
      </c>
      <c r="BH189" s="158">
        <f>IF(U189="sníž. přenesená",N189,0)</f>
        <v>0</v>
      </c>
      <c r="BI189" s="158">
        <f>IF(U189="nulová",N189,0)</f>
        <v>0</v>
      </c>
      <c r="BJ189" s="20" t="s">
        <v>83</v>
      </c>
      <c r="BK189" s="158">
        <f>ROUND(L189*K189,2)</f>
        <v>0</v>
      </c>
      <c r="BL189" s="20" t="s">
        <v>172</v>
      </c>
      <c r="BM189" s="20" t="s">
        <v>245</v>
      </c>
    </row>
    <row r="190" spans="2:65" s="9" customFormat="1" ht="29.85" customHeight="1" x14ac:dyDescent="0.3">
      <c r="B190" s="140"/>
      <c r="C190" s="141"/>
      <c r="D190" s="150" t="s">
        <v>120</v>
      </c>
      <c r="E190" s="150"/>
      <c r="F190" s="150"/>
      <c r="G190" s="150"/>
      <c r="H190" s="150"/>
      <c r="I190" s="150"/>
      <c r="J190" s="150"/>
      <c r="K190" s="150"/>
      <c r="L190" s="332"/>
      <c r="M190" s="332"/>
      <c r="N190" s="261">
        <f>SUM(N191:N192)</f>
        <v>0</v>
      </c>
      <c r="O190" s="262"/>
      <c r="P190" s="262"/>
      <c r="Q190" s="262"/>
      <c r="R190" s="143"/>
      <c r="T190" s="144"/>
      <c r="U190" s="141"/>
      <c r="V190" s="141"/>
      <c r="W190" s="145">
        <f>SUM(W191:W192)</f>
        <v>0.47599999999999998</v>
      </c>
      <c r="X190" s="141"/>
      <c r="Y190" s="145">
        <f>SUM(Y191:Y192)</f>
        <v>0</v>
      </c>
      <c r="Z190" s="141"/>
      <c r="AA190" s="146">
        <f>SUM(AA191:AA192)</f>
        <v>1.9950000000000002E-2</v>
      </c>
      <c r="AR190" s="147" t="s">
        <v>99</v>
      </c>
      <c r="AT190" s="148" t="s">
        <v>75</v>
      </c>
      <c r="AU190" s="148" t="s">
        <v>83</v>
      </c>
      <c r="AY190" s="147" t="s">
        <v>140</v>
      </c>
      <c r="BK190" s="149">
        <f>SUM(BK191:BK192)</f>
        <v>0</v>
      </c>
    </row>
    <row r="191" spans="2:65" s="1" customFormat="1" ht="25.5" customHeight="1" x14ac:dyDescent="0.3">
      <c r="B191" s="33"/>
      <c r="C191" s="151">
        <v>30</v>
      </c>
      <c r="D191" s="151" t="s">
        <v>141</v>
      </c>
      <c r="E191" s="152" t="s">
        <v>246</v>
      </c>
      <c r="F191" s="263" t="s">
        <v>247</v>
      </c>
      <c r="G191" s="263"/>
      <c r="H191" s="263"/>
      <c r="I191" s="263"/>
      <c r="J191" s="153" t="s">
        <v>244</v>
      </c>
      <c r="K191" s="154">
        <v>1</v>
      </c>
      <c r="L191" s="328"/>
      <c r="M191" s="328"/>
      <c r="N191" s="264">
        <f>ROUND(L191*K191,2)</f>
        <v>0</v>
      </c>
      <c r="O191" s="264"/>
      <c r="P191" s="264"/>
      <c r="Q191" s="264"/>
      <c r="R191" s="35"/>
      <c r="T191" s="155" t="s">
        <v>19</v>
      </c>
      <c r="U191" s="42" t="s">
        <v>41</v>
      </c>
      <c r="V191" s="156">
        <v>0.36199999999999999</v>
      </c>
      <c r="W191" s="156">
        <f>V191*K191</f>
        <v>0.36199999999999999</v>
      </c>
      <c r="X191" s="156">
        <v>0</v>
      </c>
      <c r="Y191" s="156">
        <f>X191*K191</f>
        <v>0</v>
      </c>
      <c r="Z191" s="156">
        <v>1.9460000000000002E-2</v>
      </c>
      <c r="AA191" s="157">
        <f>Z191*K191</f>
        <v>1.9460000000000002E-2</v>
      </c>
      <c r="AR191" s="20" t="s">
        <v>172</v>
      </c>
      <c r="AT191" s="20" t="s">
        <v>141</v>
      </c>
      <c r="AU191" s="20" t="s">
        <v>99</v>
      </c>
      <c r="AY191" s="20" t="s">
        <v>140</v>
      </c>
      <c r="BE191" s="158">
        <f>IF(U191="základní",N191,0)</f>
        <v>0</v>
      </c>
      <c r="BF191" s="158">
        <f>IF(U191="snížená",N191,0)</f>
        <v>0</v>
      </c>
      <c r="BG191" s="158">
        <f>IF(U191="zákl. přenesená",N191,0)</f>
        <v>0</v>
      </c>
      <c r="BH191" s="158">
        <f>IF(U191="sníž. přenesená",N191,0)</f>
        <v>0</v>
      </c>
      <c r="BI191" s="158">
        <f>IF(U191="nulová",N191,0)</f>
        <v>0</v>
      </c>
      <c r="BJ191" s="20" t="s">
        <v>83</v>
      </c>
      <c r="BK191" s="158">
        <f>ROUND(L191*K191,2)</f>
        <v>0</v>
      </c>
      <c r="BL191" s="20" t="s">
        <v>172</v>
      </c>
      <c r="BM191" s="20" t="s">
        <v>248</v>
      </c>
    </row>
    <row r="192" spans="2:65" s="1" customFormat="1" ht="16.5" customHeight="1" x14ac:dyDescent="0.3">
      <c r="B192" s="33"/>
      <c r="C192" s="151">
        <v>31</v>
      </c>
      <c r="D192" s="151" t="s">
        <v>141</v>
      </c>
      <c r="E192" s="152" t="s">
        <v>249</v>
      </c>
      <c r="F192" s="263" t="s">
        <v>250</v>
      </c>
      <c r="G192" s="263"/>
      <c r="H192" s="263"/>
      <c r="I192" s="263"/>
      <c r="J192" s="153" t="s">
        <v>187</v>
      </c>
      <c r="K192" s="154">
        <v>1</v>
      </c>
      <c r="L192" s="328"/>
      <c r="M192" s="328"/>
      <c r="N192" s="264">
        <f>ROUND(L192*K192,2)</f>
        <v>0</v>
      </c>
      <c r="O192" s="264"/>
      <c r="P192" s="264"/>
      <c r="Q192" s="264"/>
      <c r="R192" s="35"/>
      <c r="T192" s="155" t="s">
        <v>19</v>
      </c>
      <c r="U192" s="42" t="s">
        <v>41</v>
      </c>
      <c r="V192" s="156">
        <v>0.114</v>
      </c>
      <c r="W192" s="156">
        <f>V192*K192</f>
        <v>0.114</v>
      </c>
      <c r="X192" s="156">
        <v>0</v>
      </c>
      <c r="Y192" s="156">
        <f>X192*K192</f>
        <v>0</v>
      </c>
      <c r="Z192" s="156">
        <v>4.8999999999999998E-4</v>
      </c>
      <c r="AA192" s="157">
        <f>Z192*K192</f>
        <v>4.8999999999999998E-4</v>
      </c>
      <c r="AR192" s="20" t="s">
        <v>172</v>
      </c>
      <c r="AT192" s="20" t="s">
        <v>141</v>
      </c>
      <c r="AU192" s="20" t="s">
        <v>99</v>
      </c>
      <c r="AY192" s="20" t="s">
        <v>140</v>
      </c>
      <c r="BE192" s="158">
        <f>IF(U192="základní",N192,0)</f>
        <v>0</v>
      </c>
      <c r="BF192" s="158">
        <f>IF(U192="snížená",N192,0)</f>
        <v>0</v>
      </c>
      <c r="BG192" s="158">
        <f>IF(U192="zákl. přenesená",N192,0)</f>
        <v>0</v>
      </c>
      <c r="BH192" s="158">
        <f>IF(U192="sníž. přenesená",N192,0)</f>
        <v>0</v>
      </c>
      <c r="BI192" s="158">
        <f>IF(U192="nulová",N192,0)</f>
        <v>0</v>
      </c>
      <c r="BJ192" s="20" t="s">
        <v>83</v>
      </c>
      <c r="BK192" s="158">
        <f>ROUND(L192*K192,2)</f>
        <v>0</v>
      </c>
      <c r="BL192" s="20" t="s">
        <v>172</v>
      </c>
      <c r="BM192" s="20" t="s">
        <v>251</v>
      </c>
    </row>
    <row r="193" spans="2:65" s="9" customFormat="1" ht="29.85" customHeight="1" x14ac:dyDescent="0.3">
      <c r="B193" s="140"/>
      <c r="C193" s="141"/>
      <c r="D193" s="150" t="s">
        <v>121</v>
      </c>
      <c r="E193" s="150"/>
      <c r="F193" s="150"/>
      <c r="G193" s="150"/>
      <c r="H193" s="150"/>
      <c r="I193" s="150"/>
      <c r="J193" s="150"/>
      <c r="K193" s="150"/>
      <c r="L193" s="332"/>
      <c r="M193" s="332"/>
      <c r="N193" s="261">
        <f>N194</f>
        <v>0</v>
      </c>
      <c r="O193" s="262"/>
      <c r="P193" s="262"/>
      <c r="Q193" s="262"/>
      <c r="R193" s="143"/>
      <c r="T193" s="144"/>
      <c r="U193" s="141"/>
      <c r="V193" s="141"/>
      <c r="W193" s="145">
        <f>SUM(W194:W195)</f>
        <v>0.66</v>
      </c>
      <c r="X193" s="141"/>
      <c r="Y193" s="145">
        <f>SUM(Y194:Y195)</f>
        <v>0</v>
      </c>
      <c r="Z193" s="141"/>
      <c r="AA193" s="146">
        <f>SUM(AA194:AA195)</f>
        <v>0.16596</v>
      </c>
      <c r="AR193" s="147" t="s">
        <v>99</v>
      </c>
      <c r="AT193" s="148" t="s">
        <v>75</v>
      </c>
      <c r="AU193" s="148" t="s">
        <v>83</v>
      </c>
      <c r="AY193" s="147" t="s">
        <v>140</v>
      </c>
      <c r="BK193" s="149">
        <f>SUM(BK194:BK195)</f>
        <v>0</v>
      </c>
    </row>
    <row r="194" spans="2:65" s="1" customFormat="1" ht="38.25" customHeight="1" x14ac:dyDescent="0.3">
      <c r="B194" s="33"/>
      <c r="C194" s="151">
        <v>32</v>
      </c>
      <c r="D194" s="151" t="s">
        <v>141</v>
      </c>
      <c r="E194" s="152" t="s">
        <v>253</v>
      </c>
      <c r="F194" s="263" t="s">
        <v>254</v>
      </c>
      <c r="G194" s="263"/>
      <c r="H194" s="263"/>
      <c r="I194" s="263"/>
      <c r="J194" s="153" t="s">
        <v>165</v>
      </c>
      <c r="K194" s="154">
        <v>4</v>
      </c>
      <c r="L194" s="328"/>
      <c r="M194" s="328"/>
      <c r="N194" s="264">
        <f>ROUND(L194*K194,2)</f>
        <v>0</v>
      </c>
      <c r="O194" s="264"/>
      <c r="P194" s="264"/>
      <c r="Q194" s="264"/>
      <c r="R194" s="35"/>
      <c r="T194" s="155" t="s">
        <v>19</v>
      </c>
      <c r="U194" s="42" t="s">
        <v>41</v>
      </c>
      <c r="V194" s="156">
        <v>0.16500000000000001</v>
      </c>
      <c r="W194" s="156">
        <f>V194*K194</f>
        <v>0.66</v>
      </c>
      <c r="X194" s="156">
        <v>0</v>
      </c>
      <c r="Y194" s="156">
        <f>X194*K194</f>
        <v>0</v>
      </c>
      <c r="Z194" s="156">
        <v>4.1489999999999999E-2</v>
      </c>
      <c r="AA194" s="157">
        <f>Z194*K194</f>
        <v>0.16596</v>
      </c>
      <c r="AR194" s="20" t="s">
        <v>172</v>
      </c>
      <c r="AT194" s="20" t="s">
        <v>141</v>
      </c>
      <c r="AU194" s="20" t="s">
        <v>99</v>
      </c>
      <c r="AY194" s="20" t="s">
        <v>140</v>
      </c>
      <c r="BE194" s="158">
        <f>IF(U194="základní",N194,0)</f>
        <v>0</v>
      </c>
      <c r="BF194" s="158">
        <f>IF(U194="snížená",N194,0)</f>
        <v>0</v>
      </c>
      <c r="BG194" s="158">
        <f>IF(U194="zákl. přenesená",N194,0)</f>
        <v>0</v>
      </c>
      <c r="BH194" s="158">
        <f>IF(U194="sníž. přenesená",N194,0)</f>
        <v>0</v>
      </c>
      <c r="BI194" s="158">
        <f>IF(U194="nulová",N194,0)</f>
        <v>0</v>
      </c>
      <c r="BJ194" s="20" t="s">
        <v>83</v>
      </c>
      <c r="BK194" s="158">
        <f>ROUND(L194*K194,2)</f>
        <v>0</v>
      </c>
      <c r="BL194" s="20" t="s">
        <v>172</v>
      </c>
      <c r="BM194" s="20" t="s">
        <v>255</v>
      </c>
    </row>
    <row r="195" spans="2:65" s="10" customFormat="1" ht="16.5" customHeight="1" x14ac:dyDescent="0.3">
      <c r="B195" s="159"/>
      <c r="C195" s="160"/>
      <c r="D195" s="160"/>
      <c r="E195" s="161" t="s">
        <v>19</v>
      </c>
      <c r="F195" s="267" t="s">
        <v>256</v>
      </c>
      <c r="G195" s="268"/>
      <c r="H195" s="268"/>
      <c r="I195" s="268"/>
      <c r="J195" s="160"/>
      <c r="K195" s="162">
        <v>4</v>
      </c>
      <c r="L195" s="329"/>
      <c r="M195" s="329"/>
      <c r="N195" s="160"/>
      <c r="O195" s="160"/>
      <c r="P195" s="160"/>
      <c r="Q195" s="160"/>
      <c r="R195" s="163"/>
      <c r="T195" s="164"/>
      <c r="U195" s="160"/>
      <c r="V195" s="160"/>
      <c r="W195" s="160"/>
      <c r="X195" s="160"/>
      <c r="Y195" s="160"/>
      <c r="Z195" s="160"/>
      <c r="AA195" s="165"/>
      <c r="AT195" s="166" t="s">
        <v>148</v>
      </c>
      <c r="AU195" s="166" t="s">
        <v>99</v>
      </c>
      <c r="AV195" s="10" t="s">
        <v>99</v>
      </c>
      <c r="AW195" s="10" t="s">
        <v>33</v>
      </c>
      <c r="AX195" s="10" t="s">
        <v>83</v>
      </c>
      <c r="AY195" s="166" t="s">
        <v>140</v>
      </c>
    </row>
    <row r="196" spans="2:65" s="9" customFormat="1" ht="29.85" customHeight="1" x14ac:dyDescent="0.3">
      <c r="B196" s="140"/>
      <c r="C196" s="141"/>
      <c r="D196" s="150" t="s">
        <v>122</v>
      </c>
      <c r="E196" s="150"/>
      <c r="F196" s="150"/>
      <c r="G196" s="150"/>
      <c r="H196" s="150"/>
      <c r="I196" s="150"/>
      <c r="J196" s="150"/>
      <c r="K196" s="150"/>
      <c r="L196" s="332"/>
      <c r="M196" s="332"/>
      <c r="N196" s="269">
        <f>SUM(N197:N199)</f>
        <v>0</v>
      </c>
      <c r="O196" s="270"/>
      <c r="P196" s="270"/>
      <c r="Q196" s="270"/>
      <c r="R196" s="143"/>
      <c r="T196" s="144"/>
      <c r="U196" s="141"/>
      <c r="V196" s="141"/>
      <c r="W196" s="145">
        <f>SUM(W197:W200)</f>
        <v>3.3515999999999999</v>
      </c>
      <c r="X196" s="141"/>
      <c r="Y196" s="145">
        <f>SUM(Y197:Y200)</f>
        <v>0</v>
      </c>
      <c r="Z196" s="141"/>
      <c r="AA196" s="146">
        <f>SUM(AA197:AA200)</f>
        <v>5.5312E-2</v>
      </c>
      <c r="AR196" s="147" t="s">
        <v>99</v>
      </c>
      <c r="AT196" s="148" t="s">
        <v>75</v>
      </c>
      <c r="AU196" s="148" t="s">
        <v>83</v>
      </c>
      <c r="AY196" s="147" t="s">
        <v>140</v>
      </c>
      <c r="BK196" s="149">
        <f>SUM(BK197:BK200)</f>
        <v>0</v>
      </c>
    </row>
    <row r="197" spans="2:65" s="1" customFormat="1" ht="16.5" customHeight="1" x14ac:dyDescent="0.3">
      <c r="B197" s="33"/>
      <c r="C197" s="151">
        <v>33</v>
      </c>
      <c r="D197" s="151" t="s">
        <v>141</v>
      </c>
      <c r="E197" s="152" t="s">
        <v>257</v>
      </c>
      <c r="F197" s="263" t="s">
        <v>258</v>
      </c>
      <c r="G197" s="263"/>
      <c r="H197" s="263"/>
      <c r="I197" s="263"/>
      <c r="J197" s="153" t="s">
        <v>259</v>
      </c>
      <c r="K197" s="154">
        <v>14</v>
      </c>
      <c r="L197" s="328"/>
      <c r="M197" s="328"/>
      <c r="N197" s="264">
        <f>ROUND(L197*K197,2)</f>
        <v>0</v>
      </c>
      <c r="O197" s="264"/>
      <c r="P197" s="264"/>
      <c r="Q197" s="264"/>
      <c r="R197" s="35"/>
      <c r="T197" s="155" t="s">
        <v>19</v>
      </c>
      <c r="U197" s="42" t="s">
        <v>41</v>
      </c>
      <c r="V197" s="156">
        <v>0.189</v>
      </c>
      <c r="W197" s="156">
        <f>V197*K197</f>
        <v>2.6459999999999999</v>
      </c>
      <c r="X197" s="156">
        <v>0</v>
      </c>
      <c r="Y197" s="156">
        <f>X197*K197</f>
        <v>0</v>
      </c>
      <c r="Z197" s="156">
        <v>2.5999999999999999E-3</v>
      </c>
      <c r="AA197" s="157">
        <f>Z197*K197</f>
        <v>3.6400000000000002E-2</v>
      </c>
      <c r="AR197" s="20" t="s">
        <v>172</v>
      </c>
      <c r="AT197" s="20" t="s">
        <v>141</v>
      </c>
      <c r="AU197" s="20" t="s">
        <v>99</v>
      </c>
      <c r="AY197" s="20" t="s">
        <v>140</v>
      </c>
      <c r="BE197" s="158">
        <f>IF(U197="základní",N197,0)</f>
        <v>0</v>
      </c>
      <c r="BF197" s="158">
        <f>IF(U197="snížená",N197,0)</f>
        <v>0</v>
      </c>
      <c r="BG197" s="158">
        <f>IF(U197="zákl. přenesená",N197,0)</f>
        <v>0</v>
      </c>
      <c r="BH197" s="158">
        <f>IF(U197="sníž. přenesená",N197,0)</f>
        <v>0</v>
      </c>
      <c r="BI197" s="158">
        <f>IF(U197="nulová",N197,0)</f>
        <v>0</v>
      </c>
      <c r="BJ197" s="20" t="s">
        <v>83</v>
      </c>
      <c r="BK197" s="158">
        <f>ROUND(L197*K197,2)</f>
        <v>0</v>
      </c>
      <c r="BL197" s="20" t="s">
        <v>172</v>
      </c>
      <c r="BM197" s="20" t="s">
        <v>260</v>
      </c>
    </row>
    <row r="198" spans="2:65" s="10" customFormat="1" ht="16.5" customHeight="1" x14ac:dyDescent="0.3">
      <c r="B198" s="159"/>
      <c r="C198" s="160"/>
      <c r="D198" s="160"/>
      <c r="E198" s="161" t="s">
        <v>19</v>
      </c>
      <c r="F198" s="267" t="s">
        <v>261</v>
      </c>
      <c r="G198" s="268"/>
      <c r="H198" s="268"/>
      <c r="I198" s="268"/>
      <c r="J198" s="160"/>
      <c r="K198" s="162">
        <v>14</v>
      </c>
      <c r="L198" s="329"/>
      <c r="M198" s="329"/>
      <c r="N198" s="160"/>
      <c r="O198" s="160"/>
      <c r="P198" s="160"/>
      <c r="Q198" s="160"/>
      <c r="R198" s="163"/>
      <c r="T198" s="164"/>
      <c r="U198" s="160"/>
      <c r="V198" s="160"/>
      <c r="W198" s="160"/>
      <c r="X198" s="160"/>
      <c r="Y198" s="160"/>
      <c r="Z198" s="160"/>
      <c r="AA198" s="165"/>
      <c r="AT198" s="166" t="s">
        <v>148</v>
      </c>
      <c r="AU198" s="166" t="s">
        <v>99</v>
      </c>
      <c r="AV198" s="10" t="s">
        <v>99</v>
      </c>
      <c r="AW198" s="10" t="s">
        <v>33</v>
      </c>
      <c r="AX198" s="10" t="s">
        <v>83</v>
      </c>
      <c r="AY198" s="166" t="s">
        <v>140</v>
      </c>
    </row>
    <row r="199" spans="2:65" s="1" customFormat="1" ht="16.5" customHeight="1" x14ac:dyDescent="0.3">
      <c r="B199" s="33"/>
      <c r="C199" s="151">
        <v>34</v>
      </c>
      <c r="D199" s="151" t="s">
        <v>141</v>
      </c>
      <c r="E199" s="152" t="s">
        <v>262</v>
      </c>
      <c r="F199" s="263" t="s">
        <v>263</v>
      </c>
      <c r="G199" s="263"/>
      <c r="H199" s="263"/>
      <c r="I199" s="263"/>
      <c r="J199" s="153" t="s">
        <v>259</v>
      </c>
      <c r="K199" s="154">
        <v>4.8</v>
      </c>
      <c r="L199" s="328"/>
      <c r="M199" s="328"/>
      <c r="N199" s="264">
        <f>ROUND(L199*K199,2)</f>
        <v>0</v>
      </c>
      <c r="O199" s="264"/>
      <c r="P199" s="264"/>
      <c r="Q199" s="264"/>
      <c r="R199" s="35"/>
      <c r="T199" s="155" t="s">
        <v>19</v>
      </c>
      <c r="U199" s="42" t="s">
        <v>41</v>
      </c>
      <c r="V199" s="156">
        <v>0.14699999999999999</v>
      </c>
      <c r="W199" s="156">
        <f>V199*K199</f>
        <v>0.70559999999999989</v>
      </c>
      <c r="X199" s="156">
        <v>0</v>
      </c>
      <c r="Y199" s="156">
        <f>X199*K199</f>
        <v>0</v>
      </c>
      <c r="Z199" s="156">
        <v>3.9399999999999999E-3</v>
      </c>
      <c r="AA199" s="157">
        <f>Z199*K199</f>
        <v>1.8911999999999998E-2</v>
      </c>
      <c r="AR199" s="20" t="s">
        <v>172</v>
      </c>
      <c r="AT199" s="20" t="s">
        <v>141</v>
      </c>
      <c r="AU199" s="20" t="s">
        <v>99</v>
      </c>
      <c r="AY199" s="20" t="s">
        <v>140</v>
      </c>
      <c r="BE199" s="158">
        <f>IF(U199="základní",N199,0)</f>
        <v>0</v>
      </c>
      <c r="BF199" s="158">
        <f>IF(U199="snížená",N199,0)</f>
        <v>0</v>
      </c>
      <c r="BG199" s="158">
        <f>IF(U199="zákl. přenesená",N199,0)</f>
        <v>0</v>
      </c>
      <c r="BH199" s="158">
        <f>IF(U199="sníž. přenesená",N199,0)</f>
        <v>0</v>
      </c>
      <c r="BI199" s="158">
        <f>IF(U199="nulová",N199,0)</f>
        <v>0</v>
      </c>
      <c r="BJ199" s="20" t="s">
        <v>83</v>
      </c>
      <c r="BK199" s="158">
        <f>ROUND(L199*K199,2)</f>
        <v>0</v>
      </c>
      <c r="BL199" s="20" t="s">
        <v>172</v>
      </c>
      <c r="BM199" s="20" t="s">
        <v>264</v>
      </c>
    </row>
    <row r="200" spans="2:65" s="10" customFormat="1" ht="16.5" customHeight="1" x14ac:dyDescent="0.3">
      <c r="B200" s="159"/>
      <c r="C200" s="160"/>
      <c r="D200" s="160"/>
      <c r="E200" s="161" t="s">
        <v>19</v>
      </c>
      <c r="F200" s="267" t="s">
        <v>265</v>
      </c>
      <c r="G200" s="268"/>
      <c r="H200" s="268"/>
      <c r="I200" s="268"/>
      <c r="J200" s="160"/>
      <c r="K200" s="162">
        <v>4.8</v>
      </c>
      <c r="L200" s="329"/>
      <c r="M200" s="329"/>
      <c r="N200" s="160"/>
      <c r="O200" s="160"/>
      <c r="P200" s="160"/>
      <c r="Q200" s="160"/>
      <c r="R200" s="163"/>
      <c r="T200" s="164"/>
      <c r="U200" s="160"/>
      <c r="V200" s="160"/>
      <c r="W200" s="160"/>
      <c r="X200" s="160"/>
      <c r="Y200" s="160"/>
      <c r="Z200" s="160"/>
      <c r="AA200" s="165"/>
      <c r="AT200" s="166" t="s">
        <v>148</v>
      </c>
      <c r="AU200" s="166" t="s">
        <v>99</v>
      </c>
      <c r="AV200" s="10" t="s">
        <v>99</v>
      </c>
      <c r="AW200" s="10" t="s">
        <v>33</v>
      </c>
      <c r="AX200" s="10" t="s">
        <v>83</v>
      </c>
      <c r="AY200" s="166" t="s">
        <v>140</v>
      </c>
    </row>
    <row r="201" spans="2:65" s="9" customFormat="1" ht="29.85" customHeight="1" x14ac:dyDescent="0.3">
      <c r="B201" s="140"/>
      <c r="C201" s="141"/>
      <c r="D201" s="150" t="s">
        <v>123</v>
      </c>
      <c r="E201" s="150"/>
      <c r="F201" s="150"/>
      <c r="G201" s="150"/>
      <c r="H201" s="150"/>
      <c r="I201" s="150"/>
      <c r="J201" s="150"/>
      <c r="K201" s="150"/>
      <c r="L201" s="332"/>
      <c r="M201" s="332"/>
      <c r="N201" s="269">
        <f>N202</f>
        <v>0</v>
      </c>
      <c r="O201" s="270"/>
      <c r="P201" s="270"/>
      <c r="Q201" s="270"/>
      <c r="R201" s="143"/>
      <c r="T201" s="144"/>
      <c r="U201" s="141"/>
      <c r="V201" s="141"/>
      <c r="W201" s="145">
        <f>W202</f>
        <v>9.5000000000000001E-2</v>
      </c>
      <c r="X201" s="141"/>
      <c r="Y201" s="145">
        <f>Y202</f>
        <v>0</v>
      </c>
      <c r="Z201" s="141"/>
      <c r="AA201" s="146">
        <f>AA202</f>
        <v>4.2000000000000002E-4</v>
      </c>
      <c r="AR201" s="147" t="s">
        <v>99</v>
      </c>
      <c r="AT201" s="148" t="s">
        <v>75</v>
      </c>
      <c r="AU201" s="148" t="s">
        <v>83</v>
      </c>
      <c r="AY201" s="147" t="s">
        <v>140</v>
      </c>
      <c r="BK201" s="149">
        <f>BK202</f>
        <v>0</v>
      </c>
    </row>
    <row r="202" spans="2:65" s="1" customFormat="1" ht="16.5" customHeight="1" x14ac:dyDescent="0.3">
      <c r="B202" s="33"/>
      <c r="C202" s="151">
        <v>35</v>
      </c>
      <c r="D202" s="151" t="s">
        <v>141</v>
      </c>
      <c r="E202" s="152" t="s">
        <v>266</v>
      </c>
      <c r="F202" s="263" t="s">
        <v>267</v>
      </c>
      <c r="G202" s="263"/>
      <c r="H202" s="263"/>
      <c r="I202" s="263"/>
      <c r="J202" s="153" t="s">
        <v>187</v>
      </c>
      <c r="K202" s="154">
        <v>1</v>
      </c>
      <c r="L202" s="328"/>
      <c r="M202" s="328"/>
      <c r="N202" s="264">
        <f>ROUND(L202*K202,2)</f>
        <v>0</v>
      </c>
      <c r="O202" s="264"/>
      <c r="P202" s="264"/>
      <c r="Q202" s="264"/>
      <c r="R202" s="35"/>
      <c r="T202" s="155" t="s">
        <v>19</v>
      </c>
      <c r="U202" s="42" t="s">
        <v>41</v>
      </c>
      <c r="V202" s="156">
        <v>9.5000000000000001E-2</v>
      </c>
      <c r="W202" s="156">
        <f>V202*K202</f>
        <v>9.5000000000000001E-2</v>
      </c>
      <c r="X202" s="156">
        <v>0</v>
      </c>
      <c r="Y202" s="156">
        <f>X202*K202</f>
        <v>0</v>
      </c>
      <c r="Z202" s="156">
        <v>4.2000000000000002E-4</v>
      </c>
      <c r="AA202" s="157">
        <f>Z202*K202</f>
        <v>4.2000000000000002E-4</v>
      </c>
      <c r="AR202" s="20" t="s">
        <v>172</v>
      </c>
      <c r="AT202" s="20" t="s">
        <v>141</v>
      </c>
      <c r="AU202" s="20" t="s">
        <v>99</v>
      </c>
      <c r="AY202" s="20" t="s">
        <v>140</v>
      </c>
      <c r="BE202" s="158">
        <f>IF(U202="základní",N202,0)</f>
        <v>0</v>
      </c>
      <c r="BF202" s="158">
        <f>IF(U202="snížená",N202,0)</f>
        <v>0</v>
      </c>
      <c r="BG202" s="158">
        <f>IF(U202="zákl. přenesená",N202,0)</f>
        <v>0</v>
      </c>
      <c r="BH202" s="158">
        <f>IF(U202="sníž. přenesená",N202,0)</f>
        <v>0</v>
      </c>
      <c r="BI202" s="158">
        <f>IF(U202="nulová",N202,0)</f>
        <v>0</v>
      </c>
      <c r="BJ202" s="20" t="s">
        <v>83</v>
      </c>
      <c r="BK202" s="158">
        <f>ROUND(L202*K202,2)</f>
        <v>0</v>
      </c>
      <c r="BL202" s="20" t="s">
        <v>172</v>
      </c>
      <c r="BM202" s="20" t="s">
        <v>268</v>
      </c>
    </row>
    <row r="203" spans="2:65" s="9" customFormat="1" ht="29.85" customHeight="1" x14ac:dyDescent="0.3">
      <c r="B203" s="140"/>
      <c r="C203" s="141"/>
      <c r="D203" s="150" t="s">
        <v>124</v>
      </c>
      <c r="E203" s="150"/>
      <c r="F203" s="150"/>
      <c r="G203" s="150"/>
      <c r="H203" s="150"/>
      <c r="I203" s="150"/>
      <c r="J203" s="150"/>
      <c r="K203" s="150"/>
      <c r="L203" s="332"/>
      <c r="M203" s="332"/>
      <c r="N203" s="261">
        <f>N204</f>
        <v>0</v>
      </c>
      <c r="O203" s="262"/>
      <c r="P203" s="262"/>
      <c r="Q203" s="262"/>
      <c r="R203" s="143"/>
      <c r="T203" s="144"/>
      <c r="U203" s="141"/>
      <c r="V203" s="141"/>
      <c r="W203" s="145">
        <f>W204</f>
        <v>0.6</v>
      </c>
      <c r="X203" s="141"/>
      <c r="Y203" s="145">
        <f>Y204</f>
        <v>0</v>
      </c>
      <c r="Z203" s="141"/>
      <c r="AA203" s="146">
        <f>AA204</f>
        <v>1.2999999999999999E-2</v>
      </c>
      <c r="AR203" s="147" t="s">
        <v>99</v>
      </c>
      <c r="AT203" s="148" t="s">
        <v>75</v>
      </c>
      <c r="AU203" s="148" t="s">
        <v>83</v>
      </c>
      <c r="AY203" s="147" t="s">
        <v>140</v>
      </c>
      <c r="BK203" s="149">
        <f>BK204</f>
        <v>0</v>
      </c>
    </row>
    <row r="204" spans="2:65" s="1" customFormat="1" ht="25.5" customHeight="1" x14ac:dyDescent="0.3">
      <c r="B204" s="33"/>
      <c r="C204" s="151">
        <v>36</v>
      </c>
      <c r="D204" s="151" t="s">
        <v>141</v>
      </c>
      <c r="E204" s="152" t="s">
        <v>269</v>
      </c>
      <c r="F204" s="263" t="s">
        <v>270</v>
      </c>
      <c r="G204" s="263"/>
      <c r="H204" s="263"/>
      <c r="I204" s="263"/>
      <c r="J204" s="153" t="s">
        <v>187</v>
      </c>
      <c r="K204" s="154">
        <v>1</v>
      </c>
      <c r="L204" s="328"/>
      <c r="M204" s="328"/>
      <c r="N204" s="264">
        <f>ROUND(L204*K204,2)</f>
        <v>0</v>
      </c>
      <c r="O204" s="264"/>
      <c r="P204" s="264"/>
      <c r="Q204" s="264"/>
      <c r="R204" s="35"/>
      <c r="T204" s="155" t="s">
        <v>19</v>
      </c>
      <c r="U204" s="179" t="s">
        <v>41</v>
      </c>
      <c r="V204" s="180">
        <v>0.6</v>
      </c>
      <c r="W204" s="180">
        <f>V204*K204</f>
        <v>0.6</v>
      </c>
      <c r="X204" s="180">
        <v>0</v>
      </c>
      <c r="Y204" s="180">
        <f>X204*K204</f>
        <v>0</v>
      </c>
      <c r="Z204" s="180">
        <v>1.2999999999999999E-2</v>
      </c>
      <c r="AA204" s="181">
        <f>Z204*K204</f>
        <v>1.2999999999999999E-2</v>
      </c>
      <c r="AR204" s="20" t="s">
        <v>172</v>
      </c>
      <c r="AT204" s="20" t="s">
        <v>141</v>
      </c>
      <c r="AU204" s="20" t="s">
        <v>99</v>
      </c>
      <c r="AY204" s="20" t="s">
        <v>140</v>
      </c>
      <c r="BE204" s="158">
        <f>IF(U204="základní",N204,0)</f>
        <v>0</v>
      </c>
      <c r="BF204" s="158">
        <f>IF(U204="snížená",N204,0)</f>
        <v>0</v>
      </c>
      <c r="BG204" s="158">
        <f>IF(U204="zákl. přenesená",N204,0)</f>
        <v>0</v>
      </c>
      <c r="BH204" s="158">
        <f>IF(U204="sníž. přenesená",N204,0)</f>
        <v>0</v>
      </c>
      <c r="BI204" s="158">
        <f>IF(U204="nulová",N204,0)</f>
        <v>0</v>
      </c>
      <c r="BJ204" s="20" t="s">
        <v>83</v>
      </c>
      <c r="BK204" s="158">
        <f>ROUND(L204*K204,2)</f>
        <v>0</v>
      </c>
      <c r="BL204" s="20" t="s">
        <v>172</v>
      </c>
      <c r="BM204" s="20" t="s">
        <v>271</v>
      </c>
    </row>
    <row r="205" spans="2:65" s="1" customFormat="1" ht="6.95" customHeight="1" x14ac:dyDescent="0.3">
      <c r="B205" s="57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336"/>
      <c r="N205" s="58"/>
      <c r="O205" s="58"/>
      <c r="P205" s="58"/>
      <c r="Q205" s="58"/>
      <c r="R205" s="59"/>
    </row>
  </sheetData>
  <sheetProtection algorithmName="SHA-512" hashValue="fp9SsNbdnRQxM+UzNnvrJMIQvzd11QyCLMcF1KnWHYwvY/4gQju93LHDk3zssTNDNwd2JNXY7p0YLiHN3r0biA==" saltValue="rkbhovD1R3Vj0vetSJ+AeA==" spinCount="100000" sheet="1" objects="1" scenarios="1"/>
  <mergeCells count="182">
    <mergeCell ref="H1:K1"/>
    <mergeCell ref="C2:Q2"/>
    <mergeCell ref="S2:AC2"/>
    <mergeCell ref="C4:Q4"/>
    <mergeCell ref="F6:P6"/>
    <mergeCell ref="F7:P7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N100:Q100"/>
    <mergeCell ref="N101:Q101"/>
    <mergeCell ref="N102:Q102"/>
    <mergeCell ref="N103:Q103"/>
    <mergeCell ref="N105:Q105"/>
    <mergeCell ref="L107:Q107"/>
    <mergeCell ref="N94:Q94"/>
    <mergeCell ref="N95:Q95"/>
    <mergeCell ref="N96:Q96"/>
    <mergeCell ref="N97:Q97"/>
    <mergeCell ref="N98:Q98"/>
    <mergeCell ref="N99:Q99"/>
    <mergeCell ref="F123:I123"/>
    <mergeCell ref="L123:M123"/>
    <mergeCell ref="N123:Q123"/>
    <mergeCell ref="N124:Q124"/>
    <mergeCell ref="N125:Q125"/>
    <mergeCell ref="N126:Q126"/>
    <mergeCell ref="C113:Q113"/>
    <mergeCell ref="F115:P115"/>
    <mergeCell ref="F116:P116"/>
    <mergeCell ref="M118:P118"/>
    <mergeCell ref="M120:Q120"/>
    <mergeCell ref="M121:Q121"/>
    <mergeCell ref="F131:I131"/>
    <mergeCell ref="F132:I132"/>
    <mergeCell ref="N132:Q132"/>
    <mergeCell ref="F133:I133"/>
    <mergeCell ref="F134:I134"/>
    <mergeCell ref="F127:I127"/>
    <mergeCell ref="N127:Q127"/>
    <mergeCell ref="F128:I128"/>
    <mergeCell ref="F129:I129"/>
    <mergeCell ref="F130:I130"/>
    <mergeCell ref="F139:I139"/>
    <mergeCell ref="F140:I140"/>
    <mergeCell ref="F141:I141"/>
    <mergeCell ref="F142:I142"/>
    <mergeCell ref="N142:Q142"/>
    <mergeCell ref="F135:I135"/>
    <mergeCell ref="N135:Q135"/>
    <mergeCell ref="F136:I136"/>
    <mergeCell ref="F137:I137"/>
    <mergeCell ref="F138:I138"/>
    <mergeCell ref="N138:Q138"/>
    <mergeCell ref="N147:Q147"/>
    <mergeCell ref="F148:I148"/>
    <mergeCell ref="N148:Q148"/>
    <mergeCell ref="F149:I149"/>
    <mergeCell ref="N150:Q150"/>
    <mergeCell ref="F143:I143"/>
    <mergeCell ref="F144:I144"/>
    <mergeCell ref="F145:I145"/>
    <mergeCell ref="F146:I146"/>
    <mergeCell ref="N146:Q146"/>
    <mergeCell ref="F156:I156"/>
    <mergeCell ref="N156:Q156"/>
    <mergeCell ref="F151:I151"/>
    <mergeCell ref="N151:Q151"/>
    <mergeCell ref="F152:I152"/>
    <mergeCell ref="N154:Q154"/>
    <mergeCell ref="F155:I155"/>
    <mergeCell ref="N155:Q155"/>
    <mergeCell ref="F153:I153"/>
    <mergeCell ref="N153:Q153"/>
    <mergeCell ref="F162:I162"/>
    <mergeCell ref="N162:Q162"/>
    <mergeCell ref="F160:I160"/>
    <mergeCell ref="F161:I161"/>
    <mergeCell ref="N161:Q161"/>
    <mergeCell ref="N157:Q157"/>
    <mergeCell ref="F158:I158"/>
    <mergeCell ref="N158:Q158"/>
    <mergeCell ref="F159:I159"/>
    <mergeCell ref="N159:Q159"/>
    <mergeCell ref="F167:I167"/>
    <mergeCell ref="N167:Q167"/>
    <mergeCell ref="F168:I168"/>
    <mergeCell ref="N168:Q168"/>
    <mergeCell ref="F163:I163"/>
    <mergeCell ref="N164:Q164"/>
    <mergeCell ref="F165:I165"/>
    <mergeCell ref="N165:Q165"/>
    <mergeCell ref="F166:I166"/>
    <mergeCell ref="N166:Q166"/>
    <mergeCell ref="F173:I173"/>
    <mergeCell ref="N173:Q173"/>
    <mergeCell ref="F174:I174"/>
    <mergeCell ref="N174:Q174"/>
    <mergeCell ref="N169:Q169"/>
    <mergeCell ref="N170:Q170"/>
    <mergeCell ref="F171:I171"/>
    <mergeCell ref="N171:Q171"/>
    <mergeCell ref="F172:I172"/>
    <mergeCell ref="F175:I175"/>
    <mergeCell ref="F178:I178"/>
    <mergeCell ref="N178:Q178"/>
    <mergeCell ref="F179:I179"/>
    <mergeCell ref="N188:Q188"/>
    <mergeCell ref="F182:I182"/>
    <mergeCell ref="N182:Q182"/>
    <mergeCell ref="F181:I181"/>
    <mergeCell ref="F186:I186"/>
    <mergeCell ref="N186:Q186"/>
    <mergeCell ref="F187:I187"/>
    <mergeCell ref="F183:I183"/>
    <mergeCell ref="F177:I177"/>
    <mergeCell ref="N184:Q184"/>
    <mergeCell ref="F185:I185"/>
    <mergeCell ref="N185:Q185"/>
    <mergeCell ref="F192:I192"/>
    <mergeCell ref="N192:Q192"/>
    <mergeCell ref="N193:Q193"/>
    <mergeCell ref="F194:I194"/>
    <mergeCell ref="N194:Q194"/>
    <mergeCell ref="F189:I189"/>
    <mergeCell ref="N189:Q189"/>
    <mergeCell ref="N190:Q190"/>
    <mergeCell ref="F191:I191"/>
    <mergeCell ref="N191:Q191"/>
    <mergeCell ref="N203:Q203"/>
    <mergeCell ref="F204:I204"/>
    <mergeCell ref="N204:Q204"/>
    <mergeCell ref="F176:I176"/>
    <mergeCell ref="N176:Q176"/>
    <mergeCell ref="F180:I180"/>
    <mergeCell ref="N180:Q180"/>
    <mergeCell ref="F199:I199"/>
    <mergeCell ref="N199:Q199"/>
    <mergeCell ref="F200:I200"/>
    <mergeCell ref="N201:Q201"/>
    <mergeCell ref="F202:I202"/>
    <mergeCell ref="N202:Q202"/>
    <mergeCell ref="F195:I195"/>
    <mergeCell ref="N196:Q196"/>
    <mergeCell ref="F197:I197"/>
    <mergeCell ref="N197:Q197"/>
    <mergeCell ref="F198:I198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9"/>
  <sheetViews>
    <sheetView topLeftCell="A111" workbookViewId="0">
      <selection activeCell="F124" sqref="F124:I1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94</v>
      </c>
      <c r="G1" s="15"/>
      <c r="H1" s="304" t="s">
        <v>95</v>
      </c>
      <c r="I1" s="304"/>
      <c r="J1" s="304"/>
      <c r="K1" s="304"/>
      <c r="L1" s="15" t="s">
        <v>96</v>
      </c>
      <c r="M1" s="13"/>
      <c r="N1" s="13"/>
      <c r="O1" s="14" t="s">
        <v>97</v>
      </c>
      <c r="P1" s="13"/>
      <c r="Q1" s="13"/>
      <c r="R1" s="13"/>
      <c r="S1" s="15" t="s">
        <v>98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0" t="s">
        <v>86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 x14ac:dyDescent="0.3">
      <c r="B4" s="24"/>
      <c r="C4" s="246" t="s">
        <v>100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90" t="e">
        <f>#REF!</f>
        <v>#REF!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6"/>
      <c r="R6" s="25"/>
    </row>
    <row r="7" spans="1:66" s="1" customFormat="1" ht="32.85" customHeight="1" x14ac:dyDescent="0.3">
      <c r="B7" s="33"/>
      <c r="C7" s="34"/>
      <c r="D7" s="29" t="s">
        <v>101</v>
      </c>
      <c r="E7" s="34"/>
      <c r="F7" s="260" t="s">
        <v>287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92" t="e">
        <f>#REF!</f>
        <v>#REF!</v>
      </c>
      <c r="P9" s="292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59" t="s">
        <v>19</v>
      </c>
      <c r="P11" s="259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59" t="s">
        <v>19</v>
      </c>
      <c r="P12" s="259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59" t="s">
        <v>19</v>
      </c>
      <c r="P14" s="259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59" t="s">
        <v>19</v>
      </c>
      <c r="P15" s="259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59" t="s">
        <v>19</v>
      </c>
      <c r="P17" s="259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59" t="s">
        <v>19</v>
      </c>
      <c r="P18" s="259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59" t="s">
        <v>19</v>
      </c>
      <c r="P20" s="259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59" t="s">
        <v>19</v>
      </c>
      <c r="P21" s="259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54" t="s">
        <v>19</v>
      </c>
      <c r="F24" s="254"/>
      <c r="G24" s="254"/>
      <c r="H24" s="254"/>
      <c r="I24" s="254"/>
      <c r="J24" s="254"/>
      <c r="K24" s="254"/>
      <c r="L24" s="254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103</v>
      </c>
      <c r="E27" s="34"/>
      <c r="F27" s="34"/>
      <c r="G27" s="34"/>
      <c r="H27" s="34"/>
      <c r="I27" s="34"/>
      <c r="J27" s="34"/>
      <c r="K27" s="34"/>
      <c r="L27" s="34"/>
      <c r="M27" s="250">
        <f>N88</f>
        <v>0</v>
      </c>
      <c r="N27" s="250"/>
      <c r="O27" s="250"/>
      <c r="P27" s="250"/>
      <c r="Q27" s="34"/>
      <c r="R27" s="35"/>
    </row>
    <row r="28" spans="2:18" s="1" customFormat="1" ht="14.45" customHeight="1" x14ac:dyDescent="0.3">
      <c r="B28" s="33"/>
      <c r="C28" s="34"/>
      <c r="D28" s="32" t="s">
        <v>104</v>
      </c>
      <c r="E28" s="34"/>
      <c r="F28" s="34"/>
      <c r="G28" s="34"/>
      <c r="H28" s="34"/>
      <c r="I28" s="34"/>
      <c r="J28" s="34"/>
      <c r="K28" s="34"/>
      <c r="L28" s="34"/>
      <c r="M28" s="250">
        <f>N102</f>
        <v>0</v>
      </c>
      <c r="N28" s="250"/>
      <c r="O28" s="250"/>
      <c r="P28" s="250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39</v>
      </c>
      <c r="E30" s="34"/>
      <c r="F30" s="34"/>
      <c r="G30" s="34"/>
      <c r="H30" s="34"/>
      <c r="I30" s="34"/>
      <c r="J30" s="34"/>
      <c r="K30" s="34"/>
      <c r="L30" s="34"/>
      <c r="M30" s="303">
        <f>ROUND(M27+M28,2)</f>
        <v>0</v>
      </c>
      <c r="N30" s="289"/>
      <c r="O30" s="289"/>
      <c r="P30" s="289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40</v>
      </c>
      <c r="E32" s="40" t="s">
        <v>41</v>
      </c>
      <c r="F32" s="41">
        <v>0.21</v>
      </c>
      <c r="G32" s="112" t="s">
        <v>42</v>
      </c>
      <c r="H32" s="300">
        <f>ROUND((SUM(BE102:BE103)+SUM(BE121:BE198)), 2)</f>
        <v>0</v>
      </c>
      <c r="I32" s="289"/>
      <c r="J32" s="289"/>
      <c r="K32" s="34"/>
      <c r="L32" s="34"/>
      <c r="M32" s="300">
        <f>ROUND(ROUND((SUM(BE102:BE103)+SUM(BE121:BE198)), 2)*F32, 2)</f>
        <v>0</v>
      </c>
      <c r="N32" s="289"/>
      <c r="O32" s="289"/>
      <c r="P32" s="289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43</v>
      </c>
      <c r="F33" s="41">
        <v>0.15</v>
      </c>
      <c r="G33" s="112" t="s">
        <v>42</v>
      </c>
      <c r="H33" s="300">
        <f>ROUND((SUM(BF102:BF103)+SUM(BF121:BF198)), 2)</f>
        <v>0</v>
      </c>
      <c r="I33" s="289"/>
      <c r="J33" s="289"/>
      <c r="K33" s="34"/>
      <c r="L33" s="34"/>
      <c r="M33" s="300">
        <f>ROUND(ROUND((SUM(BF102:BF103)+SUM(BF121:BF198)), 2)*F33, 2)</f>
        <v>0</v>
      </c>
      <c r="N33" s="289"/>
      <c r="O33" s="289"/>
      <c r="P33" s="289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44</v>
      </c>
      <c r="F34" s="41">
        <v>0.21</v>
      </c>
      <c r="G34" s="112" t="s">
        <v>42</v>
      </c>
      <c r="H34" s="300">
        <f>ROUND((SUM(BG102:BG103)+SUM(BG121:BG198)), 2)</f>
        <v>0</v>
      </c>
      <c r="I34" s="289"/>
      <c r="J34" s="289"/>
      <c r="K34" s="34"/>
      <c r="L34" s="34"/>
      <c r="M34" s="300">
        <v>0</v>
      </c>
      <c r="N34" s="289"/>
      <c r="O34" s="289"/>
      <c r="P34" s="289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45</v>
      </c>
      <c r="F35" s="41">
        <v>0.15</v>
      </c>
      <c r="G35" s="112" t="s">
        <v>42</v>
      </c>
      <c r="H35" s="300">
        <f>ROUND((SUM(BH102:BH103)+SUM(BH121:BH198)), 2)</f>
        <v>0</v>
      </c>
      <c r="I35" s="289"/>
      <c r="J35" s="289"/>
      <c r="K35" s="34"/>
      <c r="L35" s="34"/>
      <c r="M35" s="300">
        <v>0</v>
      </c>
      <c r="N35" s="289"/>
      <c r="O35" s="289"/>
      <c r="P35" s="289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46</v>
      </c>
      <c r="F36" s="41">
        <v>0</v>
      </c>
      <c r="G36" s="112" t="s">
        <v>42</v>
      </c>
      <c r="H36" s="300">
        <f>ROUND((SUM(BI102:BI103)+SUM(BI121:BI198)), 2)</f>
        <v>0</v>
      </c>
      <c r="I36" s="289"/>
      <c r="J36" s="289"/>
      <c r="K36" s="34"/>
      <c r="L36" s="34"/>
      <c r="M36" s="300">
        <v>0</v>
      </c>
      <c r="N36" s="289"/>
      <c r="O36" s="289"/>
      <c r="P36" s="289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47</v>
      </c>
      <c r="E38" s="77"/>
      <c r="F38" s="77"/>
      <c r="G38" s="114" t="s">
        <v>48</v>
      </c>
      <c r="H38" s="115" t="s">
        <v>49</v>
      </c>
      <c r="I38" s="77"/>
      <c r="J38" s="77"/>
      <c r="K38" s="77"/>
      <c r="L38" s="301">
        <f>SUM(M30:M36)</f>
        <v>0</v>
      </c>
      <c r="M38" s="301"/>
      <c r="N38" s="301"/>
      <c r="O38" s="301"/>
      <c r="P38" s="302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50</v>
      </c>
      <c r="E50" s="49"/>
      <c r="F50" s="49"/>
      <c r="G50" s="49"/>
      <c r="H50" s="50"/>
      <c r="I50" s="34"/>
      <c r="J50" s="48" t="s">
        <v>51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52</v>
      </c>
      <c r="E59" s="54"/>
      <c r="F59" s="54"/>
      <c r="G59" s="55" t="s">
        <v>53</v>
      </c>
      <c r="H59" s="56"/>
      <c r="I59" s="34"/>
      <c r="J59" s="53" t="s">
        <v>52</v>
      </c>
      <c r="K59" s="54"/>
      <c r="L59" s="54"/>
      <c r="M59" s="54"/>
      <c r="N59" s="55" t="s">
        <v>53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54</v>
      </c>
      <c r="E61" s="49"/>
      <c r="F61" s="49"/>
      <c r="G61" s="49"/>
      <c r="H61" s="50"/>
      <c r="I61" s="34"/>
      <c r="J61" s="48" t="s">
        <v>55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52</v>
      </c>
      <c r="E70" s="54"/>
      <c r="F70" s="54"/>
      <c r="G70" s="55" t="s">
        <v>53</v>
      </c>
      <c r="H70" s="56"/>
      <c r="I70" s="34"/>
      <c r="J70" s="53" t="s">
        <v>52</v>
      </c>
      <c r="K70" s="54"/>
      <c r="L70" s="54"/>
      <c r="M70" s="54"/>
      <c r="N70" s="55" t="s">
        <v>53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6" t="s">
        <v>105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30" t="s">
        <v>17</v>
      </c>
      <c r="D78" s="34"/>
      <c r="E78" s="34"/>
      <c r="F78" s="290" t="e">
        <f>F6</f>
        <v>#REF!</v>
      </c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101</v>
      </c>
      <c r="D79" s="34"/>
      <c r="E79" s="34"/>
      <c r="F79" s="248" t="str">
        <f>F7</f>
        <v>2017082-NĚMČICE - NĚMČICE-LIKVIDACE ZDROJE A ČS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92" t="e">
        <f>IF(O9="","",O9)</f>
        <v>#REF!</v>
      </c>
      <c r="N81" s="292"/>
      <c r="O81" s="292"/>
      <c r="P81" s="292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59" t="str">
        <f>E18</f>
        <v>ING.EVŽEN KOZÁK S.R.O.</v>
      </c>
      <c r="N83" s="259"/>
      <c r="O83" s="259"/>
      <c r="P83" s="259"/>
      <c r="Q83" s="259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59" t="str">
        <f>E21</f>
        <v>ING.EVŽEN KOZÁK</v>
      </c>
      <c r="N84" s="259"/>
      <c r="O84" s="259"/>
      <c r="P84" s="259"/>
      <c r="Q84" s="259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8" t="s">
        <v>106</v>
      </c>
      <c r="D86" s="299"/>
      <c r="E86" s="299"/>
      <c r="F86" s="299"/>
      <c r="G86" s="299"/>
      <c r="H86" s="108"/>
      <c r="I86" s="108"/>
      <c r="J86" s="108"/>
      <c r="K86" s="108"/>
      <c r="L86" s="108"/>
      <c r="M86" s="108"/>
      <c r="N86" s="298" t="s">
        <v>107</v>
      </c>
      <c r="O86" s="299"/>
      <c r="P86" s="299"/>
      <c r="Q86" s="299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108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26">
        <f>N121</f>
        <v>0</v>
      </c>
      <c r="O88" s="295"/>
      <c r="P88" s="295"/>
      <c r="Q88" s="295"/>
      <c r="R88" s="35"/>
      <c r="T88" s="119"/>
      <c r="U88" s="119"/>
      <c r="AU88" s="20" t="s">
        <v>109</v>
      </c>
    </row>
    <row r="89" spans="2:47" s="6" customFormat="1" ht="24.95" customHeight="1" x14ac:dyDescent="0.3">
      <c r="B89" s="121"/>
      <c r="C89" s="122"/>
      <c r="D89" s="123" t="s">
        <v>110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8">
        <f>N122</f>
        <v>0</v>
      </c>
      <c r="O89" s="297"/>
      <c r="P89" s="297"/>
      <c r="Q89" s="297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111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93">
        <f>N123</f>
        <v>0</v>
      </c>
      <c r="O90" s="294"/>
      <c r="P90" s="294"/>
      <c r="Q90" s="294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112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93">
        <f>N152</f>
        <v>0</v>
      </c>
      <c r="O91" s="294"/>
      <c r="P91" s="294"/>
      <c r="Q91" s="294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113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93">
        <f>N157</f>
        <v>0</v>
      </c>
      <c r="O92" s="294"/>
      <c r="P92" s="294"/>
      <c r="Q92" s="294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115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93">
        <f>N162</f>
        <v>0</v>
      </c>
      <c r="O93" s="294"/>
      <c r="P93" s="294"/>
      <c r="Q93" s="294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116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93">
        <f>N179</f>
        <v>0</v>
      </c>
      <c r="O94" s="294"/>
      <c r="P94" s="294"/>
      <c r="Q94" s="294"/>
      <c r="R94" s="129"/>
      <c r="T94" s="130"/>
      <c r="U94" s="130"/>
    </row>
    <row r="95" spans="2:47" s="6" customFormat="1" ht="24.95" customHeight="1" x14ac:dyDescent="0.3">
      <c r="B95" s="121"/>
      <c r="C95" s="122"/>
      <c r="D95" s="123" t="s">
        <v>117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88">
        <f>N184</f>
        <v>0</v>
      </c>
      <c r="O95" s="297"/>
      <c r="P95" s="297"/>
      <c r="Q95" s="297"/>
      <c r="R95" s="124"/>
      <c r="T95" s="125"/>
      <c r="U95" s="125"/>
    </row>
    <row r="96" spans="2:47" s="7" customFormat="1" ht="19.899999999999999" customHeight="1" x14ac:dyDescent="0.3">
      <c r="B96" s="126"/>
      <c r="C96" s="127"/>
      <c r="D96" s="128" t="s">
        <v>272</v>
      </c>
      <c r="E96" s="127"/>
      <c r="F96" s="127"/>
      <c r="G96" s="127"/>
      <c r="H96" s="127"/>
      <c r="I96" s="127"/>
      <c r="J96" s="127"/>
      <c r="K96" s="127"/>
      <c r="L96" s="127"/>
      <c r="M96" s="127"/>
      <c r="N96" s="293">
        <f>N185</f>
        <v>0</v>
      </c>
      <c r="O96" s="294"/>
      <c r="P96" s="294"/>
      <c r="Q96" s="294"/>
      <c r="R96" s="129"/>
      <c r="T96" s="130"/>
      <c r="U96" s="130"/>
    </row>
    <row r="97" spans="2:21" s="7" customFormat="1" ht="19.899999999999999" customHeight="1" x14ac:dyDescent="0.3">
      <c r="B97" s="126"/>
      <c r="C97" s="127"/>
      <c r="D97" s="128" t="s">
        <v>122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93">
        <f>N187</f>
        <v>0</v>
      </c>
      <c r="O97" s="294"/>
      <c r="P97" s="294"/>
      <c r="Q97" s="294"/>
      <c r="R97" s="129"/>
      <c r="T97" s="130"/>
      <c r="U97" s="130"/>
    </row>
    <row r="98" spans="2:21" s="7" customFormat="1" ht="19.899999999999999" customHeight="1" x14ac:dyDescent="0.3">
      <c r="B98" s="126"/>
      <c r="C98" s="127"/>
      <c r="D98" s="128" t="s">
        <v>123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93">
        <f>N192</f>
        <v>0</v>
      </c>
      <c r="O98" s="294"/>
      <c r="P98" s="294"/>
      <c r="Q98" s="294"/>
      <c r="R98" s="129"/>
      <c r="T98" s="130"/>
      <c r="U98" s="130"/>
    </row>
    <row r="99" spans="2:21" s="7" customFormat="1" ht="19.899999999999999" customHeight="1" x14ac:dyDescent="0.3">
      <c r="B99" s="126"/>
      <c r="C99" s="127"/>
      <c r="D99" s="128" t="s">
        <v>124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93">
        <f>N194</f>
        <v>0</v>
      </c>
      <c r="O99" s="294"/>
      <c r="P99" s="294"/>
      <c r="Q99" s="294"/>
      <c r="R99" s="129"/>
      <c r="T99" s="130"/>
      <c r="U99" s="130"/>
    </row>
    <row r="100" spans="2:21" s="7" customFormat="1" ht="19.899999999999999" customHeight="1" x14ac:dyDescent="0.3">
      <c r="B100" s="126"/>
      <c r="C100" s="127"/>
      <c r="D100" s="128" t="s">
        <v>288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93">
        <f>N196</f>
        <v>0</v>
      </c>
      <c r="O100" s="294"/>
      <c r="P100" s="294"/>
      <c r="Q100" s="294"/>
      <c r="R100" s="129"/>
      <c r="T100" s="130"/>
      <c r="U100" s="130"/>
    </row>
    <row r="101" spans="2:21" s="1" customFormat="1" ht="21.75" customHeight="1" x14ac:dyDescent="0.3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  <c r="T101" s="119"/>
      <c r="U101" s="119"/>
    </row>
    <row r="102" spans="2:21" s="1" customFormat="1" ht="29.25" customHeight="1" x14ac:dyDescent="0.3">
      <c r="B102" s="33"/>
      <c r="C102" s="120" t="s">
        <v>125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295">
        <v>0</v>
      </c>
      <c r="O102" s="296"/>
      <c r="P102" s="296"/>
      <c r="Q102" s="296"/>
      <c r="R102" s="35"/>
      <c r="T102" s="131"/>
      <c r="U102" s="132" t="s">
        <v>40</v>
      </c>
    </row>
    <row r="103" spans="2:21" s="1" customFormat="1" ht="18" customHeight="1" x14ac:dyDescent="0.3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  <c r="T103" s="119"/>
      <c r="U103" s="119"/>
    </row>
    <row r="104" spans="2:21" s="1" customFormat="1" ht="29.25" customHeight="1" x14ac:dyDescent="0.3">
      <c r="B104" s="33"/>
      <c r="C104" s="107" t="s">
        <v>93</v>
      </c>
      <c r="D104" s="108"/>
      <c r="E104" s="108"/>
      <c r="F104" s="108"/>
      <c r="G104" s="108"/>
      <c r="H104" s="108"/>
      <c r="I104" s="108"/>
      <c r="J104" s="108"/>
      <c r="K104" s="108"/>
      <c r="L104" s="222">
        <f>ROUND(SUM(N88+N102),2)</f>
        <v>0</v>
      </c>
      <c r="M104" s="222"/>
      <c r="N104" s="222"/>
      <c r="O104" s="222"/>
      <c r="P104" s="222"/>
      <c r="Q104" s="222"/>
      <c r="R104" s="35"/>
      <c r="T104" s="119"/>
      <c r="U104" s="119"/>
    </row>
    <row r="105" spans="2:21" s="1" customFormat="1" ht="6.95" customHeight="1" x14ac:dyDescent="0.3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  <c r="T105" s="119"/>
      <c r="U105" s="119"/>
    </row>
    <row r="109" spans="2:21" s="1" customFormat="1" ht="6.95" customHeight="1" x14ac:dyDescent="0.3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</row>
    <row r="110" spans="2:21" s="1" customFormat="1" ht="36.950000000000003" customHeight="1" x14ac:dyDescent="0.3">
      <c r="B110" s="33"/>
      <c r="C110" s="246" t="s">
        <v>126</v>
      </c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35"/>
    </row>
    <row r="111" spans="2:21" s="1" customFormat="1" ht="6.95" customHeight="1" x14ac:dyDescent="0.3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21" s="1" customFormat="1" ht="30" customHeight="1" x14ac:dyDescent="0.3">
      <c r="B112" s="33"/>
      <c r="C112" s="30" t="s">
        <v>17</v>
      </c>
      <c r="D112" s="34"/>
      <c r="E112" s="34"/>
      <c r="F112" s="290" t="e">
        <f>F6</f>
        <v>#REF!</v>
      </c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34"/>
      <c r="R112" s="35"/>
    </row>
    <row r="113" spans="2:65" s="1" customFormat="1" ht="36.950000000000003" customHeight="1" x14ac:dyDescent="0.3">
      <c r="B113" s="33"/>
      <c r="C113" s="67" t="s">
        <v>101</v>
      </c>
      <c r="D113" s="34"/>
      <c r="E113" s="34"/>
      <c r="F113" s="248" t="str">
        <f>F7</f>
        <v>2017082-NĚMČICE - NĚMČICE-LIKVIDACE ZDROJE A ČS</v>
      </c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34"/>
      <c r="R113" s="35"/>
    </row>
    <row r="114" spans="2:65" s="1" customFormat="1" ht="6.95" customHeight="1" x14ac:dyDescent="0.3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18" customHeight="1" x14ac:dyDescent="0.3">
      <c r="B115" s="33"/>
      <c r="C115" s="30" t="s">
        <v>21</v>
      </c>
      <c r="D115" s="34"/>
      <c r="E115" s="34"/>
      <c r="F115" s="28" t="str">
        <f>F9</f>
        <v xml:space="preserve"> </v>
      </c>
      <c r="G115" s="34"/>
      <c r="H115" s="34"/>
      <c r="I115" s="34"/>
      <c r="J115" s="34"/>
      <c r="K115" s="30" t="s">
        <v>23</v>
      </c>
      <c r="L115" s="34"/>
      <c r="M115" s="292" t="e">
        <f>IF(O9="","",O9)</f>
        <v>#REF!</v>
      </c>
      <c r="N115" s="292"/>
      <c r="O115" s="292"/>
      <c r="P115" s="292"/>
      <c r="Q115" s="34"/>
      <c r="R115" s="35"/>
    </row>
    <row r="116" spans="2:65" s="1" customFormat="1" ht="6.95" customHeight="1" x14ac:dyDescent="0.3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5" x14ac:dyDescent="0.3">
      <c r="B117" s="33"/>
      <c r="C117" s="30" t="s">
        <v>25</v>
      </c>
      <c r="D117" s="34"/>
      <c r="E117" s="34"/>
      <c r="F117" s="28" t="str">
        <f>E12</f>
        <v>VODOVODY A KANALIZACE MLADÁ BOLESLAV A.S.</v>
      </c>
      <c r="G117" s="34"/>
      <c r="H117" s="34"/>
      <c r="I117" s="34"/>
      <c r="J117" s="34"/>
      <c r="K117" s="30" t="s">
        <v>31</v>
      </c>
      <c r="L117" s="34"/>
      <c r="M117" s="259" t="str">
        <f>E18</f>
        <v>ING.EVŽEN KOZÁK S.R.O.</v>
      </c>
      <c r="N117" s="259"/>
      <c r="O117" s="259"/>
      <c r="P117" s="259"/>
      <c r="Q117" s="259"/>
      <c r="R117" s="35"/>
    </row>
    <row r="118" spans="2:65" s="1" customFormat="1" ht="14.45" customHeight="1" x14ac:dyDescent="0.3">
      <c r="B118" s="33"/>
      <c r="C118" s="30" t="s">
        <v>29</v>
      </c>
      <c r="D118" s="34"/>
      <c r="E118" s="34"/>
      <c r="F118" s="28" t="str">
        <f>IF(E15="","",E15)</f>
        <v>DLE VÝBĚROVÉHO ŘÍZENÍ</v>
      </c>
      <c r="G118" s="34"/>
      <c r="H118" s="34"/>
      <c r="I118" s="34"/>
      <c r="J118" s="34"/>
      <c r="K118" s="30" t="s">
        <v>34</v>
      </c>
      <c r="L118" s="34"/>
      <c r="M118" s="259" t="str">
        <f>E21</f>
        <v>ING.EVŽEN KOZÁK</v>
      </c>
      <c r="N118" s="259"/>
      <c r="O118" s="259"/>
      <c r="P118" s="259"/>
      <c r="Q118" s="259"/>
      <c r="R118" s="35"/>
    </row>
    <row r="119" spans="2:65" s="1" customFormat="1" ht="10.35" customHeight="1" x14ac:dyDescent="0.3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</row>
    <row r="120" spans="2:65" s="8" customFormat="1" ht="29.25" customHeight="1" x14ac:dyDescent="0.3">
      <c r="B120" s="133"/>
      <c r="C120" s="134" t="s">
        <v>127</v>
      </c>
      <c r="D120" s="135" t="s">
        <v>128</v>
      </c>
      <c r="E120" s="135" t="s">
        <v>58</v>
      </c>
      <c r="F120" s="283" t="s">
        <v>129</v>
      </c>
      <c r="G120" s="283"/>
      <c r="H120" s="283"/>
      <c r="I120" s="283"/>
      <c r="J120" s="135" t="s">
        <v>130</v>
      </c>
      <c r="K120" s="135" t="s">
        <v>131</v>
      </c>
      <c r="L120" s="283" t="s">
        <v>132</v>
      </c>
      <c r="M120" s="283"/>
      <c r="N120" s="283" t="s">
        <v>107</v>
      </c>
      <c r="O120" s="283"/>
      <c r="P120" s="283"/>
      <c r="Q120" s="284"/>
      <c r="R120" s="136"/>
      <c r="T120" s="78" t="s">
        <v>133</v>
      </c>
      <c r="U120" s="79" t="s">
        <v>40</v>
      </c>
      <c r="V120" s="79" t="s">
        <v>134</v>
      </c>
      <c r="W120" s="79" t="s">
        <v>135</v>
      </c>
      <c r="X120" s="79" t="s">
        <v>136</v>
      </c>
      <c r="Y120" s="79" t="s">
        <v>137</v>
      </c>
      <c r="Z120" s="79" t="s">
        <v>138</v>
      </c>
      <c r="AA120" s="80" t="s">
        <v>139</v>
      </c>
    </row>
    <row r="121" spans="2:65" s="1" customFormat="1" ht="29.25" customHeight="1" x14ac:dyDescent="0.35">
      <c r="B121" s="33"/>
      <c r="C121" s="82" t="s">
        <v>103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285">
        <f>N122+N184</f>
        <v>0</v>
      </c>
      <c r="O121" s="286"/>
      <c r="P121" s="286"/>
      <c r="Q121" s="286"/>
      <c r="R121" s="35"/>
      <c r="T121" s="81"/>
      <c r="U121" s="49"/>
      <c r="V121" s="49"/>
      <c r="W121" s="137">
        <f>W122+W184</f>
        <v>420.10617500000001</v>
      </c>
      <c r="X121" s="49"/>
      <c r="Y121" s="137">
        <f>Y122+Y184</f>
        <v>7.0747525799999993</v>
      </c>
      <c r="Z121" s="49"/>
      <c r="AA121" s="138">
        <f>AA122+AA184</f>
        <v>113.37390599999999</v>
      </c>
      <c r="AT121" s="20" t="s">
        <v>75</v>
      </c>
      <c r="AU121" s="20" t="s">
        <v>109</v>
      </c>
      <c r="BK121" s="139">
        <f>BK122+BK184</f>
        <v>0</v>
      </c>
    </row>
    <row r="122" spans="2:65" s="9" customFormat="1" ht="37.35" customHeight="1" x14ac:dyDescent="0.35">
      <c r="B122" s="140"/>
      <c r="C122" s="141"/>
      <c r="D122" s="142" t="s">
        <v>110</v>
      </c>
      <c r="E122" s="142"/>
      <c r="F122" s="142"/>
      <c r="G122" s="142"/>
      <c r="H122" s="142"/>
      <c r="I122" s="142"/>
      <c r="J122" s="142"/>
      <c r="K122" s="142"/>
      <c r="L122" s="142"/>
      <c r="M122" s="142"/>
      <c r="N122" s="287">
        <f>N123+N152+N157+N162+N179</f>
        <v>0</v>
      </c>
      <c r="O122" s="288"/>
      <c r="P122" s="288"/>
      <c r="Q122" s="288"/>
      <c r="R122" s="143"/>
      <c r="T122" s="144"/>
      <c r="U122" s="141"/>
      <c r="V122" s="141"/>
      <c r="W122" s="145">
        <f>W123+W152+W157+W162+W179</f>
        <v>414.23797500000001</v>
      </c>
      <c r="X122" s="141"/>
      <c r="Y122" s="145">
        <f>Y123+Y152+Y157+Y162+Y179</f>
        <v>7.0747525799999993</v>
      </c>
      <c r="Z122" s="141"/>
      <c r="AA122" s="146">
        <f>AA123+AA152+AA157+AA162+AA179</f>
        <v>113.25102999999999</v>
      </c>
      <c r="AR122" s="147" t="s">
        <v>83</v>
      </c>
      <c r="AT122" s="148" t="s">
        <v>75</v>
      </c>
      <c r="AU122" s="148" t="s">
        <v>76</v>
      </c>
      <c r="AY122" s="147" t="s">
        <v>140</v>
      </c>
      <c r="BK122" s="149">
        <f>BK123+BK152+BK157+BK162+BK179</f>
        <v>0</v>
      </c>
    </row>
    <row r="123" spans="2:65" s="9" customFormat="1" ht="19.899999999999999" customHeight="1" x14ac:dyDescent="0.3">
      <c r="B123" s="140"/>
      <c r="C123" s="141"/>
      <c r="D123" s="150" t="s">
        <v>111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269">
        <f>SUM(N124:N151)</f>
        <v>0</v>
      </c>
      <c r="O123" s="270"/>
      <c r="P123" s="270"/>
      <c r="Q123" s="270"/>
      <c r="R123" s="143"/>
      <c r="T123" s="144"/>
      <c r="U123" s="141"/>
      <c r="V123" s="141"/>
      <c r="W123" s="145">
        <f>SUM(W126:W151)</f>
        <v>50.362540000000003</v>
      </c>
      <c r="X123" s="141"/>
      <c r="Y123" s="145">
        <f>SUM(Y126:Y151)</f>
        <v>6.5399999999999991</v>
      </c>
      <c r="Z123" s="141"/>
      <c r="AA123" s="146">
        <f>SUM(AA126:AA151)</f>
        <v>0</v>
      </c>
      <c r="AR123" s="147" t="s">
        <v>83</v>
      </c>
      <c r="AT123" s="148" t="s">
        <v>75</v>
      </c>
      <c r="AU123" s="148" t="s">
        <v>83</v>
      </c>
      <c r="AY123" s="147" t="s">
        <v>140</v>
      </c>
      <c r="BK123" s="149">
        <f>SUM(BK126:BK151)</f>
        <v>0</v>
      </c>
    </row>
    <row r="124" spans="2:65" s="9" customFormat="1" ht="34.5" customHeight="1" x14ac:dyDescent="0.3">
      <c r="B124" s="140"/>
      <c r="C124" s="206">
        <f>C122+1</f>
        <v>1</v>
      </c>
      <c r="D124" s="150"/>
      <c r="E124" s="128">
        <v>132101101</v>
      </c>
      <c r="F124" s="309" t="s">
        <v>521</v>
      </c>
      <c r="G124" s="309"/>
      <c r="H124" s="309"/>
      <c r="I124" s="309"/>
      <c r="J124" s="150" t="s">
        <v>144</v>
      </c>
      <c r="K124" s="207">
        <f>K125</f>
        <v>19.295999999999996</v>
      </c>
      <c r="L124" s="332"/>
      <c r="M124" s="150"/>
      <c r="N124" s="264">
        <f>ROUND(L124*K124,2)</f>
        <v>0</v>
      </c>
      <c r="O124" s="264"/>
      <c r="P124" s="264"/>
      <c r="Q124" s="264"/>
      <c r="R124" s="143"/>
      <c r="T124" s="144"/>
      <c r="U124" s="141"/>
      <c r="V124" s="141"/>
      <c r="W124" s="145"/>
      <c r="X124" s="141"/>
      <c r="Y124" s="145"/>
      <c r="Z124" s="141"/>
      <c r="AA124" s="146"/>
      <c r="AR124" s="147"/>
      <c r="AT124" s="148"/>
      <c r="AU124" s="148"/>
      <c r="AY124" s="147"/>
      <c r="BK124" s="149"/>
    </row>
    <row r="125" spans="2:65" s="9" customFormat="1" ht="19.899999999999999" customHeight="1" x14ac:dyDescent="0.3">
      <c r="B125" s="140"/>
      <c r="C125" s="206"/>
      <c r="D125" s="150"/>
      <c r="E125" s="128"/>
      <c r="F125" s="309" t="s">
        <v>545</v>
      </c>
      <c r="G125" s="309"/>
      <c r="H125" s="309"/>
      <c r="I125" s="309"/>
      <c r="J125" s="150"/>
      <c r="K125" s="207">
        <f>(3.6*2+3.1*2)*0.6*2.4</f>
        <v>19.295999999999996</v>
      </c>
      <c r="L125" s="332"/>
      <c r="M125" s="150"/>
      <c r="N125" s="199"/>
      <c r="O125" s="200"/>
      <c r="P125" s="200"/>
      <c r="Q125" s="200"/>
      <c r="R125" s="143"/>
      <c r="T125" s="144"/>
      <c r="U125" s="141"/>
      <c r="V125" s="141"/>
      <c r="W125" s="145"/>
      <c r="X125" s="141"/>
      <c r="Y125" s="145"/>
      <c r="Z125" s="141"/>
      <c r="AA125" s="146"/>
      <c r="AR125" s="147"/>
      <c r="AT125" s="148"/>
      <c r="AU125" s="148"/>
      <c r="AY125" s="147"/>
      <c r="BK125" s="149"/>
    </row>
    <row r="126" spans="2:65" s="1" customFormat="1" ht="25.5" customHeight="1" x14ac:dyDescent="0.3">
      <c r="B126" s="33"/>
      <c r="C126" s="151">
        <f>C124+1</f>
        <v>2</v>
      </c>
      <c r="D126" s="151" t="s">
        <v>141</v>
      </c>
      <c r="E126" s="152" t="s">
        <v>273</v>
      </c>
      <c r="F126" s="263" t="s">
        <v>289</v>
      </c>
      <c r="G126" s="263"/>
      <c r="H126" s="263"/>
      <c r="I126" s="263"/>
      <c r="J126" s="153" t="s">
        <v>144</v>
      </c>
      <c r="K126" s="154">
        <v>3.7130000000000001</v>
      </c>
      <c r="L126" s="328"/>
      <c r="M126" s="220"/>
      <c r="N126" s="264">
        <f>ROUND(L126*K126,2)</f>
        <v>0</v>
      </c>
      <c r="O126" s="264"/>
      <c r="P126" s="264"/>
      <c r="Q126" s="264"/>
      <c r="R126" s="35"/>
      <c r="T126" s="155" t="s">
        <v>19</v>
      </c>
      <c r="U126" s="42" t="s">
        <v>41</v>
      </c>
      <c r="V126" s="156">
        <v>6.0620000000000003</v>
      </c>
      <c r="W126" s="156">
        <f>V126*K126</f>
        <v>22.508206000000001</v>
      </c>
      <c r="X126" s="156">
        <v>0</v>
      </c>
      <c r="Y126" s="156">
        <f>X126*K126</f>
        <v>0</v>
      </c>
      <c r="Z126" s="156">
        <v>0</v>
      </c>
      <c r="AA126" s="157">
        <f>Z126*K126</f>
        <v>0</v>
      </c>
      <c r="AR126" s="20" t="s">
        <v>145</v>
      </c>
      <c r="AT126" s="20" t="s">
        <v>141</v>
      </c>
      <c r="AU126" s="20" t="s">
        <v>99</v>
      </c>
      <c r="AY126" s="20" t="s">
        <v>140</v>
      </c>
      <c r="BE126" s="158">
        <f>IF(U126="základní",N126,0)</f>
        <v>0</v>
      </c>
      <c r="BF126" s="158">
        <f>IF(U126="snížená",N126,0)</f>
        <v>0</v>
      </c>
      <c r="BG126" s="158">
        <f>IF(U126="zákl. přenesená",N126,0)</f>
        <v>0</v>
      </c>
      <c r="BH126" s="158">
        <f>IF(U126="sníž. přenesená",N126,0)</f>
        <v>0</v>
      </c>
      <c r="BI126" s="158">
        <f>IF(U126="nulová",N126,0)</f>
        <v>0</v>
      </c>
      <c r="BJ126" s="20" t="s">
        <v>83</v>
      </c>
      <c r="BK126" s="158">
        <f>ROUND(L126*K126,2)</f>
        <v>0</v>
      </c>
      <c r="BL126" s="20" t="s">
        <v>145</v>
      </c>
      <c r="BM126" s="20" t="s">
        <v>290</v>
      </c>
    </row>
    <row r="127" spans="2:65" s="10" customFormat="1" ht="16.5" customHeight="1" x14ac:dyDescent="0.3">
      <c r="B127" s="159"/>
      <c r="C127" s="160"/>
      <c r="D127" s="160"/>
      <c r="E127" s="161" t="s">
        <v>19</v>
      </c>
      <c r="F127" s="267" t="s">
        <v>274</v>
      </c>
      <c r="G127" s="268"/>
      <c r="H127" s="268"/>
      <c r="I127" s="268"/>
      <c r="J127" s="160"/>
      <c r="K127" s="162">
        <v>3.7130000000000001</v>
      </c>
      <c r="L127" s="329"/>
      <c r="M127" s="221"/>
      <c r="N127" s="160"/>
      <c r="O127" s="160"/>
      <c r="P127" s="160"/>
      <c r="Q127" s="160"/>
      <c r="R127" s="163"/>
      <c r="T127" s="164"/>
      <c r="U127" s="160"/>
      <c r="V127" s="160"/>
      <c r="W127" s="160"/>
      <c r="X127" s="160"/>
      <c r="Y127" s="160"/>
      <c r="Z127" s="160"/>
      <c r="AA127" s="165"/>
      <c r="AT127" s="166" t="s">
        <v>148</v>
      </c>
      <c r="AU127" s="166" t="s">
        <v>99</v>
      </c>
      <c r="AV127" s="10" t="s">
        <v>99</v>
      </c>
      <c r="AW127" s="10" t="s">
        <v>33</v>
      </c>
      <c r="AX127" s="10" t="s">
        <v>83</v>
      </c>
      <c r="AY127" s="166" t="s">
        <v>140</v>
      </c>
    </row>
    <row r="128" spans="2:65" s="1" customFormat="1" ht="38.25" customHeight="1" x14ac:dyDescent="0.3">
      <c r="B128" s="33"/>
      <c r="C128" s="151">
        <f>C126+1</f>
        <v>3</v>
      </c>
      <c r="D128" s="151" t="s">
        <v>141</v>
      </c>
      <c r="E128" s="152" t="s">
        <v>275</v>
      </c>
      <c r="F128" s="263" t="s">
        <v>276</v>
      </c>
      <c r="G128" s="263"/>
      <c r="H128" s="263"/>
      <c r="I128" s="263"/>
      <c r="J128" s="153" t="s">
        <v>144</v>
      </c>
      <c r="K128" s="154">
        <f>K129</f>
        <v>10.378</v>
      </c>
      <c r="L128" s="328"/>
      <c r="M128" s="220"/>
      <c r="N128" s="264">
        <f>ROUND(L128*K128,2)</f>
        <v>0</v>
      </c>
      <c r="O128" s="264"/>
      <c r="P128" s="264"/>
      <c r="Q128" s="264"/>
      <c r="R128" s="35"/>
      <c r="T128" s="155" t="s">
        <v>19</v>
      </c>
      <c r="U128" s="42" t="s">
        <v>41</v>
      </c>
      <c r="V128" s="156">
        <v>8.3000000000000004E-2</v>
      </c>
      <c r="W128" s="156">
        <f>V128*K128</f>
        <v>0.86137400000000008</v>
      </c>
      <c r="X128" s="156">
        <v>0</v>
      </c>
      <c r="Y128" s="156">
        <f>X128*K128</f>
        <v>0</v>
      </c>
      <c r="Z128" s="156">
        <v>0</v>
      </c>
      <c r="AA128" s="157">
        <f>Z128*K128</f>
        <v>0</v>
      </c>
      <c r="AR128" s="20" t="s">
        <v>145</v>
      </c>
      <c r="AT128" s="20" t="s">
        <v>141</v>
      </c>
      <c r="AU128" s="20" t="s">
        <v>99</v>
      </c>
      <c r="AY128" s="20" t="s">
        <v>140</v>
      </c>
      <c r="BE128" s="158">
        <f>IF(U128="základní",N128,0)</f>
        <v>0</v>
      </c>
      <c r="BF128" s="158">
        <f>IF(U128="snížená",N128,0)</f>
        <v>0</v>
      </c>
      <c r="BG128" s="158">
        <f>IF(U128="zákl. přenesená",N128,0)</f>
        <v>0</v>
      </c>
      <c r="BH128" s="158">
        <f>IF(U128="sníž. přenesená",N128,0)</f>
        <v>0</v>
      </c>
      <c r="BI128" s="158">
        <f>IF(U128="nulová",N128,0)</f>
        <v>0</v>
      </c>
      <c r="BJ128" s="20" t="s">
        <v>83</v>
      </c>
      <c r="BK128" s="158">
        <f>ROUND(L128*K128,2)</f>
        <v>0</v>
      </c>
      <c r="BL128" s="20" t="s">
        <v>145</v>
      </c>
      <c r="BM128" s="20" t="s">
        <v>291</v>
      </c>
    </row>
    <row r="129" spans="2:65" s="10" customFormat="1" ht="25.5" customHeight="1" x14ac:dyDescent="0.3">
      <c r="B129" s="159"/>
      <c r="C129" s="160"/>
      <c r="D129" s="160"/>
      <c r="E129" s="161" t="s">
        <v>19</v>
      </c>
      <c r="F129" s="267" t="s">
        <v>555</v>
      </c>
      <c r="G129" s="268"/>
      <c r="H129" s="268"/>
      <c r="I129" s="268"/>
      <c r="J129" s="204"/>
      <c r="K129" s="162">
        <f>45.765-19.296-16.091</f>
        <v>10.378</v>
      </c>
      <c r="L129" s="329"/>
      <c r="M129" s="221"/>
      <c r="N129" s="160"/>
      <c r="O129" s="160"/>
      <c r="P129" s="160"/>
      <c r="Q129" s="160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148</v>
      </c>
      <c r="AU129" s="166" t="s">
        <v>99</v>
      </c>
      <c r="AV129" s="10" t="s">
        <v>99</v>
      </c>
      <c r="AW129" s="10" t="s">
        <v>33</v>
      </c>
      <c r="AX129" s="10" t="s">
        <v>83</v>
      </c>
      <c r="AY129" s="166" t="s">
        <v>140</v>
      </c>
    </row>
    <row r="130" spans="2:65" s="1" customFormat="1" ht="51" customHeight="1" x14ac:dyDescent="0.3">
      <c r="B130" s="33"/>
      <c r="C130" s="151">
        <f>C128+1</f>
        <v>4</v>
      </c>
      <c r="D130" s="151" t="s">
        <v>141</v>
      </c>
      <c r="E130" s="152" t="s">
        <v>277</v>
      </c>
      <c r="F130" s="263" t="s">
        <v>278</v>
      </c>
      <c r="G130" s="263"/>
      <c r="H130" s="263"/>
      <c r="I130" s="263"/>
      <c r="J130" s="153" t="s">
        <v>144</v>
      </c>
      <c r="K130" s="154">
        <f>K132</f>
        <v>155.67000000000002</v>
      </c>
      <c r="L130" s="328"/>
      <c r="M130" s="220"/>
      <c r="N130" s="264">
        <f>ROUND(L130*K130,2)</f>
        <v>0</v>
      </c>
      <c r="O130" s="264"/>
      <c r="P130" s="264"/>
      <c r="Q130" s="264"/>
      <c r="R130" s="35"/>
      <c r="T130" s="155" t="s">
        <v>19</v>
      </c>
      <c r="U130" s="42" t="s">
        <v>41</v>
      </c>
      <c r="V130" s="156">
        <v>4.0000000000000001E-3</v>
      </c>
      <c r="W130" s="156">
        <f>V130*K130</f>
        <v>0.62268000000000012</v>
      </c>
      <c r="X130" s="156">
        <v>0</v>
      </c>
      <c r="Y130" s="156">
        <f>X130*K130</f>
        <v>0</v>
      </c>
      <c r="Z130" s="156">
        <v>0</v>
      </c>
      <c r="AA130" s="157">
        <f>Z130*K130</f>
        <v>0</v>
      </c>
      <c r="AR130" s="20" t="s">
        <v>145</v>
      </c>
      <c r="AT130" s="20" t="s">
        <v>141</v>
      </c>
      <c r="AU130" s="20" t="s">
        <v>99</v>
      </c>
      <c r="AY130" s="20" t="s">
        <v>140</v>
      </c>
      <c r="BE130" s="158">
        <f>IF(U130="základní",N130,0)</f>
        <v>0</v>
      </c>
      <c r="BF130" s="158">
        <f>IF(U130="snížená",N130,0)</f>
        <v>0</v>
      </c>
      <c r="BG130" s="158">
        <f>IF(U130="zákl. přenesená",N130,0)</f>
        <v>0</v>
      </c>
      <c r="BH130" s="158">
        <f>IF(U130="sníž. přenesená",N130,0)</f>
        <v>0</v>
      </c>
      <c r="BI130" s="158">
        <f>IF(U130="nulová",N130,0)</f>
        <v>0</v>
      </c>
      <c r="BJ130" s="20" t="s">
        <v>83</v>
      </c>
      <c r="BK130" s="158">
        <f>ROUND(L130*K130,2)</f>
        <v>0</v>
      </c>
      <c r="BL130" s="20" t="s">
        <v>145</v>
      </c>
      <c r="BM130" s="20" t="s">
        <v>293</v>
      </c>
    </row>
    <row r="131" spans="2:65" s="10" customFormat="1" ht="25.5" customHeight="1" x14ac:dyDescent="0.3">
      <c r="B131" s="159"/>
      <c r="C131" s="160"/>
      <c r="D131" s="160"/>
      <c r="E131" s="161" t="s">
        <v>19</v>
      </c>
      <c r="F131" s="267" t="s">
        <v>555</v>
      </c>
      <c r="G131" s="268"/>
      <c r="H131" s="268"/>
      <c r="I131" s="268"/>
      <c r="J131" s="160"/>
      <c r="K131" s="162">
        <f>45.765-19.296-16.091</f>
        <v>10.378</v>
      </c>
      <c r="L131" s="329"/>
      <c r="M131" s="221"/>
      <c r="N131" s="160"/>
      <c r="O131" s="160"/>
      <c r="P131" s="160"/>
      <c r="Q131" s="160"/>
      <c r="R131" s="163"/>
      <c r="T131" s="164"/>
      <c r="U131" s="160"/>
      <c r="V131" s="160"/>
      <c r="W131" s="160"/>
      <c r="X131" s="160"/>
      <c r="Y131" s="160"/>
      <c r="Z131" s="160"/>
      <c r="AA131" s="165"/>
      <c r="AT131" s="166" t="s">
        <v>148</v>
      </c>
      <c r="AU131" s="166" t="s">
        <v>99</v>
      </c>
      <c r="AV131" s="10" t="s">
        <v>99</v>
      </c>
      <c r="AW131" s="10" t="s">
        <v>33</v>
      </c>
      <c r="AX131" s="10" t="s">
        <v>76</v>
      </c>
      <c r="AY131" s="166" t="s">
        <v>140</v>
      </c>
    </row>
    <row r="132" spans="2:65" s="10" customFormat="1" ht="25.5" customHeight="1" x14ac:dyDescent="0.3">
      <c r="B132" s="159"/>
      <c r="C132" s="160"/>
      <c r="D132" s="160"/>
      <c r="E132" s="161" t="s">
        <v>19</v>
      </c>
      <c r="F132" s="279" t="s">
        <v>556</v>
      </c>
      <c r="G132" s="280"/>
      <c r="H132" s="280"/>
      <c r="I132" s="280"/>
      <c r="J132" s="160"/>
      <c r="K132" s="162">
        <f>K131*15</f>
        <v>155.67000000000002</v>
      </c>
      <c r="L132" s="329"/>
      <c r="M132" s="221"/>
      <c r="N132" s="160"/>
      <c r="O132" s="160"/>
      <c r="P132" s="160"/>
      <c r="Q132" s="160"/>
      <c r="R132" s="163"/>
      <c r="T132" s="164"/>
      <c r="U132" s="160"/>
      <c r="V132" s="160"/>
      <c r="W132" s="160"/>
      <c r="X132" s="160"/>
      <c r="Y132" s="160"/>
      <c r="Z132" s="160"/>
      <c r="AA132" s="165"/>
      <c r="AT132" s="166" t="s">
        <v>148</v>
      </c>
      <c r="AU132" s="166" t="s">
        <v>99</v>
      </c>
      <c r="AV132" s="10" t="s">
        <v>99</v>
      </c>
      <c r="AW132" s="10" t="s">
        <v>33</v>
      </c>
      <c r="AX132" s="10" t="s">
        <v>83</v>
      </c>
      <c r="AY132" s="166" t="s">
        <v>140</v>
      </c>
    </row>
    <row r="133" spans="2:65" s="10" customFormat="1" ht="25.5" customHeight="1" x14ac:dyDescent="0.3">
      <c r="B133" s="159"/>
      <c r="C133" s="160"/>
      <c r="D133" s="160"/>
      <c r="E133" s="161" t="s">
        <v>19</v>
      </c>
      <c r="F133" s="267" t="s">
        <v>295</v>
      </c>
      <c r="G133" s="268"/>
      <c r="H133" s="268"/>
      <c r="I133" s="268"/>
      <c r="J133" s="160"/>
      <c r="K133" s="162">
        <v>3.2679999999999998</v>
      </c>
      <c r="L133" s="329"/>
      <c r="M133" s="221"/>
      <c r="N133" s="160"/>
      <c r="O133" s="160"/>
      <c r="P133" s="160"/>
      <c r="Q133" s="160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148</v>
      </c>
      <c r="AU133" s="166" t="s">
        <v>99</v>
      </c>
      <c r="AV133" s="10" t="s">
        <v>99</v>
      </c>
      <c r="AW133" s="10" t="s">
        <v>33</v>
      </c>
      <c r="AX133" s="10" t="s">
        <v>76</v>
      </c>
      <c r="AY133" s="166" t="s">
        <v>140</v>
      </c>
    </row>
    <row r="134" spans="2:65" s="11" customFormat="1" ht="16.5" customHeight="1" x14ac:dyDescent="0.3">
      <c r="B134" s="167"/>
      <c r="C134" s="168"/>
      <c r="D134" s="168"/>
      <c r="E134" s="169" t="s">
        <v>19</v>
      </c>
      <c r="F134" s="281" t="s">
        <v>151</v>
      </c>
      <c r="G134" s="282"/>
      <c r="H134" s="282"/>
      <c r="I134" s="282"/>
      <c r="J134" s="168"/>
      <c r="K134" s="170">
        <v>3.2679999999999998</v>
      </c>
      <c r="L134" s="330"/>
      <c r="M134" s="218"/>
      <c r="N134" s="168"/>
      <c r="O134" s="168"/>
      <c r="P134" s="168"/>
      <c r="Q134" s="168"/>
      <c r="R134" s="171"/>
      <c r="T134" s="172"/>
      <c r="U134" s="168"/>
      <c r="V134" s="168"/>
      <c r="W134" s="168"/>
      <c r="X134" s="168"/>
      <c r="Y134" s="168"/>
      <c r="Z134" s="168"/>
      <c r="AA134" s="173"/>
      <c r="AT134" s="174" t="s">
        <v>148</v>
      </c>
      <c r="AU134" s="174" t="s">
        <v>99</v>
      </c>
      <c r="AV134" s="11" t="s">
        <v>145</v>
      </c>
      <c r="AW134" s="11" t="s">
        <v>33</v>
      </c>
      <c r="AX134" s="11" t="s">
        <v>76</v>
      </c>
      <c r="AY134" s="174" t="s">
        <v>140</v>
      </c>
    </row>
    <row r="135" spans="2:65" s="10" customFormat="1" ht="16.5" customHeight="1" x14ac:dyDescent="0.3">
      <c r="B135" s="159"/>
      <c r="C135" s="160"/>
      <c r="D135" s="160"/>
      <c r="E135" s="161" t="s">
        <v>19</v>
      </c>
      <c r="F135" s="279" t="s">
        <v>296</v>
      </c>
      <c r="G135" s="280"/>
      <c r="H135" s="280"/>
      <c r="I135" s="280"/>
      <c r="J135" s="160"/>
      <c r="K135" s="162">
        <v>7.19</v>
      </c>
      <c r="L135" s="329"/>
      <c r="M135" s="221"/>
      <c r="N135" s="160"/>
      <c r="O135" s="160"/>
      <c r="P135" s="160"/>
      <c r="Q135" s="160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148</v>
      </c>
      <c r="AU135" s="166" t="s">
        <v>99</v>
      </c>
      <c r="AV135" s="10" t="s">
        <v>99</v>
      </c>
      <c r="AW135" s="10" t="s">
        <v>33</v>
      </c>
      <c r="AX135" s="10" t="s">
        <v>83</v>
      </c>
      <c r="AY135" s="166" t="s">
        <v>140</v>
      </c>
    </row>
    <row r="136" spans="2:65" s="10" customFormat="1" ht="16.5" customHeight="1" x14ac:dyDescent="0.3">
      <c r="B136" s="159"/>
      <c r="C136" s="192">
        <f>C130+1</f>
        <v>5</v>
      </c>
      <c r="D136" s="193"/>
      <c r="E136" s="194">
        <v>167101101</v>
      </c>
      <c r="F136" s="308" t="s">
        <v>510</v>
      </c>
      <c r="G136" s="308"/>
      <c r="H136" s="308"/>
      <c r="I136" s="308"/>
      <c r="J136" s="153" t="s">
        <v>144</v>
      </c>
      <c r="K136" s="154"/>
      <c r="L136" s="328"/>
      <c r="M136" s="220"/>
      <c r="N136" s="264">
        <f>ROUND(L136*K136,2)</f>
        <v>0</v>
      </c>
      <c r="O136" s="264"/>
      <c r="P136" s="264"/>
      <c r="Q136" s="264"/>
      <c r="R136" s="163"/>
      <c r="T136" s="164"/>
      <c r="U136" s="190"/>
      <c r="V136" s="190"/>
      <c r="W136" s="190"/>
      <c r="X136" s="190"/>
      <c r="Y136" s="190"/>
      <c r="Z136" s="190"/>
      <c r="AA136" s="165"/>
      <c r="AT136" s="166"/>
      <c r="AU136" s="166"/>
      <c r="AY136" s="166"/>
    </row>
    <row r="137" spans="2:65" s="1" customFormat="1" ht="25.5" customHeight="1" x14ac:dyDescent="0.3">
      <c r="B137" s="33"/>
      <c r="C137" s="151">
        <f>C136+1</f>
        <v>6</v>
      </c>
      <c r="D137" s="151" t="s">
        <v>141</v>
      </c>
      <c r="E137" s="152" t="s">
        <v>142</v>
      </c>
      <c r="F137" s="263" t="s">
        <v>143</v>
      </c>
      <c r="G137" s="263"/>
      <c r="H137" s="263"/>
      <c r="I137" s="263"/>
      <c r="J137" s="153" t="s">
        <v>144</v>
      </c>
      <c r="K137" s="154">
        <f>K142</f>
        <v>45.765000000000001</v>
      </c>
      <c r="L137" s="328"/>
      <c r="M137" s="220"/>
      <c r="N137" s="264">
        <f>ROUND(L137*K137,2)</f>
        <v>0</v>
      </c>
      <c r="O137" s="264"/>
      <c r="P137" s="264"/>
      <c r="Q137" s="264"/>
      <c r="R137" s="35"/>
      <c r="T137" s="155" t="s">
        <v>19</v>
      </c>
      <c r="U137" s="42" t="s">
        <v>41</v>
      </c>
      <c r="V137" s="156">
        <v>0.29899999999999999</v>
      </c>
      <c r="W137" s="156">
        <f>V137*K137</f>
        <v>13.683735</v>
      </c>
      <c r="X137" s="156">
        <v>0</v>
      </c>
      <c r="Y137" s="156">
        <f>X137*K137</f>
        <v>0</v>
      </c>
      <c r="Z137" s="156">
        <v>0</v>
      </c>
      <c r="AA137" s="157">
        <f>Z137*K137</f>
        <v>0</v>
      </c>
      <c r="AR137" s="20" t="s">
        <v>145</v>
      </c>
      <c r="AT137" s="20" t="s">
        <v>141</v>
      </c>
      <c r="AU137" s="20" t="s">
        <v>99</v>
      </c>
      <c r="AY137" s="20" t="s">
        <v>140</v>
      </c>
      <c r="BE137" s="158">
        <f>IF(U137="základní",N137,0)</f>
        <v>0</v>
      </c>
      <c r="BF137" s="158">
        <f>IF(U137="snížená",N137,0)</f>
        <v>0</v>
      </c>
      <c r="BG137" s="158">
        <f>IF(U137="zákl. přenesená",N137,0)</f>
        <v>0</v>
      </c>
      <c r="BH137" s="158">
        <f>IF(U137="sníž. přenesená",N137,0)</f>
        <v>0</v>
      </c>
      <c r="BI137" s="158">
        <f>IF(U137="nulová",N137,0)</f>
        <v>0</v>
      </c>
      <c r="BJ137" s="20" t="s">
        <v>83</v>
      </c>
      <c r="BK137" s="158">
        <f>ROUND(L137*K137,2)</f>
        <v>0</v>
      </c>
      <c r="BL137" s="20" t="s">
        <v>145</v>
      </c>
      <c r="BM137" s="20" t="s">
        <v>297</v>
      </c>
    </row>
    <row r="138" spans="2:65" s="10" customFormat="1" ht="25.5" customHeight="1" x14ac:dyDescent="0.3">
      <c r="B138" s="159"/>
      <c r="C138" s="160"/>
      <c r="D138" s="160"/>
      <c r="E138" s="161" t="s">
        <v>19</v>
      </c>
      <c r="F138" s="267" t="s">
        <v>295</v>
      </c>
      <c r="G138" s="268"/>
      <c r="H138" s="268"/>
      <c r="I138" s="268"/>
      <c r="J138" s="160"/>
      <c r="K138" s="162">
        <v>3.2679999999999998</v>
      </c>
      <c r="L138" s="329"/>
      <c r="M138" s="221"/>
      <c r="N138" s="160"/>
      <c r="O138" s="160"/>
      <c r="P138" s="160"/>
      <c r="Q138" s="160"/>
      <c r="R138" s="163"/>
      <c r="T138" s="164"/>
      <c r="U138" s="160"/>
      <c r="V138" s="160"/>
      <c r="W138" s="160"/>
      <c r="X138" s="160"/>
      <c r="Y138" s="160"/>
      <c r="Z138" s="160"/>
      <c r="AA138" s="165"/>
      <c r="AT138" s="166" t="s">
        <v>148</v>
      </c>
      <c r="AU138" s="166" t="s">
        <v>99</v>
      </c>
      <c r="AV138" s="10" t="s">
        <v>99</v>
      </c>
      <c r="AW138" s="10" t="s">
        <v>33</v>
      </c>
      <c r="AX138" s="10" t="s">
        <v>76</v>
      </c>
      <c r="AY138" s="166" t="s">
        <v>140</v>
      </c>
    </row>
    <row r="139" spans="2:65" s="10" customFormat="1" ht="25.5" customHeight="1" x14ac:dyDescent="0.3">
      <c r="B139" s="159"/>
      <c r="C139" s="160"/>
      <c r="D139" s="160"/>
      <c r="E139" s="161" t="s">
        <v>19</v>
      </c>
      <c r="F139" s="279" t="s">
        <v>292</v>
      </c>
      <c r="G139" s="280"/>
      <c r="H139" s="280"/>
      <c r="I139" s="280"/>
      <c r="J139" s="160"/>
      <c r="K139" s="162">
        <v>16.163</v>
      </c>
      <c r="L139" s="329"/>
      <c r="M139" s="221"/>
      <c r="N139" s="160"/>
      <c r="O139" s="160"/>
      <c r="P139" s="160"/>
      <c r="Q139" s="160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148</v>
      </c>
      <c r="AU139" s="166" t="s">
        <v>99</v>
      </c>
      <c r="AV139" s="10" t="s">
        <v>99</v>
      </c>
      <c r="AW139" s="10" t="s">
        <v>33</v>
      </c>
      <c r="AX139" s="10" t="s">
        <v>76</v>
      </c>
      <c r="AY139" s="166" t="s">
        <v>140</v>
      </c>
    </row>
    <row r="140" spans="2:65" s="10" customFormat="1" ht="25.5" customHeight="1" x14ac:dyDescent="0.3">
      <c r="B140" s="159"/>
      <c r="C140" s="204"/>
      <c r="D140" s="204"/>
      <c r="E140" s="161" t="s">
        <v>19</v>
      </c>
      <c r="F140" s="279" t="s">
        <v>551</v>
      </c>
      <c r="G140" s="280"/>
      <c r="H140" s="280"/>
      <c r="I140" s="280"/>
      <c r="J140" s="204"/>
      <c r="K140" s="162">
        <v>19.295999999999999</v>
      </c>
      <c r="L140" s="329"/>
      <c r="M140" s="221"/>
      <c r="N140" s="204"/>
      <c r="O140" s="204"/>
      <c r="P140" s="204"/>
      <c r="Q140" s="204"/>
      <c r="R140" s="163"/>
      <c r="T140" s="164"/>
      <c r="U140" s="204"/>
      <c r="V140" s="204"/>
      <c r="W140" s="204"/>
      <c r="X140" s="204"/>
      <c r="Y140" s="204"/>
      <c r="Z140" s="204"/>
      <c r="AA140" s="165"/>
      <c r="AT140" s="166" t="s">
        <v>148</v>
      </c>
      <c r="AU140" s="166" t="s">
        <v>99</v>
      </c>
      <c r="AV140" s="10" t="s">
        <v>99</v>
      </c>
      <c r="AW140" s="10" t="s">
        <v>33</v>
      </c>
      <c r="AX140" s="10" t="s">
        <v>76</v>
      </c>
      <c r="AY140" s="166" t="s">
        <v>140</v>
      </c>
    </row>
    <row r="141" spans="2:65" s="10" customFormat="1" ht="25.5" customHeight="1" x14ac:dyDescent="0.3">
      <c r="B141" s="159"/>
      <c r="C141" s="204"/>
      <c r="D141" s="204"/>
      <c r="E141" s="161" t="s">
        <v>19</v>
      </c>
      <c r="F141" s="279" t="s">
        <v>552</v>
      </c>
      <c r="G141" s="280"/>
      <c r="H141" s="280"/>
      <c r="I141" s="280"/>
      <c r="J141" s="204"/>
      <c r="K141" s="162">
        <v>7.0380000000000003</v>
      </c>
      <c r="L141" s="329"/>
      <c r="M141" s="221"/>
      <c r="N141" s="204"/>
      <c r="O141" s="204"/>
      <c r="P141" s="204"/>
      <c r="Q141" s="204"/>
      <c r="R141" s="163"/>
      <c r="T141" s="164"/>
      <c r="U141" s="204"/>
      <c r="V141" s="204"/>
      <c r="W141" s="204"/>
      <c r="X141" s="204"/>
      <c r="Y141" s="204"/>
      <c r="Z141" s="204"/>
      <c r="AA141" s="165"/>
      <c r="AT141" s="166" t="s">
        <v>148</v>
      </c>
      <c r="AU141" s="166" t="s">
        <v>99</v>
      </c>
      <c r="AV141" s="10" t="s">
        <v>99</v>
      </c>
      <c r="AW141" s="10" t="s">
        <v>33</v>
      </c>
      <c r="AX141" s="10" t="s">
        <v>76</v>
      </c>
      <c r="AY141" s="166" t="s">
        <v>140</v>
      </c>
    </row>
    <row r="142" spans="2:65" s="11" customFormat="1" ht="16.5" customHeight="1" x14ac:dyDescent="0.3">
      <c r="B142" s="167"/>
      <c r="C142" s="168"/>
      <c r="D142" s="168"/>
      <c r="E142" s="169" t="s">
        <v>19</v>
      </c>
      <c r="F142" s="281" t="s">
        <v>151</v>
      </c>
      <c r="G142" s="282"/>
      <c r="H142" s="282"/>
      <c r="I142" s="282"/>
      <c r="J142" s="168"/>
      <c r="K142" s="170">
        <f>SUM(K138:K141)</f>
        <v>45.765000000000001</v>
      </c>
      <c r="L142" s="330"/>
      <c r="M142" s="218"/>
      <c r="N142" s="168"/>
      <c r="O142" s="168"/>
      <c r="P142" s="168"/>
      <c r="Q142" s="168"/>
      <c r="R142" s="171"/>
      <c r="T142" s="172"/>
      <c r="U142" s="168"/>
      <c r="V142" s="168"/>
      <c r="W142" s="168"/>
      <c r="X142" s="168"/>
      <c r="Y142" s="168"/>
      <c r="Z142" s="168"/>
      <c r="AA142" s="173"/>
      <c r="AT142" s="174" t="s">
        <v>148</v>
      </c>
      <c r="AU142" s="174" t="s">
        <v>99</v>
      </c>
      <c r="AV142" s="11" t="s">
        <v>145</v>
      </c>
      <c r="AW142" s="11" t="s">
        <v>33</v>
      </c>
      <c r="AX142" s="11" t="s">
        <v>83</v>
      </c>
      <c r="AY142" s="174" t="s">
        <v>140</v>
      </c>
    </row>
    <row r="143" spans="2:65" s="1" customFormat="1" ht="16.5" customHeight="1" x14ac:dyDescent="0.3">
      <c r="B143" s="33"/>
      <c r="C143" s="175">
        <f>C137+1</f>
        <v>7</v>
      </c>
      <c r="D143" s="175" t="s">
        <v>152</v>
      </c>
      <c r="E143" s="176" t="s">
        <v>159</v>
      </c>
      <c r="F143" s="265" t="s">
        <v>160</v>
      </c>
      <c r="G143" s="265"/>
      <c r="H143" s="265"/>
      <c r="I143" s="265"/>
      <c r="J143" s="177" t="s">
        <v>155</v>
      </c>
      <c r="K143" s="178">
        <f>K144</f>
        <v>6.5359999999999996</v>
      </c>
      <c r="L143" s="331"/>
      <c r="M143" s="219"/>
      <c r="N143" s="266">
        <f>ROUND(L143*K143,2)</f>
        <v>0</v>
      </c>
      <c r="O143" s="264"/>
      <c r="P143" s="264"/>
      <c r="Q143" s="264"/>
      <c r="R143" s="35"/>
      <c r="T143" s="155" t="s">
        <v>19</v>
      </c>
      <c r="U143" s="42" t="s">
        <v>41</v>
      </c>
      <c r="V143" s="156">
        <v>0</v>
      </c>
      <c r="W143" s="156">
        <f>V143*K143</f>
        <v>0</v>
      </c>
      <c r="X143" s="156">
        <v>1</v>
      </c>
      <c r="Y143" s="156">
        <f>X143*K143</f>
        <v>6.5359999999999996</v>
      </c>
      <c r="Z143" s="156">
        <v>0</v>
      </c>
      <c r="AA143" s="157">
        <f>Z143*K143</f>
        <v>0</v>
      </c>
      <c r="AR143" s="20" t="s">
        <v>156</v>
      </c>
      <c r="AT143" s="20" t="s">
        <v>152</v>
      </c>
      <c r="AU143" s="20" t="s">
        <v>99</v>
      </c>
      <c r="AY143" s="20" t="s">
        <v>140</v>
      </c>
      <c r="BE143" s="158">
        <f>IF(U143="základní",N143,0)</f>
        <v>0</v>
      </c>
      <c r="BF143" s="158">
        <f>IF(U143="snížená",N143,0)</f>
        <v>0</v>
      </c>
      <c r="BG143" s="158">
        <f>IF(U143="zákl. přenesená",N143,0)</f>
        <v>0</v>
      </c>
      <c r="BH143" s="158">
        <f>IF(U143="sníž. přenesená",N143,0)</f>
        <v>0</v>
      </c>
      <c r="BI143" s="158">
        <f>IF(U143="nulová",N143,0)</f>
        <v>0</v>
      </c>
      <c r="BJ143" s="20" t="s">
        <v>83</v>
      </c>
      <c r="BK143" s="158">
        <f>ROUND(L143*K143,2)</f>
        <v>0</v>
      </c>
      <c r="BL143" s="20" t="s">
        <v>145</v>
      </c>
      <c r="BM143" s="20" t="s">
        <v>294</v>
      </c>
    </row>
    <row r="144" spans="2:65" s="10" customFormat="1" ht="25.5" customHeight="1" x14ac:dyDescent="0.3">
      <c r="B144" s="159"/>
      <c r="C144" s="203"/>
      <c r="D144" s="203"/>
      <c r="E144" s="161" t="s">
        <v>19</v>
      </c>
      <c r="F144" s="267" t="s">
        <v>548</v>
      </c>
      <c r="G144" s="268"/>
      <c r="H144" s="268"/>
      <c r="I144" s="268"/>
      <c r="J144" s="203"/>
      <c r="K144" s="162">
        <f>3.268*2</f>
        <v>6.5359999999999996</v>
      </c>
      <c r="L144" s="329"/>
      <c r="M144" s="221"/>
      <c r="N144" s="203"/>
      <c r="O144" s="203"/>
      <c r="P144" s="203"/>
      <c r="Q144" s="203"/>
      <c r="R144" s="163"/>
      <c r="T144" s="164"/>
      <c r="U144" s="203"/>
      <c r="V144" s="203"/>
      <c r="W144" s="203"/>
      <c r="X144" s="203"/>
      <c r="Y144" s="203"/>
      <c r="Z144" s="203"/>
      <c r="AA144" s="165"/>
      <c r="AT144" s="166" t="s">
        <v>148</v>
      </c>
      <c r="AU144" s="166" t="s">
        <v>99</v>
      </c>
      <c r="AV144" s="10" t="s">
        <v>99</v>
      </c>
      <c r="AW144" s="10" t="s">
        <v>33</v>
      </c>
      <c r="AX144" s="10" t="s">
        <v>76</v>
      </c>
      <c r="AY144" s="166" t="s">
        <v>140</v>
      </c>
    </row>
    <row r="145" spans="2:65" s="1" customFormat="1" ht="38.25" customHeight="1" x14ac:dyDescent="0.3">
      <c r="B145" s="33"/>
      <c r="C145" s="151">
        <f>C143+1</f>
        <v>8</v>
      </c>
      <c r="D145" s="151" t="s">
        <v>141</v>
      </c>
      <c r="E145" s="152" t="s">
        <v>279</v>
      </c>
      <c r="F145" s="263" t="s">
        <v>280</v>
      </c>
      <c r="G145" s="263"/>
      <c r="H145" s="263"/>
      <c r="I145" s="263"/>
      <c r="J145" s="153" t="s">
        <v>144</v>
      </c>
      <c r="K145" s="154">
        <v>3.7130000000000001</v>
      </c>
      <c r="L145" s="328"/>
      <c r="M145" s="220"/>
      <c r="N145" s="264">
        <f>ROUND(L145*K145,2)</f>
        <v>0</v>
      </c>
      <c r="O145" s="264"/>
      <c r="P145" s="264"/>
      <c r="Q145" s="264"/>
      <c r="R145" s="35"/>
      <c r="T145" s="155" t="s">
        <v>19</v>
      </c>
      <c r="U145" s="42" t="s">
        <v>41</v>
      </c>
      <c r="V145" s="156">
        <v>0.46500000000000002</v>
      </c>
      <c r="W145" s="156">
        <f>V145*K145</f>
        <v>1.7265450000000002</v>
      </c>
      <c r="X145" s="156">
        <v>0</v>
      </c>
      <c r="Y145" s="156">
        <f>X145*K145</f>
        <v>0</v>
      </c>
      <c r="Z145" s="156">
        <v>0</v>
      </c>
      <c r="AA145" s="157">
        <f>Z145*K145</f>
        <v>0</v>
      </c>
      <c r="AR145" s="20" t="s">
        <v>145</v>
      </c>
      <c r="AT145" s="20" t="s">
        <v>141</v>
      </c>
      <c r="AU145" s="20" t="s">
        <v>99</v>
      </c>
      <c r="AY145" s="20" t="s">
        <v>140</v>
      </c>
      <c r="BE145" s="158">
        <f>IF(U145="základní",N145,0)</f>
        <v>0</v>
      </c>
      <c r="BF145" s="158">
        <f>IF(U145="snížená",N145,0)</f>
        <v>0</v>
      </c>
      <c r="BG145" s="158">
        <f>IF(U145="zákl. přenesená",N145,0)</f>
        <v>0</v>
      </c>
      <c r="BH145" s="158">
        <f>IF(U145="sníž. přenesená",N145,0)</f>
        <v>0</v>
      </c>
      <c r="BI145" s="158">
        <f>IF(U145="nulová",N145,0)</f>
        <v>0</v>
      </c>
      <c r="BJ145" s="20" t="s">
        <v>83</v>
      </c>
      <c r="BK145" s="158">
        <f>ROUND(L145*K145,2)</f>
        <v>0</v>
      </c>
      <c r="BL145" s="20" t="s">
        <v>145</v>
      </c>
      <c r="BM145" s="20" t="s">
        <v>298</v>
      </c>
    </row>
    <row r="146" spans="2:65" s="10" customFormat="1" ht="25.5" customHeight="1" x14ac:dyDescent="0.3">
      <c r="B146" s="159"/>
      <c r="C146" s="160"/>
      <c r="D146" s="160"/>
      <c r="E146" s="161" t="s">
        <v>19</v>
      </c>
      <c r="F146" s="267" t="s">
        <v>281</v>
      </c>
      <c r="G146" s="268"/>
      <c r="H146" s="268"/>
      <c r="I146" s="268"/>
      <c r="J146" s="160"/>
      <c r="K146" s="162">
        <v>3.7130000000000001</v>
      </c>
      <c r="L146" s="329"/>
      <c r="M146" s="221"/>
      <c r="N146" s="160"/>
      <c r="O146" s="160"/>
      <c r="P146" s="160"/>
      <c r="Q146" s="160"/>
      <c r="R146" s="163"/>
      <c r="T146" s="164"/>
      <c r="U146" s="160"/>
      <c r="V146" s="160"/>
      <c r="W146" s="160"/>
      <c r="X146" s="160"/>
      <c r="Y146" s="160"/>
      <c r="Z146" s="160"/>
      <c r="AA146" s="165"/>
      <c r="AT146" s="166" t="s">
        <v>148</v>
      </c>
      <c r="AU146" s="166" t="s">
        <v>99</v>
      </c>
      <c r="AV146" s="10" t="s">
        <v>99</v>
      </c>
      <c r="AW146" s="10" t="s">
        <v>33</v>
      </c>
      <c r="AX146" s="10" t="s">
        <v>83</v>
      </c>
      <c r="AY146" s="166" t="s">
        <v>140</v>
      </c>
    </row>
    <row r="147" spans="2:65" s="1" customFormat="1" ht="38.25" customHeight="1" x14ac:dyDescent="0.3">
      <c r="B147" s="33"/>
      <c r="C147" s="151">
        <f>C145+1</f>
        <v>9</v>
      </c>
      <c r="D147" s="151" t="s">
        <v>141</v>
      </c>
      <c r="E147" s="152" t="s">
        <v>163</v>
      </c>
      <c r="F147" s="263" t="s">
        <v>164</v>
      </c>
      <c r="G147" s="263"/>
      <c r="H147" s="263"/>
      <c r="I147" s="263"/>
      <c r="J147" s="153" t="s">
        <v>165</v>
      </c>
      <c r="K147" s="154">
        <v>80</v>
      </c>
      <c r="L147" s="328"/>
      <c r="M147" s="220"/>
      <c r="N147" s="264">
        <f>ROUND(L147*K147,2)</f>
        <v>0</v>
      </c>
      <c r="O147" s="264"/>
      <c r="P147" s="264"/>
      <c r="Q147" s="264"/>
      <c r="R147" s="35"/>
      <c r="T147" s="155" t="s">
        <v>19</v>
      </c>
      <c r="U147" s="42" t="s">
        <v>41</v>
      </c>
      <c r="V147" s="156">
        <v>0.13</v>
      </c>
      <c r="W147" s="156">
        <f>V147*K147</f>
        <v>10.4</v>
      </c>
      <c r="X147" s="156">
        <v>0</v>
      </c>
      <c r="Y147" s="156">
        <f>X147*K147</f>
        <v>0</v>
      </c>
      <c r="Z147" s="156">
        <v>0</v>
      </c>
      <c r="AA147" s="157">
        <f>Z147*K147</f>
        <v>0</v>
      </c>
      <c r="AR147" s="20" t="s">
        <v>145</v>
      </c>
      <c r="AT147" s="20" t="s">
        <v>141</v>
      </c>
      <c r="AU147" s="20" t="s">
        <v>99</v>
      </c>
      <c r="AY147" s="20" t="s">
        <v>140</v>
      </c>
      <c r="BE147" s="158">
        <f>IF(U147="základní",N147,0)</f>
        <v>0</v>
      </c>
      <c r="BF147" s="158">
        <f>IF(U147="snížená",N147,0)</f>
        <v>0</v>
      </c>
      <c r="BG147" s="158">
        <f>IF(U147="zákl. přenesená",N147,0)</f>
        <v>0</v>
      </c>
      <c r="BH147" s="158">
        <f>IF(U147="sníž. přenesená",N147,0)</f>
        <v>0</v>
      </c>
      <c r="BI147" s="158">
        <f>IF(U147="nulová",N147,0)</f>
        <v>0</v>
      </c>
      <c r="BJ147" s="20" t="s">
        <v>83</v>
      </c>
      <c r="BK147" s="158">
        <f>ROUND(L147*K147,2)</f>
        <v>0</v>
      </c>
      <c r="BL147" s="20" t="s">
        <v>145</v>
      </c>
      <c r="BM147" s="20" t="s">
        <v>299</v>
      </c>
    </row>
    <row r="148" spans="2:65" s="10" customFormat="1" ht="16.5" customHeight="1" x14ac:dyDescent="0.3">
      <c r="B148" s="159"/>
      <c r="C148" s="160"/>
      <c r="D148" s="160"/>
      <c r="E148" s="161" t="s">
        <v>19</v>
      </c>
      <c r="F148" s="267" t="s">
        <v>300</v>
      </c>
      <c r="G148" s="268"/>
      <c r="H148" s="268"/>
      <c r="I148" s="268"/>
      <c r="J148" s="160"/>
      <c r="K148" s="162">
        <v>80</v>
      </c>
      <c r="L148" s="329"/>
      <c r="M148" s="221"/>
      <c r="N148" s="160"/>
      <c r="O148" s="160"/>
      <c r="P148" s="160"/>
      <c r="Q148" s="160"/>
      <c r="R148" s="163"/>
      <c r="T148" s="164"/>
      <c r="U148" s="160"/>
      <c r="V148" s="160"/>
      <c r="W148" s="160"/>
      <c r="X148" s="160"/>
      <c r="Y148" s="160"/>
      <c r="Z148" s="160"/>
      <c r="AA148" s="165"/>
      <c r="AT148" s="166" t="s">
        <v>148</v>
      </c>
      <c r="AU148" s="166" t="s">
        <v>99</v>
      </c>
      <c r="AV148" s="10" t="s">
        <v>99</v>
      </c>
      <c r="AW148" s="10" t="s">
        <v>33</v>
      </c>
      <c r="AX148" s="10" t="s">
        <v>83</v>
      </c>
      <c r="AY148" s="166" t="s">
        <v>140</v>
      </c>
    </row>
    <row r="149" spans="2:65" s="1" customFormat="1" ht="25.5" customHeight="1" x14ac:dyDescent="0.3">
      <c r="B149" s="33"/>
      <c r="C149" s="151">
        <f>C147+1</f>
        <v>10</v>
      </c>
      <c r="D149" s="151" t="s">
        <v>141</v>
      </c>
      <c r="E149" s="152" t="s">
        <v>169</v>
      </c>
      <c r="F149" s="263" t="s">
        <v>170</v>
      </c>
      <c r="G149" s="263"/>
      <c r="H149" s="263"/>
      <c r="I149" s="263"/>
      <c r="J149" s="153" t="s">
        <v>165</v>
      </c>
      <c r="K149" s="154">
        <v>80</v>
      </c>
      <c r="L149" s="328"/>
      <c r="M149" s="220"/>
      <c r="N149" s="264">
        <f>ROUND(L149*K149,2)</f>
        <v>0</v>
      </c>
      <c r="O149" s="264"/>
      <c r="P149" s="264"/>
      <c r="Q149" s="264"/>
      <c r="R149" s="35"/>
      <c r="T149" s="155" t="s">
        <v>19</v>
      </c>
      <c r="U149" s="42" t="s">
        <v>41</v>
      </c>
      <c r="V149" s="156">
        <v>7.0000000000000001E-3</v>
      </c>
      <c r="W149" s="156">
        <f>V149*K149</f>
        <v>0.56000000000000005</v>
      </c>
      <c r="X149" s="156">
        <v>0</v>
      </c>
      <c r="Y149" s="156">
        <f>X149*K149</f>
        <v>0</v>
      </c>
      <c r="Z149" s="156">
        <v>0</v>
      </c>
      <c r="AA149" s="157">
        <f>Z149*K149</f>
        <v>0</v>
      </c>
      <c r="AR149" s="20" t="s">
        <v>145</v>
      </c>
      <c r="AT149" s="20" t="s">
        <v>141</v>
      </c>
      <c r="AU149" s="20" t="s">
        <v>99</v>
      </c>
      <c r="AY149" s="20" t="s">
        <v>140</v>
      </c>
      <c r="BE149" s="158">
        <f>IF(U149="základní",N149,0)</f>
        <v>0</v>
      </c>
      <c r="BF149" s="158">
        <f>IF(U149="snížená",N149,0)</f>
        <v>0</v>
      </c>
      <c r="BG149" s="158">
        <f>IF(U149="zákl. přenesená",N149,0)</f>
        <v>0</v>
      </c>
      <c r="BH149" s="158">
        <f>IF(U149="sníž. přenesená",N149,0)</f>
        <v>0</v>
      </c>
      <c r="BI149" s="158">
        <f>IF(U149="nulová",N149,0)</f>
        <v>0</v>
      </c>
      <c r="BJ149" s="20" t="s">
        <v>83</v>
      </c>
      <c r="BK149" s="158">
        <f>ROUND(L149*K149,2)</f>
        <v>0</v>
      </c>
      <c r="BL149" s="20" t="s">
        <v>145</v>
      </c>
      <c r="BM149" s="20" t="s">
        <v>301</v>
      </c>
    </row>
    <row r="150" spans="2:65" s="10" customFormat="1" ht="16.5" customHeight="1" x14ac:dyDescent="0.3">
      <c r="B150" s="159"/>
      <c r="C150" s="160"/>
      <c r="D150" s="160"/>
      <c r="E150" s="161" t="s">
        <v>19</v>
      </c>
      <c r="F150" s="267" t="s">
        <v>300</v>
      </c>
      <c r="G150" s="268"/>
      <c r="H150" s="268"/>
      <c r="I150" s="268"/>
      <c r="J150" s="160"/>
      <c r="K150" s="162">
        <v>80</v>
      </c>
      <c r="L150" s="329"/>
      <c r="M150" s="221"/>
      <c r="N150" s="160"/>
      <c r="O150" s="160"/>
      <c r="P150" s="160"/>
      <c r="Q150" s="160"/>
      <c r="R150" s="163"/>
      <c r="T150" s="164"/>
      <c r="U150" s="160"/>
      <c r="V150" s="160"/>
      <c r="W150" s="160"/>
      <c r="X150" s="160"/>
      <c r="Y150" s="160"/>
      <c r="Z150" s="160"/>
      <c r="AA150" s="165"/>
      <c r="AT150" s="166" t="s">
        <v>148</v>
      </c>
      <c r="AU150" s="166" t="s">
        <v>99</v>
      </c>
      <c r="AV150" s="10" t="s">
        <v>99</v>
      </c>
      <c r="AW150" s="10" t="s">
        <v>33</v>
      </c>
      <c r="AX150" s="10" t="s">
        <v>83</v>
      </c>
      <c r="AY150" s="166" t="s">
        <v>140</v>
      </c>
    </row>
    <row r="151" spans="2:65" s="1" customFormat="1" ht="16.5" customHeight="1" x14ac:dyDescent="0.3">
      <c r="B151" s="33"/>
      <c r="C151" s="151">
        <f>C149+1</f>
        <v>11</v>
      </c>
      <c r="D151" s="175" t="s">
        <v>152</v>
      </c>
      <c r="E151" s="176" t="s">
        <v>173</v>
      </c>
      <c r="F151" s="265" t="s">
        <v>174</v>
      </c>
      <c r="G151" s="265"/>
      <c r="H151" s="265"/>
      <c r="I151" s="265"/>
      <c r="J151" s="177" t="s">
        <v>175</v>
      </c>
      <c r="K151" s="178">
        <v>4</v>
      </c>
      <c r="L151" s="331"/>
      <c r="M151" s="219"/>
      <c r="N151" s="266">
        <f>ROUND(L151*K151,2)</f>
        <v>0</v>
      </c>
      <c r="O151" s="264"/>
      <c r="P151" s="264"/>
      <c r="Q151" s="264"/>
      <c r="R151" s="35"/>
      <c r="T151" s="155" t="s">
        <v>19</v>
      </c>
      <c r="U151" s="42" t="s">
        <v>41</v>
      </c>
      <c r="V151" s="156">
        <v>0</v>
      </c>
      <c r="W151" s="156">
        <f>V151*K151</f>
        <v>0</v>
      </c>
      <c r="X151" s="156">
        <v>1E-3</v>
      </c>
      <c r="Y151" s="156">
        <f>X151*K151</f>
        <v>4.0000000000000001E-3</v>
      </c>
      <c r="Z151" s="156">
        <v>0</v>
      </c>
      <c r="AA151" s="157">
        <f>Z151*K151</f>
        <v>0</v>
      </c>
      <c r="AR151" s="20" t="s">
        <v>156</v>
      </c>
      <c r="AT151" s="20" t="s">
        <v>152</v>
      </c>
      <c r="AU151" s="20" t="s">
        <v>99</v>
      </c>
      <c r="AY151" s="20" t="s">
        <v>140</v>
      </c>
      <c r="BE151" s="158">
        <f>IF(U151="základní",N151,0)</f>
        <v>0</v>
      </c>
      <c r="BF151" s="158">
        <f>IF(U151="snížená",N151,0)</f>
        <v>0</v>
      </c>
      <c r="BG151" s="158">
        <f>IF(U151="zákl. přenesená",N151,0)</f>
        <v>0</v>
      </c>
      <c r="BH151" s="158">
        <f>IF(U151="sníž. přenesená",N151,0)</f>
        <v>0</v>
      </c>
      <c r="BI151" s="158">
        <f>IF(U151="nulová",N151,0)</f>
        <v>0</v>
      </c>
      <c r="BJ151" s="20" t="s">
        <v>83</v>
      </c>
      <c r="BK151" s="158">
        <f>ROUND(L151*K151,2)</f>
        <v>0</v>
      </c>
      <c r="BL151" s="20" t="s">
        <v>145</v>
      </c>
      <c r="BM151" s="20" t="s">
        <v>302</v>
      </c>
    </row>
    <row r="152" spans="2:65" s="9" customFormat="1" ht="29.85" customHeight="1" x14ac:dyDescent="0.3">
      <c r="B152" s="140"/>
      <c r="C152" s="141"/>
      <c r="D152" s="150" t="s">
        <v>112</v>
      </c>
      <c r="E152" s="150"/>
      <c r="F152" s="150"/>
      <c r="G152" s="150"/>
      <c r="H152" s="150"/>
      <c r="I152" s="150"/>
      <c r="J152" s="150"/>
      <c r="K152" s="150"/>
      <c r="L152" s="332"/>
      <c r="M152" s="150"/>
      <c r="N152" s="261">
        <f>N153</f>
        <v>0</v>
      </c>
      <c r="O152" s="262"/>
      <c r="P152" s="262"/>
      <c r="Q152" s="262"/>
      <c r="R152" s="143"/>
      <c r="T152" s="144"/>
      <c r="U152" s="141"/>
      <c r="V152" s="141"/>
      <c r="W152" s="145">
        <f>SUM(W153:W156)</f>
        <v>0.13840799999999998</v>
      </c>
      <c r="X152" s="141"/>
      <c r="Y152" s="145">
        <f>SUM(Y153:Y156)</f>
        <v>0.53475257999999992</v>
      </c>
      <c r="Z152" s="141"/>
      <c r="AA152" s="146">
        <f>SUM(AA153:AA156)</f>
        <v>0</v>
      </c>
      <c r="AR152" s="147" t="s">
        <v>83</v>
      </c>
      <c r="AT152" s="148" t="s">
        <v>75</v>
      </c>
      <c r="AU152" s="148" t="s">
        <v>83</v>
      </c>
      <c r="AY152" s="147" t="s">
        <v>140</v>
      </c>
      <c r="BK152" s="149">
        <f>SUM(BK153:BK156)</f>
        <v>0</v>
      </c>
    </row>
    <row r="153" spans="2:65" s="1" customFormat="1" ht="16.5" customHeight="1" x14ac:dyDescent="0.3">
      <c r="B153" s="33"/>
      <c r="C153" s="151">
        <f>C151+1</f>
        <v>12</v>
      </c>
      <c r="D153" s="151" t="s">
        <v>141</v>
      </c>
      <c r="E153" s="152" t="s">
        <v>177</v>
      </c>
      <c r="F153" s="263" t="s">
        <v>178</v>
      </c>
      <c r="G153" s="263"/>
      <c r="H153" s="263"/>
      <c r="I153" s="263"/>
      <c r="J153" s="153" t="s">
        <v>144</v>
      </c>
      <c r="K153" s="154">
        <v>0.23699999999999999</v>
      </c>
      <c r="L153" s="328"/>
      <c r="M153" s="220"/>
      <c r="N153" s="264">
        <f>ROUND(L153*K153,2)</f>
        <v>0</v>
      </c>
      <c r="O153" s="264"/>
      <c r="P153" s="264"/>
      <c r="Q153" s="264"/>
      <c r="R153" s="35"/>
      <c r="T153" s="155" t="s">
        <v>19</v>
      </c>
      <c r="U153" s="42" t="s">
        <v>41</v>
      </c>
      <c r="V153" s="156">
        <v>0.58399999999999996</v>
      </c>
      <c r="W153" s="156">
        <f>V153*K153</f>
        <v>0.13840799999999998</v>
      </c>
      <c r="X153" s="156">
        <v>2.2563399999999998</v>
      </c>
      <c r="Y153" s="156">
        <f>X153*K153</f>
        <v>0.53475257999999992</v>
      </c>
      <c r="Z153" s="156">
        <v>0</v>
      </c>
      <c r="AA153" s="157">
        <f>Z153*K153</f>
        <v>0</v>
      </c>
      <c r="AR153" s="20" t="s">
        <v>145</v>
      </c>
      <c r="AT153" s="20" t="s">
        <v>141</v>
      </c>
      <c r="AU153" s="20" t="s">
        <v>99</v>
      </c>
      <c r="AY153" s="20" t="s">
        <v>140</v>
      </c>
      <c r="BE153" s="158">
        <f>IF(U153="základní",N153,0)</f>
        <v>0</v>
      </c>
      <c r="BF153" s="158">
        <f>IF(U153="snížená",N153,0)</f>
        <v>0</v>
      </c>
      <c r="BG153" s="158">
        <f>IF(U153="zákl. přenesená",N153,0)</f>
        <v>0</v>
      </c>
      <c r="BH153" s="158">
        <f>IF(U153="sníž. přenesená",N153,0)</f>
        <v>0</v>
      </c>
      <c r="BI153" s="158">
        <f>IF(U153="nulová",N153,0)</f>
        <v>0</v>
      </c>
      <c r="BJ153" s="20" t="s">
        <v>83</v>
      </c>
      <c r="BK153" s="158">
        <f>ROUND(L153*K153,2)</f>
        <v>0</v>
      </c>
      <c r="BL153" s="20" t="s">
        <v>145</v>
      </c>
      <c r="BM153" s="20" t="s">
        <v>303</v>
      </c>
    </row>
    <row r="154" spans="2:65" s="10" customFormat="1" ht="25.5" customHeight="1" x14ac:dyDescent="0.3">
      <c r="B154" s="159"/>
      <c r="C154" s="160"/>
      <c r="D154" s="160"/>
      <c r="E154" s="161" t="s">
        <v>19</v>
      </c>
      <c r="F154" s="267" t="s">
        <v>304</v>
      </c>
      <c r="G154" s="268"/>
      <c r="H154" s="268"/>
      <c r="I154" s="268"/>
      <c r="J154" s="160"/>
      <c r="K154" s="162">
        <v>5.6000000000000001E-2</v>
      </c>
      <c r="L154" s="329"/>
      <c r="M154" s="221"/>
      <c r="N154" s="160"/>
      <c r="O154" s="160"/>
      <c r="P154" s="160"/>
      <c r="Q154" s="160"/>
      <c r="R154" s="163"/>
      <c r="T154" s="164"/>
      <c r="U154" s="160"/>
      <c r="V154" s="160"/>
      <c r="W154" s="160"/>
      <c r="X154" s="160"/>
      <c r="Y154" s="160"/>
      <c r="Z154" s="160"/>
      <c r="AA154" s="165"/>
      <c r="AT154" s="166" t="s">
        <v>148</v>
      </c>
      <c r="AU154" s="166" t="s">
        <v>99</v>
      </c>
      <c r="AV154" s="10" t="s">
        <v>99</v>
      </c>
      <c r="AW154" s="10" t="s">
        <v>33</v>
      </c>
      <c r="AX154" s="10" t="s">
        <v>76</v>
      </c>
      <c r="AY154" s="166" t="s">
        <v>140</v>
      </c>
    </row>
    <row r="155" spans="2:65" s="10" customFormat="1" ht="16.5" customHeight="1" x14ac:dyDescent="0.3">
      <c r="B155" s="159"/>
      <c r="C155" s="160"/>
      <c r="D155" s="160"/>
      <c r="E155" s="161" t="s">
        <v>19</v>
      </c>
      <c r="F155" s="279" t="s">
        <v>305</v>
      </c>
      <c r="G155" s="280"/>
      <c r="H155" s="280"/>
      <c r="I155" s="280"/>
      <c r="J155" s="160"/>
      <c r="K155" s="162">
        <v>0.18099999999999999</v>
      </c>
      <c r="L155" s="329"/>
      <c r="M155" s="221"/>
      <c r="N155" s="160"/>
      <c r="O155" s="160"/>
      <c r="P155" s="160"/>
      <c r="Q155" s="160"/>
      <c r="R155" s="163"/>
      <c r="T155" s="164"/>
      <c r="U155" s="160"/>
      <c r="V155" s="160"/>
      <c r="W155" s="160"/>
      <c r="X155" s="160"/>
      <c r="Y155" s="160"/>
      <c r="Z155" s="160"/>
      <c r="AA155" s="165"/>
      <c r="AT155" s="166" t="s">
        <v>148</v>
      </c>
      <c r="AU155" s="166" t="s">
        <v>99</v>
      </c>
      <c r="AV155" s="10" t="s">
        <v>99</v>
      </c>
      <c r="AW155" s="10" t="s">
        <v>33</v>
      </c>
      <c r="AX155" s="10" t="s">
        <v>76</v>
      </c>
      <c r="AY155" s="166" t="s">
        <v>140</v>
      </c>
    </row>
    <row r="156" spans="2:65" s="11" customFormat="1" ht="16.5" customHeight="1" x14ac:dyDescent="0.3">
      <c r="B156" s="167"/>
      <c r="C156" s="168"/>
      <c r="D156" s="168"/>
      <c r="E156" s="169" t="s">
        <v>19</v>
      </c>
      <c r="F156" s="281" t="s">
        <v>151</v>
      </c>
      <c r="G156" s="282"/>
      <c r="H156" s="282"/>
      <c r="I156" s="282"/>
      <c r="J156" s="168"/>
      <c r="K156" s="170">
        <v>0.23699999999999999</v>
      </c>
      <c r="L156" s="330"/>
      <c r="M156" s="218"/>
      <c r="N156" s="168"/>
      <c r="O156" s="168"/>
      <c r="P156" s="168"/>
      <c r="Q156" s="168"/>
      <c r="R156" s="171"/>
      <c r="T156" s="172"/>
      <c r="U156" s="168"/>
      <c r="V156" s="168"/>
      <c r="W156" s="168"/>
      <c r="X156" s="168"/>
      <c r="Y156" s="168"/>
      <c r="Z156" s="168"/>
      <c r="AA156" s="173"/>
      <c r="AT156" s="174" t="s">
        <v>148</v>
      </c>
      <c r="AU156" s="174" t="s">
        <v>99</v>
      </c>
      <c r="AV156" s="11" t="s">
        <v>145</v>
      </c>
      <c r="AW156" s="11" t="s">
        <v>33</v>
      </c>
      <c r="AX156" s="11" t="s">
        <v>83</v>
      </c>
      <c r="AY156" s="174" t="s">
        <v>140</v>
      </c>
    </row>
    <row r="157" spans="2:65" s="9" customFormat="1" ht="29.85" customHeight="1" x14ac:dyDescent="0.3">
      <c r="B157" s="140"/>
      <c r="C157" s="141"/>
      <c r="D157" s="150" t="s">
        <v>113</v>
      </c>
      <c r="E157" s="150"/>
      <c r="F157" s="150"/>
      <c r="G157" s="150"/>
      <c r="H157" s="150"/>
      <c r="I157" s="150"/>
      <c r="J157" s="150"/>
      <c r="K157" s="150"/>
      <c r="L157" s="332"/>
      <c r="M157" s="150"/>
      <c r="N157" s="269">
        <f>SUM(N158:N160)</f>
        <v>0</v>
      </c>
      <c r="O157" s="270"/>
      <c r="P157" s="270"/>
      <c r="Q157" s="270"/>
      <c r="R157" s="143"/>
      <c r="T157" s="144"/>
      <c r="U157" s="141"/>
      <c r="V157" s="141"/>
      <c r="W157" s="145">
        <f>SUM(W158:W161)</f>
        <v>5.4573749999999999</v>
      </c>
      <c r="X157" s="141"/>
      <c r="Y157" s="145">
        <f>SUM(Y158:Y161)</f>
        <v>0</v>
      </c>
      <c r="Z157" s="141"/>
      <c r="AA157" s="146">
        <f>SUM(AA158:AA161)</f>
        <v>0</v>
      </c>
      <c r="AR157" s="147" t="s">
        <v>83</v>
      </c>
      <c r="AT157" s="148" t="s">
        <v>75</v>
      </c>
      <c r="AU157" s="148" t="s">
        <v>83</v>
      </c>
      <c r="AY157" s="147" t="s">
        <v>140</v>
      </c>
      <c r="BK157" s="149">
        <f>SUM(BK158:BK161)</f>
        <v>0</v>
      </c>
    </row>
    <row r="158" spans="2:65" s="1" customFormat="1" ht="38.25" customHeight="1" x14ac:dyDescent="0.3">
      <c r="B158" s="33"/>
      <c r="C158" s="151">
        <f>C153+1</f>
        <v>13</v>
      </c>
      <c r="D158" s="151" t="s">
        <v>141</v>
      </c>
      <c r="E158" s="152" t="s">
        <v>181</v>
      </c>
      <c r="F158" s="263" t="s">
        <v>182</v>
      </c>
      <c r="G158" s="263"/>
      <c r="H158" s="263"/>
      <c r="I158" s="263"/>
      <c r="J158" s="153" t="s">
        <v>165</v>
      </c>
      <c r="K158" s="154">
        <v>20.25</v>
      </c>
      <c r="L158" s="328"/>
      <c r="M158" s="220"/>
      <c r="N158" s="264">
        <f>ROUND(L158*K158,2)</f>
        <v>0</v>
      </c>
      <c r="O158" s="264"/>
      <c r="P158" s="264"/>
      <c r="Q158" s="264"/>
      <c r="R158" s="35"/>
      <c r="T158" s="155" t="s">
        <v>19</v>
      </c>
      <c r="U158" s="42" t="s">
        <v>41</v>
      </c>
      <c r="V158" s="156">
        <v>0.21299999999999999</v>
      </c>
      <c r="W158" s="156">
        <f>V158*K158</f>
        <v>4.31325</v>
      </c>
      <c r="X158" s="156">
        <v>0</v>
      </c>
      <c r="Y158" s="156">
        <f>X158*K158</f>
        <v>0</v>
      </c>
      <c r="Z158" s="156">
        <v>0</v>
      </c>
      <c r="AA158" s="157">
        <f>Z158*K158</f>
        <v>0</v>
      </c>
      <c r="AR158" s="20" t="s">
        <v>145</v>
      </c>
      <c r="AT158" s="20" t="s">
        <v>141</v>
      </c>
      <c r="AU158" s="20" t="s">
        <v>99</v>
      </c>
      <c r="AY158" s="20" t="s">
        <v>140</v>
      </c>
      <c r="BE158" s="158">
        <f>IF(U158="základní",N158,0)</f>
        <v>0</v>
      </c>
      <c r="BF158" s="158">
        <f>IF(U158="snížená",N158,0)</f>
        <v>0</v>
      </c>
      <c r="BG158" s="158">
        <f>IF(U158="zákl. přenesená",N158,0)</f>
        <v>0</v>
      </c>
      <c r="BH158" s="158">
        <f>IF(U158="sníž. přenesená",N158,0)</f>
        <v>0</v>
      </c>
      <c r="BI158" s="158">
        <f>IF(U158="nulová",N158,0)</f>
        <v>0</v>
      </c>
      <c r="BJ158" s="20" t="s">
        <v>83</v>
      </c>
      <c r="BK158" s="158">
        <f>ROUND(L158*K158,2)</f>
        <v>0</v>
      </c>
      <c r="BL158" s="20" t="s">
        <v>145</v>
      </c>
      <c r="BM158" s="20" t="s">
        <v>306</v>
      </c>
    </row>
    <row r="159" spans="2:65" s="10" customFormat="1" ht="16.5" customHeight="1" x14ac:dyDescent="0.3">
      <c r="B159" s="159"/>
      <c r="C159" s="160"/>
      <c r="D159" s="160"/>
      <c r="E159" s="161" t="s">
        <v>19</v>
      </c>
      <c r="F159" s="267" t="s">
        <v>307</v>
      </c>
      <c r="G159" s="268"/>
      <c r="H159" s="268"/>
      <c r="I159" s="268"/>
      <c r="J159" s="160"/>
      <c r="K159" s="162">
        <v>20.25</v>
      </c>
      <c r="L159" s="329"/>
      <c r="M159" s="221"/>
      <c r="N159" s="160"/>
      <c r="O159" s="160"/>
      <c r="P159" s="160"/>
      <c r="Q159" s="160"/>
      <c r="R159" s="163"/>
      <c r="T159" s="164"/>
      <c r="U159" s="160"/>
      <c r="V159" s="160"/>
      <c r="W159" s="160"/>
      <c r="X159" s="160"/>
      <c r="Y159" s="160"/>
      <c r="Z159" s="160"/>
      <c r="AA159" s="165"/>
      <c r="AT159" s="166" t="s">
        <v>148</v>
      </c>
      <c r="AU159" s="166" t="s">
        <v>99</v>
      </c>
      <c r="AV159" s="10" t="s">
        <v>99</v>
      </c>
      <c r="AW159" s="10" t="s">
        <v>33</v>
      </c>
      <c r="AX159" s="10" t="s">
        <v>83</v>
      </c>
      <c r="AY159" s="166" t="s">
        <v>140</v>
      </c>
    </row>
    <row r="160" spans="2:65" s="1" customFormat="1" ht="25.5" customHeight="1" x14ac:dyDescent="0.3">
      <c r="B160" s="33"/>
      <c r="C160" s="151">
        <f>C158+1</f>
        <v>14</v>
      </c>
      <c r="D160" s="151" t="s">
        <v>141</v>
      </c>
      <c r="E160" s="152" t="s">
        <v>282</v>
      </c>
      <c r="F160" s="263" t="s">
        <v>308</v>
      </c>
      <c r="G160" s="263"/>
      <c r="H160" s="263"/>
      <c r="I160" s="263"/>
      <c r="J160" s="153" t="s">
        <v>144</v>
      </c>
      <c r="K160" s="154">
        <v>0.67500000000000004</v>
      </c>
      <c r="L160" s="328"/>
      <c r="M160" s="220"/>
      <c r="N160" s="264">
        <f>ROUND(L160*K160,2)</f>
        <v>0</v>
      </c>
      <c r="O160" s="264"/>
      <c r="P160" s="264"/>
      <c r="Q160" s="264"/>
      <c r="R160" s="35"/>
      <c r="T160" s="155" t="s">
        <v>19</v>
      </c>
      <c r="U160" s="42" t="s">
        <v>41</v>
      </c>
      <c r="V160" s="156">
        <v>1.6950000000000001</v>
      </c>
      <c r="W160" s="156">
        <f>V160*K160</f>
        <v>1.1441250000000001</v>
      </c>
      <c r="X160" s="156">
        <v>0</v>
      </c>
      <c r="Y160" s="156">
        <f>X160*K160</f>
        <v>0</v>
      </c>
      <c r="Z160" s="156">
        <v>0</v>
      </c>
      <c r="AA160" s="157">
        <f>Z160*K160</f>
        <v>0</v>
      </c>
      <c r="AR160" s="20" t="s">
        <v>145</v>
      </c>
      <c r="AT160" s="20" t="s">
        <v>141</v>
      </c>
      <c r="AU160" s="20" t="s">
        <v>99</v>
      </c>
      <c r="AY160" s="20" t="s">
        <v>140</v>
      </c>
      <c r="BE160" s="158">
        <f>IF(U160="základní",N160,0)</f>
        <v>0</v>
      </c>
      <c r="BF160" s="158">
        <f>IF(U160="snížená",N160,0)</f>
        <v>0</v>
      </c>
      <c r="BG160" s="158">
        <f>IF(U160="zákl. přenesená",N160,0)</f>
        <v>0</v>
      </c>
      <c r="BH160" s="158">
        <f>IF(U160="sníž. přenesená",N160,0)</f>
        <v>0</v>
      </c>
      <c r="BI160" s="158">
        <f>IF(U160="nulová",N160,0)</f>
        <v>0</v>
      </c>
      <c r="BJ160" s="20" t="s">
        <v>83</v>
      </c>
      <c r="BK160" s="158">
        <f>ROUND(L160*K160,2)</f>
        <v>0</v>
      </c>
      <c r="BL160" s="20" t="s">
        <v>145</v>
      </c>
      <c r="BM160" s="20" t="s">
        <v>309</v>
      </c>
    </row>
    <row r="161" spans="2:65" s="10" customFormat="1" ht="16.5" customHeight="1" x14ac:dyDescent="0.3">
      <c r="B161" s="159"/>
      <c r="C161" s="160"/>
      <c r="D161" s="160"/>
      <c r="E161" s="161" t="s">
        <v>19</v>
      </c>
      <c r="F161" s="267" t="s">
        <v>310</v>
      </c>
      <c r="G161" s="268"/>
      <c r="H161" s="268"/>
      <c r="I161" s="268"/>
      <c r="J161" s="160"/>
      <c r="K161" s="162">
        <v>0.67500000000000004</v>
      </c>
      <c r="L161" s="329"/>
      <c r="M161" s="221"/>
      <c r="N161" s="160"/>
      <c r="O161" s="160"/>
      <c r="P161" s="160"/>
      <c r="Q161" s="160"/>
      <c r="R161" s="163"/>
      <c r="T161" s="164"/>
      <c r="U161" s="160"/>
      <c r="V161" s="160"/>
      <c r="W161" s="160"/>
      <c r="X161" s="160"/>
      <c r="Y161" s="160"/>
      <c r="Z161" s="160"/>
      <c r="AA161" s="165"/>
      <c r="AT161" s="166" t="s">
        <v>148</v>
      </c>
      <c r="AU161" s="166" t="s">
        <v>99</v>
      </c>
      <c r="AV161" s="10" t="s">
        <v>99</v>
      </c>
      <c r="AW161" s="10" t="s">
        <v>33</v>
      </c>
      <c r="AX161" s="10" t="s">
        <v>83</v>
      </c>
      <c r="AY161" s="166" t="s">
        <v>140</v>
      </c>
    </row>
    <row r="162" spans="2:65" s="9" customFormat="1" ht="29.85" customHeight="1" x14ac:dyDescent="0.3">
      <c r="B162" s="140"/>
      <c r="C162" s="141"/>
      <c r="D162" s="150" t="s">
        <v>115</v>
      </c>
      <c r="E162" s="150"/>
      <c r="F162" s="150"/>
      <c r="G162" s="150"/>
      <c r="H162" s="150"/>
      <c r="I162" s="150"/>
      <c r="J162" s="150"/>
      <c r="K162" s="150"/>
      <c r="L162" s="332"/>
      <c r="M162" s="150"/>
      <c r="N162" s="269">
        <f>SUM(N163:N177)</f>
        <v>0</v>
      </c>
      <c r="O162" s="270"/>
      <c r="P162" s="270"/>
      <c r="Q162" s="270"/>
      <c r="R162" s="143"/>
      <c r="T162" s="144"/>
      <c r="U162" s="141"/>
      <c r="V162" s="141"/>
      <c r="W162" s="145">
        <f>SUM(W163:W178)</f>
        <v>140.13265199999998</v>
      </c>
      <c r="X162" s="141"/>
      <c r="Y162" s="145">
        <f>SUM(Y163:Y178)</f>
        <v>0</v>
      </c>
      <c r="Z162" s="141"/>
      <c r="AA162" s="146">
        <f>SUM(AA163:AA178)</f>
        <v>113.25102999999999</v>
      </c>
      <c r="AR162" s="147" t="s">
        <v>83</v>
      </c>
      <c r="AT162" s="148" t="s">
        <v>75</v>
      </c>
      <c r="AU162" s="148" t="s">
        <v>83</v>
      </c>
      <c r="AY162" s="147" t="s">
        <v>140</v>
      </c>
      <c r="BK162" s="149">
        <f>SUM(BK163:BK178)</f>
        <v>0</v>
      </c>
    </row>
    <row r="163" spans="2:65" s="1" customFormat="1" ht="25.5" customHeight="1" x14ac:dyDescent="0.3">
      <c r="B163" s="33"/>
      <c r="C163" s="151">
        <f>C160+1</f>
        <v>15</v>
      </c>
      <c r="D163" s="151" t="s">
        <v>141</v>
      </c>
      <c r="E163" s="152" t="s">
        <v>195</v>
      </c>
      <c r="F163" s="263" t="s">
        <v>196</v>
      </c>
      <c r="G163" s="263"/>
      <c r="H163" s="263"/>
      <c r="I163" s="263"/>
      <c r="J163" s="153" t="s">
        <v>144</v>
      </c>
      <c r="K163" s="154">
        <v>22.463999999999999</v>
      </c>
      <c r="L163" s="328"/>
      <c r="M163" s="220"/>
      <c r="N163" s="264">
        <f>ROUND(L163*K163,2)</f>
        <v>0</v>
      </c>
      <c r="O163" s="264"/>
      <c r="P163" s="264"/>
      <c r="Q163" s="264"/>
      <c r="R163" s="35"/>
      <c r="T163" s="155" t="s">
        <v>19</v>
      </c>
      <c r="U163" s="42" t="s">
        <v>41</v>
      </c>
      <c r="V163" s="156">
        <v>1.5860000000000001</v>
      </c>
      <c r="W163" s="156">
        <f>V163*K163</f>
        <v>35.627904000000001</v>
      </c>
      <c r="X163" s="156">
        <v>0</v>
      </c>
      <c r="Y163" s="156">
        <f>X163*K163</f>
        <v>0</v>
      </c>
      <c r="Z163" s="156">
        <v>2.27</v>
      </c>
      <c r="AA163" s="157">
        <f>Z163*K163</f>
        <v>50.993279999999999</v>
      </c>
      <c r="AR163" s="20" t="s">
        <v>145</v>
      </c>
      <c r="AT163" s="20" t="s">
        <v>141</v>
      </c>
      <c r="AU163" s="20" t="s">
        <v>99</v>
      </c>
      <c r="AY163" s="20" t="s">
        <v>140</v>
      </c>
      <c r="BE163" s="158">
        <f>IF(U163="základní",N163,0)</f>
        <v>0</v>
      </c>
      <c r="BF163" s="158">
        <f>IF(U163="snížená",N163,0)</f>
        <v>0</v>
      </c>
      <c r="BG163" s="158">
        <f>IF(U163="zákl. přenesená",N163,0)</f>
        <v>0</v>
      </c>
      <c r="BH163" s="158">
        <f>IF(U163="sníž. přenesená",N163,0)</f>
        <v>0</v>
      </c>
      <c r="BI163" s="158">
        <f>IF(U163="nulová",N163,0)</f>
        <v>0</v>
      </c>
      <c r="BJ163" s="20" t="s">
        <v>83</v>
      </c>
      <c r="BK163" s="158">
        <f>ROUND(L163*K163,2)</f>
        <v>0</v>
      </c>
      <c r="BL163" s="20" t="s">
        <v>145</v>
      </c>
      <c r="BM163" s="20" t="s">
        <v>311</v>
      </c>
    </row>
    <row r="164" spans="2:65" s="10" customFormat="1" ht="16.5" customHeight="1" x14ac:dyDescent="0.3">
      <c r="B164" s="159"/>
      <c r="C164" s="160"/>
      <c r="D164" s="160"/>
      <c r="E164" s="161" t="s">
        <v>19</v>
      </c>
      <c r="F164" s="267" t="s">
        <v>312</v>
      </c>
      <c r="G164" s="268"/>
      <c r="H164" s="268"/>
      <c r="I164" s="268"/>
      <c r="J164" s="160"/>
      <c r="K164" s="162">
        <v>22.463999999999999</v>
      </c>
      <c r="L164" s="329"/>
      <c r="M164" s="221"/>
      <c r="N164" s="160"/>
      <c r="O164" s="160"/>
      <c r="P164" s="160"/>
      <c r="Q164" s="160"/>
      <c r="R164" s="163"/>
      <c r="T164" s="164"/>
      <c r="U164" s="160"/>
      <c r="V164" s="160"/>
      <c r="W164" s="160"/>
      <c r="X164" s="160"/>
      <c r="Y164" s="160"/>
      <c r="Z164" s="160"/>
      <c r="AA164" s="165"/>
      <c r="AT164" s="166" t="s">
        <v>148</v>
      </c>
      <c r="AU164" s="166" t="s">
        <v>99</v>
      </c>
      <c r="AV164" s="10" t="s">
        <v>99</v>
      </c>
      <c r="AW164" s="10" t="s">
        <v>33</v>
      </c>
      <c r="AX164" s="10" t="s">
        <v>83</v>
      </c>
      <c r="AY164" s="166" t="s">
        <v>140</v>
      </c>
    </row>
    <row r="165" spans="2:65" s="1" customFormat="1" ht="25.5" customHeight="1" x14ac:dyDescent="0.3">
      <c r="B165" s="33"/>
      <c r="C165" s="151">
        <f>C163+1</f>
        <v>16</v>
      </c>
      <c r="D165" s="151" t="s">
        <v>141</v>
      </c>
      <c r="E165" s="209" t="s">
        <v>549</v>
      </c>
      <c r="F165" s="305" t="s">
        <v>522</v>
      </c>
      <c r="G165" s="305"/>
      <c r="H165" s="305"/>
      <c r="I165" s="305"/>
      <c r="J165" s="153" t="s">
        <v>144</v>
      </c>
      <c r="K165" s="154">
        <f>K166</f>
        <v>7.74</v>
      </c>
      <c r="L165" s="328"/>
      <c r="M165" s="220"/>
      <c r="N165" s="264">
        <f>ROUND(L165*K165,2)</f>
        <v>0</v>
      </c>
      <c r="O165" s="264"/>
      <c r="P165" s="264"/>
      <c r="Q165" s="264"/>
      <c r="R165" s="35"/>
      <c r="T165" s="155" t="s">
        <v>19</v>
      </c>
      <c r="U165" s="42" t="s">
        <v>41</v>
      </c>
      <c r="V165" s="156">
        <v>1.5860000000000001</v>
      </c>
      <c r="W165" s="156">
        <f>V165*K165</f>
        <v>12.275640000000001</v>
      </c>
      <c r="X165" s="156">
        <v>0</v>
      </c>
      <c r="Y165" s="156">
        <f>X165*K165</f>
        <v>0</v>
      </c>
      <c r="Z165" s="156">
        <v>2.4</v>
      </c>
      <c r="AA165" s="157">
        <f>Z165*K165</f>
        <v>18.576000000000001</v>
      </c>
      <c r="AR165" s="20" t="s">
        <v>145</v>
      </c>
      <c r="AT165" s="20" t="s">
        <v>141</v>
      </c>
      <c r="AU165" s="20" t="s">
        <v>99</v>
      </c>
      <c r="AY165" s="20" t="s">
        <v>140</v>
      </c>
      <c r="BE165" s="158">
        <f>IF(U165="základní",N165,0)</f>
        <v>0</v>
      </c>
      <c r="BF165" s="158">
        <f>IF(U165="snížená",N165,0)</f>
        <v>0</v>
      </c>
      <c r="BG165" s="158">
        <f>IF(U165="zákl. přenesená",N165,0)</f>
        <v>0</v>
      </c>
      <c r="BH165" s="158">
        <f>IF(U165="sníž. přenesená",N165,0)</f>
        <v>0</v>
      </c>
      <c r="BI165" s="158">
        <f>IF(U165="nulová",N165,0)</f>
        <v>0</v>
      </c>
      <c r="BJ165" s="20" t="s">
        <v>83</v>
      </c>
      <c r="BK165" s="158">
        <f>ROUND(L165*K165,2)</f>
        <v>0</v>
      </c>
      <c r="BL165" s="20" t="s">
        <v>145</v>
      </c>
      <c r="BM165" s="20" t="s">
        <v>364</v>
      </c>
    </row>
    <row r="166" spans="2:65" s="10" customFormat="1" ht="16.5" customHeight="1" x14ac:dyDescent="0.3">
      <c r="B166" s="159"/>
      <c r="C166" s="203"/>
      <c r="D166" s="203"/>
      <c r="E166" s="210" t="s">
        <v>19</v>
      </c>
      <c r="F166" s="306" t="s">
        <v>540</v>
      </c>
      <c r="G166" s="307"/>
      <c r="H166" s="307"/>
      <c r="I166" s="307"/>
      <c r="J166" s="203"/>
      <c r="K166" s="162">
        <f>(1.9*2+1.75*2+1.25*2+0.95)*0.3*2.4</f>
        <v>7.74</v>
      </c>
      <c r="L166" s="329"/>
      <c r="M166" s="221"/>
      <c r="N166" s="203"/>
      <c r="O166" s="203"/>
      <c r="P166" s="203"/>
      <c r="Q166" s="203"/>
      <c r="R166" s="163"/>
      <c r="T166" s="164"/>
      <c r="U166" s="203"/>
      <c r="V166" s="203"/>
      <c r="W166" s="203"/>
      <c r="X166" s="203"/>
      <c r="Y166" s="203"/>
      <c r="Z166" s="203"/>
      <c r="AA166" s="165"/>
      <c r="AT166" s="166" t="s">
        <v>148</v>
      </c>
      <c r="AU166" s="166" t="s">
        <v>99</v>
      </c>
      <c r="AV166" s="10" t="s">
        <v>99</v>
      </c>
      <c r="AW166" s="10" t="s">
        <v>33</v>
      </c>
      <c r="AX166" s="10" t="s">
        <v>83</v>
      </c>
      <c r="AY166" s="166" t="s">
        <v>140</v>
      </c>
    </row>
    <row r="167" spans="2:65" s="1" customFormat="1" ht="25.5" customHeight="1" x14ac:dyDescent="0.3">
      <c r="B167" s="33"/>
      <c r="C167" s="151">
        <f>C165+1</f>
        <v>17</v>
      </c>
      <c r="D167" s="151" t="s">
        <v>141</v>
      </c>
      <c r="E167" s="209" t="s">
        <v>550</v>
      </c>
      <c r="F167" s="305" t="s">
        <v>541</v>
      </c>
      <c r="G167" s="305"/>
      <c r="H167" s="305"/>
      <c r="I167" s="305"/>
      <c r="J167" s="153" t="s">
        <v>144</v>
      </c>
      <c r="K167" s="154">
        <f>K168</f>
        <v>1.8</v>
      </c>
      <c r="L167" s="328"/>
      <c r="M167" s="220"/>
      <c r="N167" s="264">
        <f>ROUND(L167*K167,2)</f>
        <v>0</v>
      </c>
      <c r="O167" s="264"/>
      <c r="P167" s="264"/>
      <c r="Q167" s="264"/>
      <c r="R167" s="35"/>
      <c r="T167" s="155" t="s">
        <v>19</v>
      </c>
      <c r="U167" s="42" t="s">
        <v>41</v>
      </c>
      <c r="V167" s="156">
        <v>1.5860000000000001</v>
      </c>
      <c r="W167" s="156">
        <f>V167*K167</f>
        <v>2.8548</v>
      </c>
      <c r="X167" s="156">
        <v>0</v>
      </c>
      <c r="Y167" s="156">
        <f>X167*K167</f>
        <v>0</v>
      </c>
      <c r="Z167" s="156">
        <v>2.2999999999999998</v>
      </c>
      <c r="AA167" s="157">
        <f>Z167*K167</f>
        <v>4.1399999999999997</v>
      </c>
      <c r="AR167" s="20" t="s">
        <v>145</v>
      </c>
      <c r="AT167" s="20" t="s">
        <v>141</v>
      </c>
      <c r="AU167" s="20" t="s">
        <v>99</v>
      </c>
      <c r="AY167" s="20" t="s">
        <v>140</v>
      </c>
      <c r="BE167" s="158">
        <f>IF(U167="základní",N167,0)</f>
        <v>0</v>
      </c>
      <c r="BF167" s="158">
        <f>IF(U167="snížená",N167,0)</f>
        <v>0</v>
      </c>
      <c r="BG167" s="158">
        <f>IF(U167="zákl. přenesená",N167,0)</f>
        <v>0</v>
      </c>
      <c r="BH167" s="158">
        <f>IF(U167="sníž. přenesená",N167,0)</f>
        <v>0</v>
      </c>
      <c r="BI167" s="158">
        <f>IF(U167="nulová",N167,0)</f>
        <v>0</v>
      </c>
      <c r="BJ167" s="20" t="s">
        <v>83</v>
      </c>
      <c r="BK167" s="158">
        <f>ROUND(L167*K167,2)</f>
        <v>0</v>
      </c>
      <c r="BL167" s="20" t="s">
        <v>145</v>
      </c>
      <c r="BM167" s="20" t="s">
        <v>364</v>
      </c>
    </row>
    <row r="168" spans="2:65" s="10" customFormat="1" ht="16.5" customHeight="1" x14ac:dyDescent="0.3">
      <c r="B168" s="159"/>
      <c r="C168" s="203"/>
      <c r="D168" s="203"/>
      <c r="E168" s="210" t="s">
        <v>19</v>
      </c>
      <c r="F168" s="306" t="s">
        <v>543</v>
      </c>
      <c r="G168" s="307"/>
      <c r="H168" s="307"/>
      <c r="I168" s="307"/>
      <c r="J168" s="203"/>
      <c r="K168" s="162">
        <f>3*3*0.2</f>
        <v>1.8</v>
      </c>
      <c r="L168" s="329"/>
      <c r="M168" s="221"/>
      <c r="N168" s="203"/>
      <c r="O168" s="203"/>
      <c r="P168" s="203"/>
      <c r="Q168" s="203"/>
      <c r="R168" s="163"/>
      <c r="T168" s="164"/>
      <c r="U168" s="203"/>
      <c r="V168" s="203"/>
      <c r="W168" s="203"/>
      <c r="X168" s="203"/>
      <c r="Y168" s="203"/>
      <c r="Z168" s="203"/>
      <c r="AA168" s="165"/>
      <c r="AT168" s="166" t="s">
        <v>148</v>
      </c>
      <c r="AU168" s="166" t="s">
        <v>99</v>
      </c>
      <c r="AV168" s="10" t="s">
        <v>99</v>
      </c>
      <c r="AW168" s="10" t="s">
        <v>33</v>
      </c>
      <c r="AX168" s="10" t="s">
        <v>83</v>
      </c>
      <c r="AY168" s="166" t="s">
        <v>140</v>
      </c>
    </row>
    <row r="169" spans="2:65" s="1" customFormat="1" ht="25.5" customHeight="1" x14ac:dyDescent="0.3">
      <c r="B169" s="33"/>
      <c r="C169" s="151">
        <f>C167+1</f>
        <v>18</v>
      </c>
      <c r="D169" s="151" t="s">
        <v>141</v>
      </c>
      <c r="E169" s="209" t="s">
        <v>456</v>
      </c>
      <c r="F169" s="305" t="s">
        <v>542</v>
      </c>
      <c r="G169" s="305"/>
      <c r="H169" s="305"/>
      <c r="I169" s="305"/>
      <c r="J169" s="153" t="s">
        <v>144</v>
      </c>
      <c r="K169" s="154">
        <f>K170</f>
        <v>7.0379999999999994</v>
      </c>
      <c r="L169" s="328"/>
      <c r="M169" s="220"/>
      <c r="N169" s="264">
        <f>ROUND(L169*K169,2)</f>
        <v>0</v>
      </c>
      <c r="O169" s="264"/>
      <c r="P169" s="264"/>
      <c r="Q169" s="264"/>
      <c r="R169" s="35"/>
      <c r="T169" s="155" t="s">
        <v>19</v>
      </c>
      <c r="U169" s="42" t="s">
        <v>41</v>
      </c>
      <c r="V169" s="156">
        <v>1.5860000000000001</v>
      </c>
      <c r="W169" s="156">
        <f>V169*K169</f>
        <v>11.162267999999999</v>
      </c>
      <c r="X169" s="156">
        <v>0</v>
      </c>
      <c r="Y169" s="156">
        <f>X169*K169</f>
        <v>0</v>
      </c>
      <c r="Z169" s="156">
        <v>2.2999999999999998</v>
      </c>
      <c r="AA169" s="157">
        <f>Z169*K169</f>
        <v>16.187399999999997</v>
      </c>
      <c r="AR169" s="20" t="s">
        <v>145</v>
      </c>
      <c r="AT169" s="20" t="s">
        <v>141</v>
      </c>
      <c r="AU169" s="20" t="s">
        <v>99</v>
      </c>
      <c r="AY169" s="20" t="s">
        <v>140</v>
      </c>
      <c r="BE169" s="158">
        <f>IF(U169="základní",N169,0)</f>
        <v>0</v>
      </c>
      <c r="BF169" s="158">
        <f>IF(U169="snížená",N169,0)</f>
        <v>0</v>
      </c>
      <c r="BG169" s="158">
        <f>IF(U169="zákl. přenesená",N169,0)</f>
        <v>0</v>
      </c>
      <c r="BH169" s="158">
        <f>IF(U169="sníž. přenesená",N169,0)</f>
        <v>0</v>
      </c>
      <c r="BI169" s="158">
        <f>IF(U169="nulová",N169,0)</f>
        <v>0</v>
      </c>
      <c r="BJ169" s="20" t="s">
        <v>83</v>
      </c>
      <c r="BK169" s="158">
        <f>ROUND(L169*K169,2)</f>
        <v>0</v>
      </c>
      <c r="BL169" s="20" t="s">
        <v>145</v>
      </c>
      <c r="BM169" s="20" t="s">
        <v>364</v>
      </c>
    </row>
    <row r="170" spans="2:65" s="10" customFormat="1" ht="16.5" customHeight="1" x14ac:dyDescent="0.3">
      <c r="B170" s="159"/>
      <c r="C170" s="203"/>
      <c r="D170" s="203"/>
      <c r="E170" s="161" t="s">
        <v>19</v>
      </c>
      <c r="F170" s="267" t="s">
        <v>544</v>
      </c>
      <c r="G170" s="268"/>
      <c r="H170" s="268"/>
      <c r="I170" s="268"/>
      <c r="J170" s="203"/>
      <c r="K170" s="162">
        <f>(3.9*2+3*2)*0.6*0.85</f>
        <v>7.0379999999999994</v>
      </c>
      <c r="L170" s="329"/>
      <c r="M170" s="221"/>
      <c r="N170" s="203"/>
      <c r="O170" s="203"/>
      <c r="P170" s="203"/>
      <c r="Q170" s="203"/>
      <c r="R170" s="163"/>
      <c r="T170" s="164"/>
      <c r="U170" s="203"/>
      <c r="V170" s="203"/>
      <c r="W170" s="203"/>
      <c r="X170" s="203"/>
      <c r="Y170" s="203"/>
      <c r="Z170" s="203"/>
      <c r="AA170" s="165"/>
      <c r="AT170" s="166" t="s">
        <v>148</v>
      </c>
      <c r="AU170" s="166" t="s">
        <v>99</v>
      </c>
      <c r="AV170" s="10" t="s">
        <v>99</v>
      </c>
      <c r="AW170" s="10" t="s">
        <v>33</v>
      </c>
      <c r="AX170" s="10" t="s">
        <v>83</v>
      </c>
      <c r="AY170" s="166" t="s">
        <v>140</v>
      </c>
    </row>
    <row r="171" spans="2:65" s="1" customFormat="1" ht="25.5" customHeight="1" x14ac:dyDescent="0.3">
      <c r="B171" s="33"/>
      <c r="C171" s="151">
        <f>C169+1</f>
        <v>19</v>
      </c>
      <c r="D171" s="151" t="s">
        <v>141</v>
      </c>
      <c r="E171" s="152" t="s">
        <v>283</v>
      </c>
      <c r="F171" s="263" t="s">
        <v>284</v>
      </c>
      <c r="G171" s="263"/>
      <c r="H171" s="263"/>
      <c r="I171" s="263"/>
      <c r="J171" s="153" t="s">
        <v>144</v>
      </c>
      <c r="K171" s="154">
        <v>9.5069999999999997</v>
      </c>
      <c r="L171" s="328"/>
      <c r="M171" s="220"/>
      <c r="N171" s="264">
        <f>ROUND(L171*K171,2)</f>
        <v>0</v>
      </c>
      <c r="O171" s="264"/>
      <c r="P171" s="264"/>
      <c r="Q171" s="264"/>
      <c r="R171" s="35"/>
      <c r="T171" s="155" t="s">
        <v>19</v>
      </c>
      <c r="U171" s="42" t="s">
        <v>41</v>
      </c>
      <c r="V171" s="156">
        <v>6.72</v>
      </c>
      <c r="W171" s="156">
        <f>V171*K171</f>
        <v>63.887039999999999</v>
      </c>
      <c r="X171" s="156">
        <v>0</v>
      </c>
      <c r="Y171" s="156">
        <f>X171*K171</f>
        <v>0</v>
      </c>
      <c r="Z171" s="156">
        <v>2.4</v>
      </c>
      <c r="AA171" s="157">
        <f>Z171*K171</f>
        <v>22.816799999999997</v>
      </c>
      <c r="AR171" s="20" t="s">
        <v>145</v>
      </c>
      <c r="AT171" s="20" t="s">
        <v>141</v>
      </c>
      <c r="AU171" s="20" t="s">
        <v>99</v>
      </c>
      <c r="AY171" s="20" t="s">
        <v>140</v>
      </c>
      <c r="BE171" s="158">
        <f>IF(U171="základní",N171,0)</f>
        <v>0</v>
      </c>
      <c r="BF171" s="158">
        <f>IF(U171="snížená",N171,0)</f>
        <v>0</v>
      </c>
      <c r="BG171" s="158">
        <f>IF(U171="zákl. přenesená",N171,0)</f>
        <v>0</v>
      </c>
      <c r="BH171" s="158">
        <f>IF(U171="sníž. přenesená",N171,0)</f>
        <v>0</v>
      </c>
      <c r="BI171" s="158">
        <f>IF(U171="nulová",N171,0)</f>
        <v>0</v>
      </c>
      <c r="BJ171" s="20" t="s">
        <v>83</v>
      </c>
      <c r="BK171" s="158">
        <f>ROUND(L171*K171,2)</f>
        <v>0</v>
      </c>
      <c r="BL171" s="20" t="s">
        <v>145</v>
      </c>
      <c r="BM171" s="20" t="s">
        <v>313</v>
      </c>
    </row>
    <row r="172" spans="2:65" s="10" customFormat="1" ht="16.5" customHeight="1" x14ac:dyDescent="0.3">
      <c r="B172" s="159"/>
      <c r="C172" s="160"/>
      <c r="D172" s="160"/>
      <c r="E172" s="161" t="s">
        <v>19</v>
      </c>
      <c r="F172" s="267" t="s">
        <v>314</v>
      </c>
      <c r="G172" s="268"/>
      <c r="H172" s="268"/>
      <c r="I172" s="268"/>
      <c r="J172" s="160"/>
      <c r="K172" s="162">
        <v>3.0419999999999998</v>
      </c>
      <c r="L172" s="329"/>
      <c r="M172" s="221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148</v>
      </c>
      <c r="AU172" s="166" t="s">
        <v>99</v>
      </c>
      <c r="AV172" s="10" t="s">
        <v>99</v>
      </c>
      <c r="AW172" s="10" t="s">
        <v>33</v>
      </c>
      <c r="AX172" s="10" t="s">
        <v>76</v>
      </c>
      <c r="AY172" s="166" t="s">
        <v>140</v>
      </c>
    </row>
    <row r="173" spans="2:65" s="10" customFormat="1" ht="16.5" customHeight="1" x14ac:dyDescent="0.3">
      <c r="B173" s="159"/>
      <c r="C173" s="160"/>
      <c r="D173" s="160"/>
      <c r="E173" s="161" t="s">
        <v>19</v>
      </c>
      <c r="F173" s="279" t="s">
        <v>315</v>
      </c>
      <c r="G173" s="280"/>
      <c r="H173" s="280"/>
      <c r="I173" s="280"/>
      <c r="J173" s="160"/>
      <c r="K173" s="162">
        <v>6.4649999999999999</v>
      </c>
      <c r="L173" s="329"/>
      <c r="M173" s="221"/>
      <c r="N173" s="160"/>
      <c r="O173" s="160"/>
      <c r="P173" s="160"/>
      <c r="Q173" s="160"/>
      <c r="R173" s="163"/>
      <c r="T173" s="164"/>
      <c r="U173" s="160"/>
      <c r="V173" s="160"/>
      <c r="W173" s="160"/>
      <c r="X173" s="160"/>
      <c r="Y173" s="160"/>
      <c r="Z173" s="160"/>
      <c r="AA173" s="165"/>
      <c r="AT173" s="166" t="s">
        <v>148</v>
      </c>
      <c r="AU173" s="166" t="s">
        <v>99</v>
      </c>
      <c r="AV173" s="10" t="s">
        <v>99</v>
      </c>
      <c r="AW173" s="10" t="s">
        <v>33</v>
      </c>
      <c r="AX173" s="10" t="s">
        <v>76</v>
      </c>
      <c r="AY173" s="166" t="s">
        <v>140</v>
      </c>
    </row>
    <row r="174" spans="2:65" s="11" customFormat="1" ht="16.5" customHeight="1" x14ac:dyDescent="0.3">
      <c r="B174" s="167"/>
      <c r="C174" s="168"/>
      <c r="D174" s="168"/>
      <c r="E174" s="169" t="s">
        <v>19</v>
      </c>
      <c r="F174" s="281" t="s">
        <v>151</v>
      </c>
      <c r="G174" s="282"/>
      <c r="H174" s="282"/>
      <c r="I174" s="282"/>
      <c r="J174" s="168"/>
      <c r="K174" s="170">
        <v>9.5069999999999997</v>
      </c>
      <c r="L174" s="330"/>
      <c r="M174" s="218"/>
      <c r="N174" s="168"/>
      <c r="O174" s="168"/>
      <c r="P174" s="168"/>
      <c r="Q174" s="168"/>
      <c r="R174" s="171"/>
      <c r="T174" s="172"/>
      <c r="U174" s="168"/>
      <c r="V174" s="168"/>
      <c r="W174" s="168"/>
      <c r="X174" s="168"/>
      <c r="Y174" s="168"/>
      <c r="Z174" s="168"/>
      <c r="AA174" s="173"/>
      <c r="AT174" s="174" t="s">
        <v>148</v>
      </c>
      <c r="AU174" s="174" t="s">
        <v>99</v>
      </c>
      <c r="AV174" s="11" t="s">
        <v>145</v>
      </c>
      <c r="AW174" s="11" t="s">
        <v>33</v>
      </c>
      <c r="AX174" s="11" t="s">
        <v>83</v>
      </c>
      <c r="AY174" s="174" t="s">
        <v>140</v>
      </c>
    </row>
    <row r="175" spans="2:65" s="1" customFormat="1" ht="25.5" customHeight="1" x14ac:dyDescent="0.3">
      <c r="B175" s="33"/>
      <c r="C175" s="151">
        <f>C171+1</f>
        <v>20</v>
      </c>
      <c r="D175" s="151" t="s">
        <v>141</v>
      </c>
      <c r="E175" s="152" t="s">
        <v>217</v>
      </c>
      <c r="F175" s="263" t="s">
        <v>316</v>
      </c>
      <c r="G175" s="263"/>
      <c r="H175" s="263"/>
      <c r="I175" s="263"/>
      <c r="J175" s="153" t="s">
        <v>165</v>
      </c>
      <c r="K175" s="154">
        <v>20.25</v>
      </c>
      <c r="L175" s="328"/>
      <c r="M175" s="220"/>
      <c r="N175" s="264">
        <f>ROUND(L175*K175,2)</f>
        <v>0</v>
      </c>
      <c r="O175" s="264"/>
      <c r="P175" s="264"/>
      <c r="Q175" s="264"/>
      <c r="R175" s="35"/>
      <c r="T175" s="155" t="s">
        <v>19</v>
      </c>
      <c r="U175" s="42" t="s">
        <v>41</v>
      </c>
      <c r="V175" s="156">
        <v>0.63</v>
      </c>
      <c r="W175" s="156">
        <f>V175*K175</f>
        <v>12.7575</v>
      </c>
      <c r="X175" s="156">
        <v>0</v>
      </c>
      <c r="Y175" s="156">
        <f>X175*K175</f>
        <v>0</v>
      </c>
      <c r="Z175" s="156">
        <v>8.9999999999999993E-3</v>
      </c>
      <c r="AA175" s="157">
        <f>Z175*K175</f>
        <v>0.18225</v>
      </c>
      <c r="AR175" s="20" t="s">
        <v>145</v>
      </c>
      <c r="AT175" s="20" t="s">
        <v>141</v>
      </c>
      <c r="AU175" s="20" t="s">
        <v>99</v>
      </c>
      <c r="AY175" s="20" t="s">
        <v>140</v>
      </c>
      <c r="BE175" s="158">
        <f>IF(U175="základní",N175,0)</f>
        <v>0</v>
      </c>
      <c r="BF175" s="158">
        <f>IF(U175="snížená",N175,0)</f>
        <v>0</v>
      </c>
      <c r="BG175" s="158">
        <f>IF(U175="zákl. přenesená",N175,0)</f>
        <v>0</v>
      </c>
      <c r="BH175" s="158">
        <f>IF(U175="sníž. přenesená",N175,0)</f>
        <v>0</v>
      </c>
      <c r="BI175" s="158">
        <f>IF(U175="nulová",N175,0)</f>
        <v>0</v>
      </c>
      <c r="BJ175" s="20" t="s">
        <v>83</v>
      </c>
      <c r="BK175" s="158">
        <f>ROUND(L175*K175,2)</f>
        <v>0</v>
      </c>
      <c r="BL175" s="20" t="s">
        <v>145</v>
      </c>
      <c r="BM175" s="20" t="s">
        <v>317</v>
      </c>
    </row>
    <row r="176" spans="2:65" s="10" customFormat="1" ht="16.5" customHeight="1" x14ac:dyDescent="0.3">
      <c r="B176" s="159"/>
      <c r="C176" s="160"/>
      <c r="D176" s="160"/>
      <c r="E176" s="161" t="s">
        <v>19</v>
      </c>
      <c r="F176" s="267" t="s">
        <v>307</v>
      </c>
      <c r="G176" s="268"/>
      <c r="H176" s="268"/>
      <c r="I176" s="268"/>
      <c r="J176" s="160"/>
      <c r="K176" s="162">
        <v>20.25</v>
      </c>
      <c r="L176" s="329"/>
      <c r="M176" s="221"/>
      <c r="N176" s="160"/>
      <c r="O176" s="160"/>
      <c r="P176" s="160"/>
      <c r="Q176" s="160"/>
      <c r="R176" s="163"/>
      <c r="T176" s="164"/>
      <c r="U176" s="160"/>
      <c r="V176" s="160"/>
      <c r="W176" s="160"/>
      <c r="X176" s="160"/>
      <c r="Y176" s="160"/>
      <c r="Z176" s="160"/>
      <c r="AA176" s="165"/>
      <c r="AT176" s="166" t="s">
        <v>148</v>
      </c>
      <c r="AU176" s="166" t="s">
        <v>99</v>
      </c>
      <c r="AV176" s="10" t="s">
        <v>99</v>
      </c>
      <c r="AW176" s="10" t="s">
        <v>33</v>
      </c>
      <c r="AX176" s="10" t="s">
        <v>83</v>
      </c>
      <c r="AY176" s="166" t="s">
        <v>140</v>
      </c>
    </row>
    <row r="177" spans="2:65" s="1" customFormat="1" ht="25.5" customHeight="1" x14ac:dyDescent="0.3">
      <c r="B177" s="33"/>
      <c r="C177" s="151">
        <f>C175+1</f>
        <v>21</v>
      </c>
      <c r="D177" s="151" t="s">
        <v>141</v>
      </c>
      <c r="E177" s="152" t="s">
        <v>318</v>
      </c>
      <c r="F177" s="263" t="s">
        <v>319</v>
      </c>
      <c r="G177" s="263"/>
      <c r="H177" s="263"/>
      <c r="I177" s="263"/>
      <c r="J177" s="153" t="s">
        <v>165</v>
      </c>
      <c r="K177" s="154">
        <v>5.2249999999999996</v>
      </c>
      <c r="L177" s="328"/>
      <c r="M177" s="220"/>
      <c r="N177" s="264">
        <f>ROUND(L177*K177,2)</f>
        <v>0</v>
      </c>
      <c r="O177" s="264"/>
      <c r="P177" s="264"/>
      <c r="Q177" s="264"/>
      <c r="R177" s="35"/>
      <c r="T177" s="155" t="s">
        <v>19</v>
      </c>
      <c r="U177" s="42" t="s">
        <v>41</v>
      </c>
      <c r="V177" s="156">
        <v>0.3</v>
      </c>
      <c r="W177" s="156">
        <f>V177*K177</f>
        <v>1.5674999999999999</v>
      </c>
      <c r="X177" s="156">
        <v>0</v>
      </c>
      <c r="Y177" s="156">
        <f>X177*K177</f>
        <v>0</v>
      </c>
      <c r="Z177" s="156">
        <v>6.8000000000000005E-2</v>
      </c>
      <c r="AA177" s="157">
        <f>Z177*K177</f>
        <v>0.3553</v>
      </c>
      <c r="AR177" s="20" t="s">
        <v>145</v>
      </c>
      <c r="AT177" s="20" t="s">
        <v>141</v>
      </c>
      <c r="AU177" s="20" t="s">
        <v>99</v>
      </c>
      <c r="AY177" s="20" t="s">
        <v>140</v>
      </c>
      <c r="BE177" s="158">
        <f>IF(U177="základní",N177,0)</f>
        <v>0</v>
      </c>
      <c r="BF177" s="158">
        <f>IF(U177="snížená",N177,0)</f>
        <v>0</v>
      </c>
      <c r="BG177" s="158">
        <f>IF(U177="zákl. přenesená",N177,0)</f>
        <v>0</v>
      </c>
      <c r="BH177" s="158">
        <f>IF(U177="sníž. přenesená",N177,0)</f>
        <v>0</v>
      </c>
      <c r="BI177" s="158">
        <f>IF(U177="nulová",N177,0)</f>
        <v>0</v>
      </c>
      <c r="BJ177" s="20" t="s">
        <v>83</v>
      </c>
      <c r="BK177" s="158">
        <f>ROUND(L177*K177,2)</f>
        <v>0</v>
      </c>
      <c r="BL177" s="20" t="s">
        <v>145</v>
      </c>
      <c r="BM177" s="20" t="s">
        <v>320</v>
      </c>
    </row>
    <row r="178" spans="2:65" s="10" customFormat="1" ht="16.5" customHeight="1" x14ac:dyDescent="0.3">
      <c r="B178" s="159"/>
      <c r="C178" s="160"/>
      <c r="D178" s="160"/>
      <c r="E178" s="161" t="s">
        <v>19</v>
      </c>
      <c r="F178" s="267" t="s">
        <v>321</v>
      </c>
      <c r="G178" s="268"/>
      <c r="H178" s="268"/>
      <c r="I178" s="268"/>
      <c r="J178" s="160"/>
      <c r="K178" s="162">
        <v>5.2249999999999996</v>
      </c>
      <c r="L178" s="329"/>
      <c r="M178" s="221"/>
      <c r="N178" s="160"/>
      <c r="O178" s="160"/>
      <c r="P178" s="160"/>
      <c r="Q178" s="160"/>
      <c r="R178" s="163"/>
      <c r="T178" s="164"/>
      <c r="U178" s="160"/>
      <c r="V178" s="160"/>
      <c r="W178" s="160"/>
      <c r="X178" s="160"/>
      <c r="Y178" s="160"/>
      <c r="Z178" s="160"/>
      <c r="AA178" s="165"/>
      <c r="AT178" s="166" t="s">
        <v>148</v>
      </c>
      <c r="AU178" s="166" t="s">
        <v>99</v>
      </c>
      <c r="AV178" s="10" t="s">
        <v>99</v>
      </c>
      <c r="AW178" s="10" t="s">
        <v>33</v>
      </c>
      <c r="AX178" s="10" t="s">
        <v>83</v>
      </c>
      <c r="AY178" s="166" t="s">
        <v>140</v>
      </c>
    </row>
    <row r="179" spans="2:65" s="9" customFormat="1" ht="29.85" customHeight="1" x14ac:dyDescent="0.3">
      <c r="B179" s="140"/>
      <c r="C179" s="141"/>
      <c r="D179" s="150" t="s">
        <v>116</v>
      </c>
      <c r="E179" s="150"/>
      <c r="F179" s="150"/>
      <c r="G179" s="150"/>
      <c r="H179" s="150"/>
      <c r="I179" s="150"/>
      <c r="J179" s="150"/>
      <c r="K179" s="150"/>
      <c r="L179" s="332"/>
      <c r="M179" s="150"/>
      <c r="N179" s="269">
        <f>SUM(N180:N183)</f>
        <v>0</v>
      </c>
      <c r="O179" s="270"/>
      <c r="P179" s="270"/>
      <c r="Q179" s="270"/>
      <c r="R179" s="143"/>
      <c r="T179" s="144"/>
      <c r="U179" s="141"/>
      <c r="V179" s="141"/>
      <c r="W179" s="145">
        <f>SUM(W180:W183)</f>
        <v>218.14699999999999</v>
      </c>
      <c r="X179" s="141"/>
      <c r="Y179" s="145">
        <f>SUM(Y180:Y183)</f>
        <v>0</v>
      </c>
      <c r="Z179" s="141"/>
      <c r="AA179" s="146">
        <f>SUM(AA180:AA183)</f>
        <v>0</v>
      </c>
      <c r="AR179" s="147" t="s">
        <v>83</v>
      </c>
      <c r="AT179" s="148" t="s">
        <v>75</v>
      </c>
      <c r="AU179" s="148" t="s">
        <v>83</v>
      </c>
      <c r="AY179" s="147" t="s">
        <v>140</v>
      </c>
      <c r="BK179" s="149">
        <f>SUM(BK180:BK183)</f>
        <v>0</v>
      </c>
    </row>
    <row r="180" spans="2:65" s="1" customFormat="1" ht="25.5" customHeight="1" x14ac:dyDescent="0.3">
      <c r="B180" s="33"/>
      <c r="C180" s="151">
        <f>C177+1</f>
        <v>22</v>
      </c>
      <c r="D180" s="151" t="s">
        <v>141</v>
      </c>
      <c r="E180" s="152" t="s">
        <v>220</v>
      </c>
      <c r="F180" s="263" t="s">
        <v>221</v>
      </c>
      <c r="G180" s="263"/>
      <c r="H180" s="263"/>
      <c r="I180" s="263"/>
      <c r="J180" s="153" t="s">
        <v>155</v>
      </c>
      <c r="K180" s="154">
        <f>K181+K182</f>
        <v>113.5</v>
      </c>
      <c r="L180" s="328"/>
      <c r="M180" s="220"/>
      <c r="N180" s="264">
        <f>ROUND(L180*K180,2)</f>
        <v>0</v>
      </c>
      <c r="O180" s="264"/>
      <c r="P180" s="264"/>
      <c r="Q180" s="264"/>
      <c r="R180" s="35"/>
      <c r="T180" s="155" t="s">
        <v>19</v>
      </c>
      <c r="U180" s="42" t="s">
        <v>41</v>
      </c>
      <c r="V180" s="156">
        <v>0.125</v>
      </c>
      <c r="W180" s="156">
        <f>V180*K180</f>
        <v>14.1875</v>
      </c>
      <c r="X180" s="156">
        <v>0</v>
      </c>
      <c r="Y180" s="156">
        <f>X180*K180</f>
        <v>0</v>
      </c>
      <c r="Z180" s="156">
        <v>0</v>
      </c>
      <c r="AA180" s="157">
        <f>Z180*K180</f>
        <v>0</v>
      </c>
      <c r="AR180" s="20" t="s">
        <v>145</v>
      </c>
      <c r="AT180" s="20" t="s">
        <v>141</v>
      </c>
      <c r="AU180" s="20" t="s">
        <v>99</v>
      </c>
      <c r="AY180" s="20" t="s">
        <v>140</v>
      </c>
      <c r="BE180" s="158">
        <f>IF(U180="základní",N180,0)</f>
        <v>0</v>
      </c>
      <c r="BF180" s="158">
        <f>IF(U180="snížená",N180,0)</f>
        <v>0</v>
      </c>
      <c r="BG180" s="158">
        <f>IF(U180="zákl. přenesená",N180,0)</f>
        <v>0</v>
      </c>
      <c r="BH180" s="158">
        <f>IF(U180="sníž. přenesená",N180,0)</f>
        <v>0</v>
      </c>
      <c r="BI180" s="158">
        <f>IF(U180="nulová",N180,0)</f>
        <v>0</v>
      </c>
      <c r="BJ180" s="20" t="s">
        <v>83</v>
      </c>
      <c r="BK180" s="158">
        <f>ROUND(L180*K180,2)</f>
        <v>0</v>
      </c>
      <c r="BL180" s="20" t="s">
        <v>145</v>
      </c>
      <c r="BM180" s="20" t="s">
        <v>322</v>
      </c>
    </row>
    <row r="181" spans="2:65" s="1" customFormat="1" ht="25.5" customHeight="1" x14ac:dyDescent="0.3">
      <c r="B181" s="33"/>
      <c r="C181" s="151">
        <f>C180+1</f>
        <v>23</v>
      </c>
      <c r="D181" s="151" t="s">
        <v>141</v>
      </c>
      <c r="E181" s="152" t="s">
        <v>223</v>
      </c>
      <c r="F181" s="263" t="s">
        <v>505</v>
      </c>
      <c r="G181" s="263"/>
      <c r="H181" s="263"/>
      <c r="I181" s="263"/>
      <c r="J181" s="153" t="s">
        <v>155</v>
      </c>
      <c r="K181" s="154">
        <v>113.25</v>
      </c>
      <c r="L181" s="328"/>
      <c r="M181" s="220"/>
      <c r="N181" s="264">
        <f>ROUND(L181*K181,2)</f>
        <v>0</v>
      </c>
      <c r="O181" s="264"/>
      <c r="P181" s="264"/>
      <c r="Q181" s="264"/>
      <c r="R181" s="35"/>
      <c r="T181" s="155" t="s">
        <v>19</v>
      </c>
      <c r="U181" s="42" t="s">
        <v>41</v>
      </c>
      <c r="V181" s="156">
        <v>0</v>
      </c>
      <c r="W181" s="156">
        <f>V181*K181</f>
        <v>0</v>
      </c>
      <c r="X181" s="156">
        <v>0</v>
      </c>
      <c r="Y181" s="156">
        <f>X181*K181</f>
        <v>0</v>
      </c>
      <c r="Z181" s="156">
        <v>0</v>
      </c>
      <c r="AA181" s="157">
        <f>Z181*K181</f>
        <v>0</v>
      </c>
      <c r="AR181" s="20" t="s">
        <v>145</v>
      </c>
      <c r="AT181" s="20" t="s">
        <v>141</v>
      </c>
      <c r="AU181" s="20" t="s">
        <v>99</v>
      </c>
      <c r="AY181" s="20" t="s">
        <v>140</v>
      </c>
      <c r="BE181" s="158">
        <f>IF(U181="základní",N181,0)</f>
        <v>0</v>
      </c>
      <c r="BF181" s="158">
        <f>IF(U181="snížená",N181,0)</f>
        <v>0</v>
      </c>
      <c r="BG181" s="158">
        <f>IF(U181="zákl. přenesená",N181,0)</f>
        <v>0</v>
      </c>
      <c r="BH181" s="158">
        <f>IF(U181="sníž. přenesená",N181,0)</f>
        <v>0</v>
      </c>
      <c r="BI181" s="158">
        <f>IF(U181="nulová",N181,0)</f>
        <v>0</v>
      </c>
      <c r="BJ181" s="20" t="s">
        <v>83</v>
      </c>
      <c r="BK181" s="158">
        <f>ROUND(L181*K181,2)</f>
        <v>0</v>
      </c>
      <c r="BL181" s="20" t="s">
        <v>145</v>
      </c>
      <c r="BM181" s="20" t="s">
        <v>323</v>
      </c>
    </row>
    <row r="182" spans="2:65" s="1" customFormat="1" ht="25.5" customHeight="1" x14ac:dyDescent="0.3">
      <c r="B182" s="33"/>
      <c r="C182" s="151">
        <f>C181+1</f>
        <v>24</v>
      </c>
      <c r="D182" s="151" t="s">
        <v>141</v>
      </c>
      <c r="E182" s="152"/>
      <c r="F182" s="263" t="s">
        <v>504</v>
      </c>
      <c r="G182" s="263"/>
      <c r="H182" s="263"/>
      <c r="I182" s="263"/>
      <c r="J182" s="153" t="s">
        <v>155</v>
      </c>
      <c r="K182" s="154">
        <v>0.25</v>
      </c>
      <c r="L182" s="328"/>
      <c r="M182" s="220"/>
      <c r="N182" s="264">
        <f>ROUND(L182*K182,2)</f>
        <v>0</v>
      </c>
      <c r="O182" s="264"/>
      <c r="P182" s="264"/>
      <c r="Q182" s="264"/>
      <c r="R182" s="35"/>
      <c r="T182" s="155" t="s">
        <v>19</v>
      </c>
      <c r="U182" s="42" t="s">
        <v>41</v>
      </c>
      <c r="V182" s="156">
        <v>0</v>
      </c>
      <c r="W182" s="156">
        <f>V182*K182</f>
        <v>0</v>
      </c>
      <c r="X182" s="156">
        <v>0</v>
      </c>
      <c r="Y182" s="156">
        <f>X182*K182</f>
        <v>0</v>
      </c>
      <c r="Z182" s="156">
        <v>0</v>
      </c>
      <c r="AA182" s="157">
        <f>Z182*K182</f>
        <v>0</v>
      </c>
      <c r="AR182" s="20" t="s">
        <v>145</v>
      </c>
      <c r="AT182" s="20" t="s">
        <v>141</v>
      </c>
      <c r="AU182" s="20" t="s">
        <v>99</v>
      </c>
      <c r="AY182" s="20" t="s">
        <v>140</v>
      </c>
      <c r="BE182" s="158">
        <f>IF(U182="základní",N182,0)</f>
        <v>0</v>
      </c>
      <c r="BF182" s="158">
        <f>IF(U182="snížená",N182,0)</f>
        <v>0</v>
      </c>
      <c r="BG182" s="158">
        <f>IF(U182="zákl. přenesená",N182,0)</f>
        <v>0</v>
      </c>
      <c r="BH182" s="158">
        <f>IF(U182="sníž. přenesená",N182,0)</f>
        <v>0</v>
      </c>
      <c r="BI182" s="158">
        <f>IF(U182="nulová",N182,0)</f>
        <v>0</v>
      </c>
      <c r="BJ182" s="20" t="s">
        <v>83</v>
      </c>
      <c r="BK182" s="158">
        <f>ROUND(L182*K182,2)</f>
        <v>0</v>
      </c>
      <c r="BL182" s="20" t="s">
        <v>145</v>
      </c>
      <c r="BM182" s="20" t="s">
        <v>323</v>
      </c>
    </row>
    <row r="183" spans="2:65" s="1" customFormat="1" ht="25.5" customHeight="1" x14ac:dyDescent="0.3">
      <c r="B183" s="33"/>
      <c r="C183" s="151">
        <f>C182+1</f>
        <v>25</v>
      </c>
      <c r="D183" s="151" t="s">
        <v>141</v>
      </c>
      <c r="E183" s="152" t="s">
        <v>226</v>
      </c>
      <c r="F183" s="263" t="s">
        <v>503</v>
      </c>
      <c r="G183" s="263"/>
      <c r="H183" s="263"/>
      <c r="I183" s="263"/>
      <c r="J183" s="153" t="s">
        <v>155</v>
      </c>
      <c r="K183" s="154">
        <f>K180</f>
        <v>113.5</v>
      </c>
      <c r="L183" s="328"/>
      <c r="M183" s="220"/>
      <c r="N183" s="264">
        <f>ROUND(L183*K183,2)</f>
        <v>0</v>
      </c>
      <c r="O183" s="264"/>
      <c r="P183" s="264"/>
      <c r="Q183" s="264"/>
      <c r="R183" s="35"/>
      <c r="T183" s="155" t="s">
        <v>19</v>
      </c>
      <c r="U183" s="42" t="s">
        <v>41</v>
      </c>
      <c r="V183" s="156">
        <v>1.7969999999999999</v>
      </c>
      <c r="W183" s="156">
        <f>V183*K183</f>
        <v>203.95949999999999</v>
      </c>
      <c r="X183" s="156">
        <v>0</v>
      </c>
      <c r="Y183" s="156">
        <f>X183*K183</f>
        <v>0</v>
      </c>
      <c r="Z183" s="156">
        <v>0</v>
      </c>
      <c r="AA183" s="157">
        <f>Z183*K183</f>
        <v>0</v>
      </c>
      <c r="AR183" s="20" t="s">
        <v>145</v>
      </c>
      <c r="AT183" s="20" t="s">
        <v>141</v>
      </c>
      <c r="AU183" s="20" t="s">
        <v>99</v>
      </c>
      <c r="AY183" s="20" t="s">
        <v>140</v>
      </c>
      <c r="BE183" s="158">
        <f>IF(U183="základní",N183,0)</f>
        <v>0</v>
      </c>
      <c r="BF183" s="158">
        <f>IF(U183="snížená",N183,0)</f>
        <v>0</v>
      </c>
      <c r="BG183" s="158">
        <f>IF(U183="zákl. přenesená",N183,0)</f>
        <v>0</v>
      </c>
      <c r="BH183" s="158">
        <f>IF(U183="sníž. přenesená",N183,0)</f>
        <v>0</v>
      </c>
      <c r="BI183" s="158">
        <f>IF(U183="nulová",N183,0)</f>
        <v>0</v>
      </c>
      <c r="BJ183" s="20" t="s">
        <v>83</v>
      </c>
      <c r="BK183" s="158">
        <f>ROUND(L183*K183,2)</f>
        <v>0</v>
      </c>
      <c r="BL183" s="20" t="s">
        <v>145</v>
      </c>
      <c r="BM183" s="20" t="s">
        <v>324</v>
      </c>
    </row>
    <row r="184" spans="2:65" s="9" customFormat="1" ht="37.35" customHeight="1" x14ac:dyDescent="0.35">
      <c r="B184" s="140"/>
      <c r="C184" s="141"/>
      <c r="D184" s="142" t="s">
        <v>117</v>
      </c>
      <c r="E184" s="142"/>
      <c r="F184" s="142"/>
      <c r="G184" s="142"/>
      <c r="H184" s="142"/>
      <c r="I184" s="142"/>
      <c r="J184" s="142"/>
      <c r="K184" s="142"/>
      <c r="L184" s="333"/>
      <c r="M184" s="142"/>
      <c r="N184" s="277">
        <f>N185+N187+N192+N194+N196</f>
        <v>0</v>
      </c>
      <c r="O184" s="278"/>
      <c r="P184" s="278"/>
      <c r="Q184" s="278"/>
      <c r="R184" s="143"/>
      <c r="T184" s="144"/>
      <c r="U184" s="141"/>
      <c r="V184" s="141"/>
      <c r="W184" s="145">
        <f>W185+W187+W192+W194+W196</f>
        <v>5.8681999999999999</v>
      </c>
      <c r="X184" s="141"/>
      <c r="Y184" s="145">
        <f>Y185+Y187+Y192+Y194+Y196</f>
        <v>0</v>
      </c>
      <c r="Z184" s="141"/>
      <c r="AA184" s="146">
        <f>AA185+AA187+AA192+AA194+AA196</f>
        <v>0.12287599999999999</v>
      </c>
      <c r="AR184" s="147" t="s">
        <v>99</v>
      </c>
      <c r="AT184" s="148" t="s">
        <v>75</v>
      </c>
      <c r="AU184" s="148" t="s">
        <v>76</v>
      </c>
      <c r="AY184" s="147" t="s">
        <v>140</v>
      </c>
      <c r="BK184" s="149">
        <f>BK185+BK187+BK192+BK194+BK196</f>
        <v>0</v>
      </c>
    </row>
    <row r="185" spans="2:65" s="9" customFormat="1" ht="19.899999999999999" customHeight="1" x14ac:dyDescent="0.3">
      <c r="B185" s="140"/>
      <c r="C185" s="141"/>
      <c r="D185" s="150" t="s">
        <v>272</v>
      </c>
      <c r="E185" s="150"/>
      <c r="F185" s="150"/>
      <c r="G185" s="150"/>
      <c r="H185" s="150"/>
      <c r="I185" s="150"/>
      <c r="J185" s="150"/>
      <c r="K185" s="150"/>
      <c r="L185" s="332"/>
      <c r="M185" s="150"/>
      <c r="N185" s="269">
        <f>N186</f>
        <v>0</v>
      </c>
      <c r="O185" s="270"/>
      <c r="P185" s="270"/>
      <c r="Q185" s="270"/>
      <c r="R185" s="143"/>
      <c r="T185" s="144"/>
      <c r="U185" s="141"/>
      <c r="V185" s="141"/>
      <c r="W185" s="145">
        <f>W186</f>
        <v>0.49199999999999999</v>
      </c>
      <c r="X185" s="141"/>
      <c r="Y185" s="145">
        <f>Y186</f>
        <v>0</v>
      </c>
      <c r="Z185" s="141"/>
      <c r="AA185" s="146">
        <f>AA186</f>
        <v>0</v>
      </c>
      <c r="AR185" s="147" t="s">
        <v>99</v>
      </c>
      <c r="AT185" s="148" t="s">
        <v>75</v>
      </c>
      <c r="AU185" s="148" t="s">
        <v>83</v>
      </c>
      <c r="AY185" s="147" t="s">
        <v>140</v>
      </c>
      <c r="BK185" s="149">
        <f>BK186</f>
        <v>0</v>
      </c>
    </row>
    <row r="186" spans="2:65" s="1" customFormat="1" ht="38.25" customHeight="1" x14ac:dyDescent="0.3">
      <c r="B186" s="151">
        <f t="shared" ref="B186:C186" si="0">B183+1</f>
        <v>1</v>
      </c>
      <c r="C186" s="151">
        <f t="shared" si="0"/>
        <v>26</v>
      </c>
      <c r="D186" s="151" t="s">
        <v>141</v>
      </c>
      <c r="E186" s="152" t="s">
        <v>325</v>
      </c>
      <c r="F186" s="263" t="s">
        <v>326</v>
      </c>
      <c r="G186" s="263"/>
      <c r="H186" s="263"/>
      <c r="I186" s="263"/>
      <c r="J186" s="153" t="s">
        <v>187</v>
      </c>
      <c r="K186" s="154">
        <v>4</v>
      </c>
      <c r="L186" s="328"/>
      <c r="M186" s="220"/>
      <c r="N186" s="264">
        <f>ROUND(L186*K186,2)</f>
        <v>0</v>
      </c>
      <c r="O186" s="264"/>
      <c r="P186" s="264"/>
      <c r="Q186" s="264"/>
      <c r="R186" s="35"/>
      <c r="T186" s="155" t="s">
        <v>19</v>
      </c>
      <c r="U186" s="42" t="s">
        <v>41</v>
      </c>
      <c r="V186" s="156">
        <v>0.123</v>
      </c>
      <c r="W186" s="156">
        <f>V186*K186</f>
        <v>0.49199999999999999</v>
      </c>
      <c r="X186" s="156">
        <v>0</v>
      </c>
      <c r="Y186" s="156">
        <f>X186*K186</f>
        <v>0</v>
      </c>
      <c r="Z186" s="156">
        <v>0</v>
      </c>
      <c r="AA186" s="157">
        <f>Z186*K186</f>
        <v>0</v>
      </c>
      <c r="AR186" s="20" t="s">
        <v>172</v>
      </c>
      <c r="AT186" s="20" t="s">
        <v>141</v>
      </c>
      <c r="AU186" s="20" t="s">
        <v>99</v>
      </c>
      <c r="AY186" s="20" t="s">
        <v>140</v>
      </c>
      <c r="BE186" s="158">
        <f>IF(U186="základní",N186,0)</f>
        <v>0</v>
      </c>
      <c r="BF186" s="158">
        <f>IF(U186="snížená",N186,0)</f>
        <v>0</v>
      </c>
      <c r="BG186" s="158">
        <f>IF(U186="zákl. přenesená",N186,0)</f>
        <v>0</v>
      </c>
      <c r="BH186" s="158">
        <f>IF(U186="sníž. přenesená",N186,0)</f>
        <v>0</v>
      </c>
      <c r="BI186" s="158">
        <f>IF(U186="nulová",N186,0)</f>
        <v>0</v>
      </c>
      <c r="BJ186" s="20" t="s">
        <v>83</v>
      </c>
      <c r="BK186" s="158">
        <f>ROUND(L186*K186,2)</f>
        <v>0</v>
      </c>
      <c r="BL186" s="20" t="s">
        <v>172</v>
      </c>
      <c r="BM186" s="20" t="s">
        <v>327</v>
      </c>
    </row>
    <row r="187" spans="2:65" s="9" customFormat="1" ht="29.85" customHeight="1" x14ac:dyDescent="0.3">
      <c r="B187" s="140"/>
      <c r="C187" s="141"/>
      <c r="D187" s="150" t="s">
        <v>122</v>
      </c>
      <c r="E187" s="150"/>
      <c r="F187" s="150"/>
      <c r="G187" s="150"/>
      <c r="H187" s="150"/>
      <c r="I187" s="150"/>
      <c r="J187" s="150"/>
      <c r="K187" s="150"/>
      <c r="L187" s="332"/>
      <c r="M187" s="150"/>
      <c r="N187" s="261">
        <f>SUM(N188:N190)</f>
        <v>0</v>
      </c>
      <c r="O187" s="262"/>
      <c r="P187" s="262"/>
      <c r="Q187" s="262"/>
      <c r="R187" s="143"/>
      <c r="T187" s="144"/>
      <c r="U187" s="141"/>
      <c r="V187" s="141"/>
      <c r="W187" s="145">
        <f>SUM(W188:W191)</f>
        <v>4.3428000000000004</v>
      </c>
      <c r="X187" s="141"/>
      <c r="Y187" s="145">
        <f>SUM(Y188:Y191)</f>
        <v>0</v>
      </c>
      <c r="Z187" s="141"/>
      <c r="AA187" s="146">
        <f>SUM(AA188:AA191)</f>
        <v>7.2015999999999997E-2</v>
      </c>
      <c r="AR187" s="147" t="s">
        <v>99</v>
      </c>
      <c r="AT187" s="148" t="s">
        <v>75</v>
      </c>
      <c r="AU187" s="148" t="s">
        <v>83</v>
      </c>
      <c r="AY187" s="147" t="s">
        <v>140</v>
      </c>
      <c r="BK187" s="149">
        <f>SUM(BK188:BK191)</f>
        <v>0</v>
      </c>
    </row>
    <row r="188" spans="2:65" s="1" customFormat="1" ht="16.5" customHeight="1" x14ac:dyDescent="0.3">
      <c r="B188" s="33"/>
      <c r="C188" s="151">
        <f>C186+1</f>
        <v>27</v>
      </c>
      <c r="D188" s="151" t="s">
        <v>141</v>
      </c>
      <c r="E188" s="152" t="s">
        <v>257</v>
      </c>
      <c r="F188" s="263" t="s">
        <v>258</v>
      </c>
      <c r="G188" s="263"/>
      <c r="H188" s="263"/>
      <c r="I188" s="263"/>
      <c r="J188" s="153" t="s">
        <v>259</v>
      </c>
      <c r="K188" s="154">
        <v>18</v>
      </c>
      <c r="L188" s="328"/>
      <c r="M188" s="220"/>
      <c r="N188" s="264">
        <f>ROUND(L188*K188,2)</f>
        <v>0</v>
      </c>
      <c r="O188" s="264"/>
      <c r="P188" s="264"/>
      <c r="Q188" s="264"/>
      <c r="R188" s="35"/>
      <c r="T188" s="155" t="s">
        <v>19</v>
      </c>
      <c r="U188" s="42" t="s">
        <v>41</v>
      </c>
      <c r="V188" s="156">
        <v>0.189</v>
      </c>
      <c r="W188" s="156">
        <f>V188*K188</f>
        <v>3.4020000000000001</v>
      </c>
      <c r="X188" s="156">
        <v>0</v>
      </c>
      <c r="Y188" s="156">
        <f>X188*K188</f>
        <v>0</v>
      </c>
      <c r="Z188" s="156">
        <v>2.5999999999999999E-3</v>
      </c>
      <c r="AA188" s="157">
        <f>Z188*K188</f>
        <v>4.6799999999999994E-2</v>
      </c>
      <c r="AR188" s="20" t="s">
        <v>172</v>
      </c>
      <c r="AT188" s="20" t="s">
        <v>141</v>
      </c>
      <c r="AU188" s="20" t="s">
        <v>99</v>
      </c>
      <c r="AY188" s="20" t="s">
        <v>140</v>
      </c>
      <c r="BE188" s="158">
        <f>IF(U188="základní",N188,0)</f>
        <v>0</v>
      </c>
      <c r="BF188" s="158">
        <f>IF(U188="snížená",N188,0)</f>
        <v>0</v>
      </c>
      <c r="BG188" s="158">
        <f>IF(U188="zákl. přenesená",N188,0)</f>
        <v>0</v>
      </c>
      <c r="BH188" s="158">
        <f>IF(U188="sníž. přenesená",N188,0)</f>
        <v>0</v>
      </c>
      <c r="BI188" s="158">
        <f>IF(U188="nulová",N188,0)</f>
        <v>0</v>
      </c>
      <c r="BJ188" s="20" t="s">
        <v>83</v>
      </c>
      <c r="BK188" s="158">
        <f>ROUND(L188*K188,2)</f>
        <v>0</v>
      </c>
      <c r="BL188" s="20" t="s">
        <v>172</v>
      </c>
      <c r="BM188" s="20" t="s">
        <v>328</v>
      </c>
    </row>
    <row r="189" spans="2:65" s="10" customFormat="1" ht="16.5" customHeight="1" x14ac:dyDescent="0.3">
      <c r="B189" s="159"/>
      <c r="C189" s="160"/>
      <c r="D189" s="160"/>
      <c r="E189" s="161" t="s">
        <v>19</v>
      </c>
      <c r="F189" s="267" t="s">
        <v>329</v>
      </c>
      <c r="G189" s="268"/>
      <c r="H189" s="268"/>
      <c r="I189" s="268"/>
      <c r="J189" s="160"/>
      <c r="K189" s="162">
        <v>18</v>
      </c>
      <c r="L189" s="329"/>
      <c r="M189" s="221"/>
      <c r="N189" s="160"/>
      <c r="O189" s="160"/>
      <c r="P189" s="160"/>
      <c r="Q189" s="160"/>
      <c r="R189" s="163"/>
      <c r="T189" s="164"/>
      <c r="U189" s="160"/>
      <c r="V189" s="160"/>
      <c r="W189" s="160"/>
      <c r="X189" s="160"/>
      <c r="Y189" s="160"/>
      <c r="Z189" s="160"/>
      <c r="AA189" s="165"/>
      <c r="AT189" s="166" t="s">
        <v>148</v>
      </c>
      <c r="AU189" s="166" t="s">
        <v>99</v>
      </c>
      <c r="AV189" s="10" t="s">
        <v>99</v>
      </c>
      <c r="AW189" s="10" t="s">
        <v>33</v>
      </c>
      <c r="AX189" s="10" t="s">
        <v>83</v>
      </c>
      <c r="AY189" s="166" t="s">
        <v>140</v>
      </c>
    </row>
    <row r="190" spans="2:65" s="1" customFormat="1" ht="16.5" customHeight="1" x14ac:dyDescent="0.3">
      <c r="B190" s="33"/>
      <c r="C190" s="151">
        <f>C188+1</f>
        <v>28</v>
      </c>
      <c r="D190" s="151" t="s">
        <v>141</v>
      </c>
      <c r="E190" s="152" t="s">
        <v>262</v>
      </c>
      <c r="F190" s="263" t="s">
        <v>263</v>
      </c>
      <c r="G190" s="263"/>
      <c r="H190" s="263"/>
      <c r="I190" s="263"/>
      <c r="J190" s="153" t="s">
        <v>259</v>
      </c>
      <c r="K190" s="154">
        <v>6.4</v>
      </c>
      <c r="L190" s="328"/>
      <c r="M190" s="220"/>
      <c r="N190" s="264">
        <f>ROUND(L190*K190,2)</f>
        <v>0</v>
      </c>
      <c r="O190" s="264"/>
      <c r="P190" s="264"/>
      <c r="Q190" s="264"/>
      <c r="R190" s="35"/>
      <c r="T190" s="155" t="s">
        <v>19</v>
      </c>
      <c r="U190" s="42" t="s">
        <v>41</v>
      </c>
      <c r="V190" s="156">
        <v>0.14699999999999999</v>
      </c>
      <c r="W190" s="156">
        <f>V190*K190</f>
        <v>0.94079999999999997</v>
      </c>
      <c r="X190" s="156">
        <v>0</v>
      </c>
      <c r="Y190" s="156">
        <f>X190*K190</f>
        <v>0</v>
      </c>
      <c r="Z190" s="156">
        <v>3.9399999999999999E-3</v>
      </c>
      <c r="AA190" s="157">
        <f>Z190*K190</f>
        <v>2.5216000000000002E-2</v>
      </c>
      <c r="AR190" s="20" t="s">
        <v>172</v>
      </c>
      <c r="AT190" s="20" t="s">
        <v>141</v>
      </c>
      <c r="AU190" s="20" t="s">
        <v>99</v>
      </c>
      <c r="AY190" s="20" t="s">
        <v>140</v>
      </c>
      <c r="BE190" s="158">
        <f>IF(U190="základní",N190,0)</f>
        <v>0</v>
      </c>
      <c r="BF190" s="158">
        <f>IF(U190="snížená",N190,0)</f>
        <v>0</v>
      </c>
      <c r="BG190" s="158">
        <f>IF(U190="zákl. přenesená",N190,0)</f>
        <v>0</v>
      </c>
      <c r="BH190" s="158">
        <f>IF(U190="sníž. přenesená",N190,0)</f>
        <v>0</v>
      </c>
      <c r="BI190" s="158">
        <f>IF(U190="nulová",N190,0)</f>
        <v>0</v>
      </c>
      <c r="BJ190" s="20" t="s">
        <v>83</v>
      </c>
      <c r="BK190" s="158">
        <f>ROUND(L190*K190,2)</f>
        <v>0</v>
      </c>
      <c r="BL190" s="20" t="s">
        <v>172</v>
      </c>
      <c r="BM190" s="20" t="s">
        <v>330</v>
      </c>
    </row>
    <row r="191" spans="2:65" s="10" customFormat="1" ht="16.5" customHeight="1" x14ac:dyDescent="0.3">
      <c r="B191" s="159"/>
      <c r="C191" s="160"/>
      <c r="D191" s="160"/>
      <c r="E191" s="161" t="s">
        <v>19</v>
      </c>
      <c r="F191" s="267" t="s">
        <v>331</v>
      </c>
      <c r="G191" s="268"/>
      <c r="H191" s="268"/>
      <c r="I191" s="268"/>
      <c r="J191" s="160"/>
      <c r="K191" s="162">
        <v>6.4</v>
      </c>
      <c r="L191" s="329"/>
      <c r="M191" s="221"/>
      <c r="N191" s="160"/>
      <c r="O191" s="160"/>
      <c r="P191" s="160"/>
      <c r="Q191" s="160"/>
      <c r="R191" s="163"/>
      <c r="T191" s="164"/>
      <c r="U191" s="160"/>
      <c r="V191" s="160"/>
      <c r="W191" s="160"/>
      <c r="X191" s="160"/>
      <c r="Y191" s="160"/>
      <c r="Z191" s="160"/>
      <c r="AA191" s="165"/>
      <c r="AT191" s="166" t="s">
        <v>148</v>
      </c>
      <c r="AU191" s="166" t="s">
        <v>99</v>
      </c>
      <c r="AV191" s="10" t="s">
        <v>99</v>
      </c>
      <c r="AW191" s="10" t="s">
        <v>33</v>
      </c>
      <c r="AX191" s="10" t="s">
        <v>83</v>
      </c>
      <c r="AY191" s="166" t="s">
        <v>140</v>
      </c>
    </row>
    <row r="192" spans="2:65" s="9" customFormat="1" ht="29.85" customHeight="1" x14ac:dyDescent="0.3">
      <c r="B192" s="140"/>
      <c r="C192" s="141"/>
      <c r="D192" s="150" t="s">
        <v>123</v>
      </c>
      <c r="E192" s="150"/>
      <c r="F192" s="150"/>
      <c r="G192" s="150"/>
      <c r="H192" s="150"/>
      <c r="I192" s="150"/>
      <c r="J192" s="150"/>
      <c r="K192" s="150"/>
      <c r="L192" s="332"/>
      <c r="M192" s="150"/>
      <c r="N192" s="269">
        <f>N193</f>
        <v>0</v>
      </c>
      <c r="O192" s="270"/>
      <c r="P192" s="270"/>
      <c r="Q192" s="270"/>
      <c r="R192" s="143"/>
      <c r="T192" s="144"/>
      <c r="U192" s="141"/>
      <c r="V192" s="141"/>
      <c r="W192" s="145">
        <f>W193</f>
        <v>9.5000000000000001E-2</v>
      </c>
      <c r="X192" s="141"/>
      <c r="Y192" s="145">
        <f>Y193</f>
        <v>0</v>
      </c>
      <c r="Z192" s="141"/>
      <c r="AA192" s="146">
        <f>AA193</f>
        <v>4.2000000000000002E-4</v>
      </c>
      <c r="AR192" s="147" t="s">
        <v>99</v>
      </c>
      <c r="AT192" s="148" t="s">
        <v>75</v>
      </c>
      <c r="AU192" s="148" t="s">
        <v>83</v>
      </c>
      <c r="AY192" s="147" t="s">
        <v>140</v>
      </c>
      <c r="BK192" s="149">
        <f>BK193</f>
        <v>0</v>
      </c>
    </row>
    <row r="193" spans="2:65" s="1" customFormat="1" ht="16.5" customHeight="1" x14ac:dyDescent="0.3">
      <c r="B193" s="33"/>
      <c r="C193" s="151">
        <f>C190+1</f>
        <v>29</v>
      </c>
      <c r="D193" s="151" t="s">
        <v>141</v>
      </c>
      <c r="E193" s="152" t="s">
        <v>266</v>
      </c>
      <c r="F193" s="263" t="s">
        <v>286</v>
      </c>
      <c r="G193" s="263"/>
      <c r="H193" s="263"/>
      <c r="I193" s="263"/>
      <c r="J193" s="153" t="s">
        <v>187</v>
      </c>
      <c r="K193" s="154">
        <v>1</v>
      </c>
      <c r="L193" s="328"/>
      <c r="M193" s="220"/>
      <c r="N193" s="264">
        <f>ROUND(L193*K193,2)</f>
        <v>0</v>
      </c>
      <c r="O193" s="264"/>
      <c r="P193" s="264"/>
      <c r="Q193" s="264"/>
      <c r="R193" s="35"/>
      <c r="T193" s="155" t="s">
        <v>19</v>
      </c>
      <c r="U193" s="42" t="s">
        <v>41</v>
      </c>
      <c r="V193" s="156">
        <v>9.5000000000000001E-2</v>
      </c>
      <c r="W193" s="156">
        <f>V193*K193</f>
        <v>9.5000000000000001E-2</v>
      </c>
      <c r="X193" s="156">
        <v>0</v>
      </c>
      <c r="Y193" s="156">
        <f>X193*K193</f>
        <v>0</v>
      </c>
      <c r="Z193" s="156">
        <v>4.2000000000000002E-4</v>
      </c>
      <c r="AA193" s="157">
        <f>Z193*K193</f>
        <v>4.2000000000000002E-4</v>
      </c>
      <c r="AR193" s="20" t="s">
        <v>172</v>
      </c>
      <c r="AT193" s="20" t="s">
        <v>141</v>
      </c>
      <c r="AU193" s="20" t="s">
        <v>99</v>
      </c>
      <c r="AY193" s="20" t="s">
        <v>140</v>
      </c>
      <c r="BE193" s="158">
        <f>IF(U193="základní",N193,0)</f>
        <v>0</v>
      </c>
      <c r="BF193" s="158">
        <f>IF(U193="snížená",N193,0)</f>
        <v>0</v>
      </c>
      <c r="BG193" s="158">
        <f>IF(U193="zákl. přenesená",N193,0)</f>
        <v>0</v>
      </c>
      <c r="BH193" s="158">
        <f>IF(U193="sníž. přenesená",N193,0)</f>
        <v>0</v>
      </c>
      <c r="BI193" s="158">
        <f>IF(U193="nulová",N193,0)</f>
        <v>0</v>
      </c>
      <c r="BJ193" s="20" t="s">
        <v>83</v>
      </c>
      <c r="BK193" s="158">
        <f>ROUND(L193*K193,2)</f>
        <v>0</v>
      </c>
      <c r="BL193" s="20" t="s">
        <v>172</v>
      </c>
      <c r="BM193" s="20" t="s">
        <v>332</v>
      </c>
    </row>
    <row r="194" spans="2:65" s="9" customFormat="1" ht="29.85" customHeight="1" x14ac:dyDescent="0.3">
      <c r="B194" s="140"/>
      <c r="C194" s="141"/>
      <c r="D194" s="150" t="s">
        <v>124</v>
      </c>
      <c r="E194" s="150"/>
      <c r="F194" s="150"/>
      <c r="G194" s="150"/>
      <c r="H194" s="150"/>
      <c r="I194" s="150"/>
      <c r="J194" s="150"/>
      <c r="K194" s="150"/>
      <c r="L194" s="332"/>
      <c r="M194" s="150"/>
      <c r="N194" s="261">
        <f>N195</f>
        <v>0</v>
      </c>
      <c r="O194" s="262"/>
      <c r="P194" s="262"/>
      <c r="Q194" s="262"/>
      <c r="R194" s="143"/>
      <c r="T194" s="144"/>
      <c r="U194" s="141"/>
      <c r="V194" s="141"/>
      <c r="W194" s="145">
        <f>W195</f>
        <v>0.6</v>
      </c>
      <c r="X194" s="141"/>
      <c r="Y194" s="145">
        <f>Y195</f>
        <v>0</v>
      </c>
      <c r="Z194" s="141"/>
      <c r="AA194" s="146">
        <f>AA195</f>
        <v>1.2999999999999999E-2</v>
      </c>
      <c r="AR194" s="147" t="s">
        <v>99</v>
      </c>
      <c r="AT194" s="148" t="s">
        <v>75</v>
      </c>
      <c r="AU194" s="148" t="s">
        <v>83</v>
      </c>
      <c r="AY194" s="147" t="s">
        <v>140</v>
      </c>
      <c r="BK194" s="149">
        <f>BK195</f>
        <v>0</v>
      </c>
    </row>
    <row r="195" spans="2:65" s="1" customFormat="1" ht="25.5" customHeight="1" x14ac:dyDescent="0.3">
      <c r="B195" s="33"/>
      <c r="C195" s="151">
        <f>C193+1</f>
        <v>30</v>
      </c>
      <c r="D195" s="151" t="s">
        <v>141</v>
      </c>
      <c r="E195" s="152" t="s">
        <v>269</v>
      </c>
      <c r="F195" s="263" t="s">
        <v>270</v>
      </c>
      <c r="G195" s="263"/>
      <c r="H195" s="263"/>
      <c r="I195" s="263"/>
      <c r="J195" s="153" t="s">
        <v>187</v>
      </c>
      <c r="K195" s="154">
        <v>1</v>
      </c>
      <c r="L195" s="328"/>
      <c r="M195" s="220"/>
      <c r="N195" s="264">
        <f>ROUND(L195*K195,2)</f>
        <v>0</v>
      </c>
      <c r="O195" s="264"/>
      <c r="P195" s="264"/>
      <c r="Q195" s="264"/>
      <c r="R195" s="35"/>
      <c r="T195" s="155" t="s">
        <v>19</v>
      </c>
      <c r="U195" s="42" t="s">
        <v>41</v>
      </c>
      <c r="V195" s="156">
        <v>0.6</v>
      </c>
      <c r="W195" s="156">
        <f>V195*K195</f>
        <v>0.6</v>
      </c>
      <c r="X195" s="156">
        <v>0</v>
      </c>
      <c r="Y195" s="156">
        <f>X195*K195</f>
        <v>0</v>
      </c>
      <c r="Z195" s="156">
        <v>1.2999999999999999E-2</v>
      </c>
      <c r="AA195" s="157">
        <f>Z195*K195</f>
        <v>1.2999999999999999E-2</v>
      </c>
      <c r="AR195" s="20" t="s">
        <v>172</v>
      </c>
      <c r="AT195" s="20" t="s">
        <v>141</v>
      </c>
      <c r="AU195" s="20" t="s">
        <v>99</v>
      </c>
      <c r="AY195" s="20" t="s">
        <v>140</v>
      </c>
      <c r="BE195" s="158">
        <f>IF(U195="základní",N195,0)</f>
        <v>0</v>
      </c>
      <c r="BF195" s="158">
        <f>IF(U195="snížená",N195,0)</f>
        <v>0</v>
      </c>
      <c r="BG195" s="158">
        <f>IF(U195="zákl. přenesená",N195,0)</f>
        <v>0</v>
      </c>
      <c r="BH195" s="158">
        <f>IF(U195="sníž. přenesená",N195,0)</f>
        <v>0</v>
      </c>
      <c r="BI195" s="158">
        <f>IF(U195="nulová",N195,0)</f>
        <v>0</v>
      </c>
      <c r="BJ195" s="20" t="s">
        <v>83</v>
      </c>
      <c r="BK195" s="158">
        <f>ROUND(L195*K195,2)</f>
        <v>0</v>
      </c>
      <c r="BL195" s="20" t="s">
        <v>172</v>
      </c>
      <c r="BM195" s="20" t="s">
        <v>333</v>
      </c>
    </row>
    <row r="196" spans="2:65" s="9" customFormat="1" ht="29.85" customHeight="1" x14ac:dyDescent="0.3">
      <c r="B196" s="140"/>
      <c r="C196" s="141"/>
      <c r="D196" s="150" t="s">
        <v>288</v>
      </c>
      <c r="E196" s="150"/>
      <c r="F196" s="150"/>
      <c r="G196" s="150"/>
      <c r="H196" s="150"/>
      <c r="I196" s="150"/>
      <c r="J196" s="150"/>
      <c r="K196" s="150"/>
      <c r="L196" s="332"/>
      <c r="M196" s="150"/>
      <c r="N196" s="261">
        <f>N197</f>
        <v>0</v>
      </c>
      <c r="O196" s="262"/>
      <c r="P196" s="262"/>
      <c r="Q196" s="262"/>
      <c r="R196" s="143"/>
      <c r="T196" s="144"/>
      <c r="U196" s="141"/>
      <c r="V196" s="141"/>
      <c r="W196" s="145">
        <f>SUM(W197:W198)</f>
        <v>0.33839999999999998</v>
      </c>
      <c r="X196" s="141"/>
      <c r="Y196" s="145">
        <f>SUM(Y197:Y198)</f>
        <v>0</v>
      </c>
      <c r="Z196" s="141"/>
      <c r="AA196" s="146">
        <f>SUM(AA197:AA198)</f>
        <v>3.7439999999999994E-2</v>
      </c>
      <c r="AR196" s="147" t="s">
        <v>99</v>
      </c>
      <c r="AT196" s="148" t="s">
        <v>75</v>
      </c>
      <c r="AU196" s="148" t="s">
        <v>83</v>
      </c>
      <c r="AY196" s="147" t="s">
        <v>140</v>
      </c>
      <c r="BK196" s="149">
        <f>SUM(BK197:BK198)</f>
        <v>0</v>
      </c>
    </row>
    <row r="197" spans="2:65" s="1" customFormat="1" ht="25.5" customHeight="1" x14ac:dyDescent="0.3">
      <c r="B197" s="33"/>
      <c r="C197" s="151">
        <f>C195+1</f>
        <v>31</v>
      </c>
      <c r="D197" s="151" t="s">
        <v>141</v>
      </c>
      <c r="E197" s="152" t="s">
        <v>334</v>
      </c>
      <c r="F197" s="263" t="s">
        <v>335</v>
      </c>
      <c r="G197" s="263"/>
      <c r="H197" s="263"/>
      <c r="I197" s="263"/>
      <c r="J197" s="153" t="s">
        <v>165</v>
      </c>
      <c r="K197" s="154">
        <v>1.44</v>
      </c>
      <c r="L197" s="328"/>
      <c r="M197" s="220"/>
      <c r="N197" s="264">
        <f>ROUND(L197*K197,2)</f>
        <v>0</v>
      </c>
      <c r="O197" s="264"/>
      <c r="P197" s="264"/>
      <c r="Q197" s="264"/>
      <c r="R197" s="35"/>
      <c r="T197" s="155" t="s">
        <v>19</v>
      </c>
      <c r="U197" s="42" t="s">
        <v>41</v>
      </c>
      <c r="V197" s="156">
        <v>0.23499999999999999</v>
      </c>
      <c r="W197" s="156">
        <f>V197*K197</f>
        <v>0.33839999999999998</v>
      </c>
      <c r="X197" s="156">
        <v>0</v>
      </c>
      <c r="Y197" s="156">
        <f>X197*K197</f>
        <v>0</v>
      </c>
      <c r="Z197" s="156">
        <v>2.5999999999999999E-2</v>
      </c>
      <c r="AA197" s="157">
        <f>Z197*K197</f>
        <v>3.7439999999999994E-2</v>
      </c>
      <c r="AR197" s="20" t="s">
        <v>172</v>
      </c>
      <c r="AT197" s="20" t="s">
        <v>141</v>
      </c>
      <c r="AU197" s="20" t="s">
        <v>99</v>
      </c>
      <c r="AY197" s="20" t="s">
        <v>140</v>
      </c>
      <c r="BE197" s="158">
        <f>IF(U197="základní",N197,0)</f>
        <v>0</v>
      </c>
      <c r="BF197" s="158">
        <f>IF(U197="snížená",N197,0)</f>
        <v>0</v>
      </c>
      <c r="BG197" s="158">
        <f>IF(U197="zákl. přenesená",N197,0)</f>
        <v>0</v>
      </c>
      <c r="BH197" s="158">
        <f>IF(U197="sníž. přenesená",N197,0)</f>
        <v>0</v>
      </c>
      <c r="BI197" s="158">
        <f>IF(U197="nulová",N197,0)</f>
        <v>0</v>
      </c>
      <c r="BJ197" s="20" t="s">
        <v>83</v>
      </c>
      <c r="BK197" s="158">
        <f>ROUND(L197*K197,2)</f>
        <v>0</v>
      </c>
      <c r="BL197" s="20" t="s">
        <v>172</v>
      </c>
      <c r="BM197" s="20" t="s">
        <v>336</v>
      </c>
    </row>
    <row r="198" spans="2:65" s="10" customFormat="1" ht="16.5" customHeight="1" x14ac:dyDescent="0.3">
      <c r="B198" s="159"/>
      <c r="C198" s="160"/>
      <c r="D198" s="160"/>
      <c r="E198" s="161" t="s">
        <v>19</v>
      </c>
      <c r="F198" s="267" t="s">
        <v>337</v>
      </c>
      <c r="G198" s="268"/>
      <c r="H198" s="268"/>
      <c r="I198" s="268"/>
      <c r="J198" s="160"/>
      <c r="K198" s="162">
        <v>1.44</v>
      </c>
      <c r="L198" s="329"/>
      <c r="M198" s="221"/>
      <c r="N198" s="160"/>
      <c r="O198" s="160"/>
      <c r="P198" s="160"/>
      <c r="Q198" s="160"/>
      <c r="R198" s="163"/>
      <c r="T198" s="182"/>
      <c r="U198" s="183"/>
      <c r="V198" s="183"/>
      <c r="W198" s="183"/>
      <c r="X198" s="183"/>
      <c r="Y198" s="183"/>
      <c r="Z198" s="183"/>
      <c r="AA198" s="184"/>
      <c r="AT198" s="166" t="s">
        <v>148</v>
      </c>
      <c r="AU198" s="166" t="s">
        <v>99</v>
      </c>
      <c r="AV198" s="10" t="s">
        <v>99</v>
      </c>
      <c r="AW198" s="10" t="s">
        <v>33</v>
      </c>
      <c r="AX198" s="10" t="s">
        <v>83</v>
      </c>
      <c r="AY198" s="166" t="s">
        <v>140</v>
      </c>
    </row>
    <row r="199" spans="2:65" s="1" customFormat="1" ht="6.95" customHeight="1" x14ac:dyDescent="0.3">
      <c r="B199" s="57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9"/>
    </row>
  </sheetData>
  <sheetProtection algorithmName="SHA-512" hashValue="7nu+B585sMTc2lymSBBBJ6mekJEWV5sjnW/8Vj9mn3d2GpkqVVu9cWNr1afhIcf0QubHzXX6ckCvCu6bIRneFA==" saltValue="kC2MER5ECSvHuQiC1MxfsA==" spinCount="100000" sheet="1" objects="1" scenarios="1"/>
  <mergeCells count="171">
    <mergeCell ref="F170:I170"/>
    <mergeCell ref="F124:I124"/>
    <mergeCell ref="F125:I125"/>
    <mergeCell ref="F144:I144"/>
    <mergeCell ref="O9:P9"/>
    <mergeCell ref="O11:P11"/>
    <mergeCell ref="O12:P12"/>
    <mergeCell ref="O14:P14"/>
    <mergeCell ref="O15:P15"/>
    <mergeCell ref="O17:P17"/>
    <mergeCell ref="H33:J33"/>
    <mergeCell ref="M33:P33"/>
    <mergeCell ref="H34:J34"/>
    <mergeCell ref="M34:P34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H1:K1"/>
    <mergeCell ref="C2:Q2"/>
    <mergeCell ref="S2:AC2"/>
    <mergeCell ref="C4:Q4"/>
    <mergeCell ref="F6:P6"/>
    <mergeCell ref="F7:P7"/>
    <mergeCell ref="M30:P30"/>
    <mergeCell ref="H32:J32"/>
    <mergeCell ref="M32:P32"/>
    <mergeCell ref="O18:P18"/>
    <mergeCell ref="O20:P20"/>
    <mergeCell ref="O21:P21"/>
    <mergeCell ref="E24:L24"/>
    <mergeCell ref="M27:P27"/>
    <mergeCell ref="M28:P28"/>
    <mergeCell ref="M36:P36"/>
    <mergeCell ref="L38:P38"/>
    <mergeCell ref="C76:Q76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M115:P115"/>
    <mergeCell ref="M117:Q117"/>
    <mergeCell ref="M118:Q118"/>
    <mergeCell ref="F120:I120"/>
    <mergeCell ref="L120:M120"/>
    <mergeCell ref="N120:Q120"/>
    <mergeCell ref="N100:Q100"/>
    <mergeCell ref="N102:Q102"/>
    <mergeCell ref="L104:Q104"/>
    <mergeCell ref="C110:Q110"/>
    <mergeCell ref="F112:P112"/>
    <mergeCell ref="F113:P113"/>
    <mergeCell ref="F127:I127"/>
    <mergeCell ref="F128:I128"/>
    <mergeCell ref="N128:Q128"/>
    <mergeCell ref="F129:I129"/>
    <mergeCell ref="F130:I130"/>
    <mergeCell ref="N130:Q130"/>
    <mergeCell ref="N121:Q121"/>
    <mergeCell ref="N122:Q122"/>
    <mergeCell ref="N123:Q123"/>
    <mergeCell ref="F126:I126"/>
    <mergeCell ref="N126:Q126"/>
    <mergeCell ref="N124:Q124"/>
    <mergeCell ref="F134:I134"/>
    <mergeCell ref="F135:I135"/>
    <mergeCell ref="F137:I137"/>
    <mergeCell ref="N137:Q137"/>
    <mergeCell ref="F138:I138"/>
    <mergeCell ref="F131:I131"/>
    <mergeCell ref="F132:I132"/>
    <mergeCell ref="F143:I143"/>
    <mergeCell ref="N143:Q143"/>
    <mergeCell ref="F133:I133"/>
    <mergeCell ref="F136:I136"/>
    <mergeCell ref="N136:Q136"/>
    <mergeCell ref="F147:I147"/>
    <mergeCell ref="N147:Q147"/>
    <mergeCell ref="F148:I148"/>
    <mergeCell ref="F149:I149"/>
    <mergeCell ref="N149:Q149"/>
    <mergeCell ref="F139:I139"/>
    <mergeCell ref="F142:I142"/>
    <mergeCell ref="F145:I145"/>
    <mergeCell ref="N145:Q145"/>
    <mergeCell ref="F146:I146"/>
    <mergeCell ref="F140:I140"/>
    <mergeCell ref="F141:I141"/>
    <mergeCell ref="F154:I154"/>
    <mergeCell ref="F155:I155"/>
    <mergeCell ref="F156:I156"/>
    <mergeCell ref="N157:Q157"/>
    <mergeCell ref="F158:I158"/>
    <mergeCell ref="N158:Q158"/>
    <mergeCell ref="F150:I150"/>
    <mergeCell ref="F151:I151"/>
    <mergeCell ref="N151:Q151"/>
    <mergeCell ref="N152:Q152"/>
    <mergeCell ref="F153:I153"/>
    <mergeCell ref="N153:Q153"/>
    <mergeCell ref="F163:I163"/>
    <mergeCell ref="N163:Q163"/>
    <mergeCell ref="F164:I164"/>
    <mergeCell ref="F171:I171"/>
    <mergeCell ref="N171:Q171"/>
    <mergeCell ref="F159:I159"/>
    <mergeCell ref="F160:I160"/>
    <mergeCell ref="N160:Q160"/>
    <mergeCell ref="F161:I161"/>
    <mergeCell ref="N162:Q162"/>
    <mergeCell ref="F165:I165"/>
    <mergeCell ref="N165:Q165"/>
    <mergeCell ref="F166:I166"/>
    <mergeCell ref="F167:I167"/>
    <mergeCell ref="N167:Q167"/>
    <mergeCell ref="F168:I168"/>
    <mergeCell ref="F169:I169"/>
    <mergeCell ref="N169:Q169"/>
    <mergeCell ref="F176:I176"/>
    <mergeCell ref="F177:I177"/>
    <mergeCell ref="N177:Q177"/>
    <mergeCell ref="F178:I178"/>
    <mergeCell ref="N179:Q179"/>
    <mergeCell ref="F172:I172"/>
    <mergeCell ref="F173:I173"/>
    <mergeCell ref="F174:I174"/>
    <mergeCell ref="F175:I175"/>
    <mergeCell ref="N175:Q175"/>
    <mergeCell ref="F183:I183"/>
    <mergeCell ref="N183:Q183"/>
    <mergeCell ref="F180:I180"/>
    <mergeCell ref="N180:Q180"/>
    <mergeCell ref="F181:I181"/>
    <mergeCell ref="N181:Q181"/>
    <mergeCell ref="F182:I182"/>
    <mergeCell ref="N182:Q182"/>
    <mergeCell ref="F188:I188"/>
    <mergeCell ref="N188:Q188"/>
    <mergeCell ref="F189:I189"/>
    <mergeCell ref="F190:I190"/>
    <mergeCell ref="N190:Q190"/>
    <mergeCell ref="N184:Q184"/>
    <mergeCell ref="N185:Q185"/>
    <mergeCell ref="F186:I186"/>
    <mergeCell ref="N186:Q186"/>
    <mergeCell ref="N187:Q187"/>
    <mergeCell ref="F198:I198"/>
    <mergeCell ref="F195:I195"/>
    <mergeCell ref="N195:Q195"/>
    <mergeCell ref="N196:Q196"/>
    <mergeCell ref="F197:I197"/>
    <mergeCell ref="N197:Q197"/>
    <mergeCell ref="F191:I191"/>
    <mergeCell ref="N192:Q192"/>
    <mergeCell ref="F193:I193"/>
    <mergeCell ref="N193:Q193"/>
    <mergeCell ref="N194:Q194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3"/>
  <sheetViews>
    <sheetView topLeftCell="A104" workbookViewId="0">
      <selection activeCell="L123" sqref="L12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6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94</v>
      </c>
      <c r="G1" s="15"/>
      <c r="H1" s="304" t="s">
        <v>95</v>
      </c>
      <c r="I1" s="304"/>
      <c r="J1" s="304"/>
      <c r="K1" s="304"/>
      <c r="L1" s="15" t="s">
        <v>96</v>
      </c>
      <c r="M1" s="13"/>
      <c r="N1" s="13"/>
      <c r="O1" s="14" t="s">
        <v>97</v>
      </c>
      <c r="P1" s="13"/>
      <c r="Q1" s="13"/>
      <c r="R1" s="13"/>
      <c r="S1" s="15" t="s">
        <v>98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0" t="s">
        <v>88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 x14ac:dyDescent="0.3">
      <c r="B4" s="24"/>
      <c r="C4" s="246" t="s">
        <v>100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90" t="e">
        <f>#REF!</f>
        <v>#REF!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6"/>
      <c r="R6" s="25"/>
    </row>
    <row r="7" spans="1:66" s="1" customFormat="1" ht="32.85" customHeight="1" x14ac:dyDescent="0.3">
      <c r="B7" s="33"/>
      <c r="C7" s="34"/>
      <c r="D7" s="29" t="s">
        <v>101</v>
      </c>
      <c r="E7" s="34"/>
      <c r="F7" s="260" t="s">
        <v>338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92" t="e">
        <f>#REF!</f>
        <v>#REF!</v>
      </c>
      <c r="P9" s="292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59" t="s">
        <v>19</v>
      </c>
      <c r="P11" s="259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59" t="s">
        <v>19</v>
      </c>
      <c r="P12" s="259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59" t="s">
        <v>19</v>
      </c>
      <c r="P14" s="259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59" t="s">
        <v>19</v>
      </c>
      <c r="P15" s="259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59" t="s">
        <v>19</v>
      </c>
      <c r="P17" s="259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59" t="s">
        <v>19</v>
      </c>
      <c r="P18" s="259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59" t="s">
        <v>19</v>
      </c>
      <c r="P20" s="259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59" t="s">
        <v>19</v>
      </c>
      <c r="P21" s="259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54" t="s">
        <v>19</v>
      </c>
      <c r="F24" s="254"/>
      <c r="G24" s="254"/>
      <c r="H24" s="254"/>
      <c r="I24" s="254"/>
      <c r="J24" s="254"/>
      <c r="K24" s="254"/>
      <c r="L24" s="254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103</v>
      </c>
      <c r="E27" s="34"/>
      <c r="F27" s="34"/>
      <c r="G27" s="34"/>
      <c r="H27" s="34"/>
      <c r="I27" s="34"/>
      <c r="J27" s="34"/>
      <c r="K27" s="34"/>
      <c r="L27" s="34"/>
      <c r="M27" s="250">
        <f>N88</f>
        <v>0</v>
      </c>
      <c r="N27" s="250"/>
      <c r="O27" s="250"/>
      <c r="P27" s="250"/>
      <c r="Q27" s="34"/>
      <c r="R27" s="35"/>
    </row>
    <row r="28" spans="2:18" s="1" customFormat="1" ht="14.45" customHeight="1" x14ac:dyDescent="0.3">
      <c r="B28" s="33"/>
      <c r="C28" s="34"/>
      <c r="D28" s="32" t="s">
        <v>104</v>
      </c>
      <c r="E28" s="34"/>
      <c r="F28" s="34"/>
      <c r="G28" s="34"/>
      <c r="H28" s="34"/>
      <c r="I28" s="34"/>
      <c r="J28" s="34"/>
      <c r="K28" s="34"/>
      <c r="L28" s="34"/>
      <c r="M28" s="250">
        <f>N101</f>
        <v>0</v>
      </c>
      <c r="N28" s="250"/>
      <c r="O28" s="250"/>
      <c r="P28" s="250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39</v>
      </c>
      <c r="E30" s="34"/>
      <c r="F30" s="34"/>
      <c r="G30" s="34"/>
      <c r="H30" s="34"/>
      <c r="I30" s="34"/>
      <c r="J30" s="34"/>
      <c r="K30" s="34"/>
      <c r="L30" s="34"/>
      <c r="M30" s="303">
        <f>ROUND(M27+M28,2)</f>
        <v>0</v>
      </c>
      <c r="N30" s="289"/>
      <c r="O30" s="289"/>
      <c r="P30" s="289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40</v>
      </c>
      <c r="E32" s="40" t="s">
        <v>41</v>
      </c>
      <c r="F32" s="41">
        <v>0.21</v>
      </c>
      <c r="G32" s="112" t="s">
        <v>42</v>
      </c>
      <c r="H32" s="300">
        <f>ROUND((SUM(BE101:BE102)+SUM(BE120:BE202)), 2)</f>
        <v>0</v>
      </c>
      <c r="I32" s="289"/>
      <c r="J32" s="289"/>
      <c r="K32" s="34"/>
      <c r="L32" s="34"/>
      <c r="M32" s="300">
        <f>ROUND(ROUND((SUM(BE101:BE102)+SUM(BE120:BE202)), 2)*F32, 2)</f>
        <v>0</v>
      </c>
      <c r="N32" s="289"/>
      <c r="O32" s="289"/>
      <c r="P32" s="289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43</v>
      </c>
      <c r="F33" s="41">
        <v>0.15</v>
      </c>
      <c r="G33" s="112" t="s">
        <v>42</v>
      </c>
      <c r="H33" s="300">
        <f>ROUND((SUM(BF101:BF102)+SUM(BF120:BF202)), 2)</f>
        <v>0</v>
      </c>
      <c r="I33" s="289"/>
      <c r="J33" s="289"/>
      <c r="K33" s="34"/>
      <c r="L33" s="34"/>
      <c r="M33" s="300">
        <f>ROUND(ROUND((SUM(BF101:BF102)+SUM(BF120:BF202)), 2)*F33, 2)</f>
        <v>0</v>
      </c>
      <c r="N33" s="289"/>
      <c r="O33" s="289"/>
      <c r="P33" s="289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44</v>
      </c>
      <c r="F34" s="41">
        <v>0.21</v>
      </c>
      <c r="G34" s="112" t="s">
        <v>42</v>
      </c>
      <c r="H34" s="300">
        <f>ROUND((SUM(BG101:BG102)+SUM(BG120:BG202)), 2)</f>
        <v>0</v>
      </c>
      <c r="I34" s="289"/>
      <c r="J34" s="289"/>
      <c r="K34" s="34"/>
      <c r="L34" s="34"/>
      <c r="M34" s="300">
        <v>0</v>
      </c>
      <c r="N34" s="289"/>
      <c r="O34" s="289"/>
      <c r="P34" s="289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45</v>
      </c>
      <c r="F35" s="41">
        <v>0.15</v>
      </c>
      <c r="G35" s="112" t="s">
        <v>42</v>
      </c>
      <c r="H35" s="300">
        <f>ROUND((SUM(BH101:BH102)+SUM(BH120:BH202)), 2)</f>
        <v>0</v>
      </c>
      <c r="I35" s="289"/>
      <c r="J35" s="289"/>
      <c r="K35" s="34"/>
      <c r="L35" s="34"/>
      <c r="M35" s="300">
        <v>0</v>
      </c>
      <c r="N35" s="289"/>
      <c r="O35" s="289"/>
      <c r="P35" s="289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46</v>
      </c>
      <c r="F36" s="41">
        <v>0</v>
      </c>
      <c r="G36" s="112" t="s">
        <v>42</v>
      </c>
      <c r="H36" s="300">
        <f>ROUND((SUM(BI101:BI102)+SUM(BI120:BI202)), 2)</f>
        <v>0</v>
      </c>
      <c r="I36" s="289"/>
      <c r="J36" s="289"/>
      <c r="K36" s="34"/>
      <c r="L36" s="34"/>
      <c r="M36" s="300">
        <v>0</v>
      </c>
      <c r="N36" s="289"/>
      <c r="O36" s="289"/>
      <c r="P36" s="289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47</v>
      </c>
      <c r="E38" s="77"/>
      <c r="F38" s="77"/>
      <c r="G38" s="114" t="s">
        <v>48</v>
      </c>
      <c r="H38" s="115" t="s">
        <v>49</v>
      </c>
      <c r="I38" s="77"/>
      <c r="J38" s="77"/>
      <c r="K38" s="77"/>
      <c r="L38" s="301">
        <f>SUM(M30:M36)</f>
        <v>0</v>
      </c>
      <c r="M38" s="301"/>
      <c r="N38" s="301"/>
      <c r="O38" s="301"/>
      <c r="P38" s="302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50</v>
      </c>
      <c r="E50" s="49"/>
      <c r="F50" s="49"/>
      <c r="G50" s="49"/>
      <c r="H50" s="50"/>
      <c r="I50" s="34"/>
      <c r="J50" s="48" t="s">
        <v>51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52</v>
      </c>
      <c r="E59" s="54"/>
      <c r="F59" s="54"/>
      <c r="G59" s="55" t="s">
        <v>53</v>
      </c>
      <c r="H59" s="56"/>
      <c r="I59" s="34"/>
      <c r="J59" s="53" t="s">
        <v>52</v>
      </c>
      <c r="K59" s="54"/>
      <c r="L59" s="54"/>
      <c r="M59" s="54"/>
      <c r="N59" s="55" t="s">
        <v>53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54</v>
      </c>
      <c r="E61" s="49"/>
      <c r="F61" s="49"/>
      <c r="G61" s="49"/>
      <c r="H61" s="50"/>
      <c r="I61" s="34"/>
      <c r="J61" s="48" t="s">
        <v>55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52</v>
      </c>
      <c r="E70" s="54"/>
      <c r="F70" s="54"/>
      <c r="G70" s="55" t="s">
        <v>53</v>
      </c>
      <c r="H70" s="56"/>
      <c r="I70" s="34"/>
      <c r="J70" s="53" t="s">
        <v>52</v>
      </c>
      <c r="K70" s="54"/>
      <c r="L70" s="54"/>
      <c r="M70" s="54"/>
      <c r="N70" s="55" t="s">
        <v>53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6" t="s">
        <v>105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30" t="s">
        <v>17</v>
      </c>
      <c r="D78" s="34"/>
      <c r="E78" s="34"/>
      <c r="F78" s="290" t="e">
        <f>F6</f>
        <v>#REF!</v>
      </c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101</v>
      </c>
      <c r="D79" s="34"/>
      <c r="E79" s="34"/>
      <c r="F79" s="248" t="str">
        <f>F7</f>
        <v>2017082-SÝČINA - SÝČINA-LIKVIDACE VODOJEMU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92" t="e">
        <f>IF(O9="","",O9)</f>
        <v>#REF!</v>
      </c>
      <c r="N81" s="292"/>
      <c r="O81" s="292"/>
      <c r="P81" s="292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59" t="str">
        <f>E18</f>
        <v>ING.EVŽEN KOZÁK S.R.O.</v>
      </c>
      <c r="N83" s="259"/>
      <c r="O83" s="259"/>
      <c r="P83" s="259"/>
      <c r="Q83" s="259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59" t="str">
        <f>E21</f>
        <v>ING.EVŽEN KOZÁK</v>
      </c>
      <c r="N84" s="259"/>
      <c r="O84" s="259"/>
      <c r="P84" s="259"/>
      <c r="Q84" s="259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8" t="s">
        <v>106</v>
      </c>
      <c r="D86" s="299"/>
      <c r="E86" s="299"/>
      <c r="F86" s="299"/>
      <c r="G86" s="299"/>
      <c r="H86" s="108"/>
      <c r="I86" s="108"/>
      <c r="J86" s="108"/>
      <c r="K86" s="108"/>
      <c r="L86" s="108"/>
      <c r="M86" s="108"/>
      <c r="N86" s="298" t="s">
        <v>107</v>
      </c>
      <c r="O86" s="299"/>
      <c r="P86" s="299"/>
      <c r="Q86" s="299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108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26">
        <f>N120</f>
        <v>0</v>
      </c>
      <c r="O88" s="295"/>
      <c r="P88" s="295"/>
      <c r="Q88" s="295"/>
      <c r="R88" s="35"/>
      <c r="T88" s="119"/>
      <c r="U88" s="119"/>
      <c r="AU88" s="20" t="s">
        <v>109</v>
      </c>
    </row>
    <row r="89" spans="2:47" s="6" customFormat="1" ht="24.95" customHeight="1" x14ac:dyDescent="0.3">
      <c r="B89" s="121"/>
      <c r="C89" s="122"/>
      <c r="D89" s="123" t="s">
        <v>110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8">
        <f>N121</f>
        <v>0</v>
      </c>
      <c r="O89" s="297"/>
      <c r="P89" s="297"/>
      <c r="Q89" s="297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111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93">
        <f>N122</f>
        <v>0</v>
      </c>
      <c r="O90" s="294"/>
      <c r="P90" s="294"/>
      <c r="Q90" s="294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339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93">
        <f>N149</f>
        <v>0</v>
      </c>
      <c r="O91" s="294"/>
      <c r="P91" s="294"/>
      <c r="Q91" s="294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113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93">
        <f>N155</f>
        <v>0</v>
      </c>
      <c r="O92" s="294"/>
      <c r="P92" s="294"/>
      <c r="Q92" s="294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114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93">
        <f>N159</f>
        <v>0</v>
      </c>
      <c r="O93" s="294"/>
      <c r="P93" s="294"/>
      <c r="Q93" s="294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115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93">
        <f>N162</f>
        <v>0</v>
      </c>
      <c r="O94" s="294"/>
      <c r="P94" s="294"/>
      <c r="Q94" s="294"/>
      <c r="R94" s="129"/>
      <c r="T94" s="130"/>
      <c r="U94" s="130"/>
    </row>
    <row r="95" spans="2:47" s="7" customFormat="1" ht="19.899999999999999" customHeight="1" x14ac:dyDescent="0.3">
      <c r="B95" s="126"/>
      <c r="C95" s="127"/>
      <c r="D95" s="128" t="s">
        <v>116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93">
        <f>N176</f>
        <v>0</v>
      </c>
      <c r="O95" s="294"/>
      <c r="P95" s="294"/>
      <c r="Q95" s="294"/>
      <c r="R95" s="129"/>
      <c r="T95" s="130"/>
      <c r="U95" s="130"/>
    </row>
    <row r="96" spans="2:47" s="6" customFormat="1" ht="24.95" customHeight="1" x14ac:dyDescent="0.3">
      <c r="B96" s="121"/>
      <c r="C96" s="122"/>
      <c r="D96" s="123" t="s">
        <v>117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88">
        <f>N180</f>
        <v>0</v>
      </c>
      <c r="O96" s="297"/>
      <c r="P96" s="297"/>
      <c r="Q96" s="297"/>
      <c r="R96" s="124"/>
      <c r="T96" s="125"/>
      <c r="U96" s="125"/>
    </row>
    <row r="97" spans="2:21" s="7" customFormat="1" ht="19.899999999999999" customHeight="1" x14ac:dyDescent="0.3">
      <c r="B97" s="126"/>
      <c r="C97" s="127"/>
      <c r="D97" s="128" t="s">
        <v>118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93">
        <f>N181</f>
        <v>0</v>
      </c>
      <c r="O97" s="294"/>
      <c r="P97" s="294"/>
      <c r="Q97" s="294"/>
      <c r="R97" s="129"/>
      <c r="T97" s="130"/>
      <c r="U97" s="130"/>
    </row>
    <row r="98" spans="2:21" s="7" customFormat="1" ht="19.899999999999999" customHeight="1" x14ac:dyDescent="0.3">
      <c r="B98" s="126"/>
      <c r="C98" s="127"/>
      <c r="D98" s="128" t="s">
        <v>123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93">
        <f>N199</f>
        <v>0</v>
      </c>
      <c r="O98" s="294"/>
      <c r="P98" s="294"/>
      <c r="Q98" s="294"/>
      <c r="R98" s="129"/>
      <c r="T98" s="130"/>
      <c r="U98" s="130"/>
    </row>
    <row r="99" spans="2:21" s="7" customFormat="1" ht="19.899999999999999" customHeight="1" x14ac:dyDescent="0.3">
      <c r="B99" s="126"/>
      <c r="C99" s="127"/>
      <c r="D99" s="128" t="s">
        <v>124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93">
        <f>N201</f>
        <v>0</v>
      </c>
      <c r="O99" s="294"/>
      <c r="P99" s="294"/>
      <c r="Q99" s="294"/>
      <c r="R99" s="129"/>
      <c r="T99" s="130"/>
      <c r="U99" s="130"/>
    </row>
    <row r="100" spans="2:21" s="1" customFormat="1" ht="21.75" customHeight="1" x14ac:dyDescent="0.3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  <c r="T100" s="119"/>
      <c r="U100" s="119"/>
    </row>
    <row r="101" spans="2:21" s="1" customFormat="1" ht="29.25" customHeight="1" x14ac:dyDescent="0.3">
      <c r="B101" s="33"/>
      <c r="C101" s="120" t="s">
        <v>125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295">
        <v>0</v>
      </c>
      <c r="O101" s="296"/>
      <c r="P101" s="296"/>
      <c r="Q101" s="296"/>
      <c r="R101" s="35"/>
      <c r="T101" s="131"/>
      <c r="U101" s="132" t="s">
        <v>40</v>
      </c>
    </row>
    <row r="102" spans="2:21" s="1" customFormat="1" ht="18" customHeight="1" x14ac:dyDescent="0.3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  <c r="T102" s="119"/>
      <c r="U102" s="119"/>
    </row>
    <row r="103" spans="2:21" s="1" customFormat="1" ht="29.25" customHeight="1" x14ac:dyDescent="0.3">
      <c r="B103" s="33"/>
      <c r="C103" s="107" t="s">
        <v>93</v>
      </c>
      <c r="D103" s="108"/>
      <c r="E103" s="108"/>
      <c r="F103" s="108"/>
      <c r="G103" s="108"/>
      <c r="H103" s="108"/>
      <c r="I103" s="108"/>
      <c r="J103" s="108"/>
      <c r="K103" s="108"/>
      <c r="L103" s="222">
        <f>ROUND(SUM(N88+N101),2)</f>
        <v>0</v>
      </c>
      <c r="M103" s="222"/>
      <c r="N103" s="222"/>
      <c r="O103" s="222"/>
      <c r="P103" s="222"/>
      <c r="Q103" s="222"/>
      <c r="R103" s="35"/>
      <c r="T103" s="119"/>
      <c r="U103" s="119"/>
    </row>
    <row r="104" spans="2:21" s="1" customFormat="1" ht="6.95" customHeight="1" x14ac:dyDescent="0.3"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9"/>
      <c r="T104" s="119"/>
      <c r="U104" s="119"/>
    </row>
    <row r="108" spans="2:21" s="1" customFormat="1" ht="6.95" customHeight="1" x14ac:dyDescent="0.3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</row>
    <row r="109" spans="2:21" s="1" customFormat="1" ht="36.950000000000003" customHeight="1" x14ac:dyDescent="0.3">
      <c r="B109" s="33"/>
      <c r="C109" s="246" t="s">
        <v>126</v>
      </c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35"/>
    </row>
    <row r="110" spans="2:21" s="1" customFormat="1" ht="6.95" customHeight="1" x14ac:dyDescent="0.3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1" spans="2:21" s="1" customFormat="1" ht="30" customHeight="1" x14ac:dyDescent="0.3">
      <c r="B111" s="33"/>
      <c r="C111" s="30" t="s">
        <v>17</v>
      </c>
      <c r="D111" s="34"/>
      <c r="E111" s="34"/>
      <c r="F111" s="290" t="e">
        <f>F6</f>
        <v>#REF!</v>
      </c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34"/>
      <c r="R111" s="35"/>
    </row>
    <row r="112" spans="2:21" s="1" customFormat="1" ht="36.950000000000003" customHeight="1" x14ac:dyDescent="0.3">
      <c r="B112" s="33"/>
      <c r="C112" s="67" t="s">
        <v>101</v>
      </c>
      <c r="D112" s="34"/>
      <c r="E112" s="34"/>
      <c r="F112" s="248" t="str">
        <f>F7</f>
        <v>2017082-SÝČINA - SÝČINA-LIKVIDACE VODOJEMU</v>
      </c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34"/>
      <c r="R112" s="35"/>
    </row>
    <row r="113" spans="2:63" s="1" customFormat="1" ht="6.95" customHeight="1" x14ac:dyDescent="0.3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3" s="1" customFormat="1" ht="18" customHeight="1" x14ac:dyDescent="0.3">
      <c r="B114" s="33"/>
      <c r="C114" s="30" t="s">
        <v>21</v>
      </c>
      <c r="D114" s="34"/>
      <c r="E114" s="34"/>
      <c r="F114" s="28" t="str">
        <f>F9</f>
        <v xml:space="preserve"> </v>
      </c>
      <c r="G114" s="34"/>
      <c r="H114" s="34"/>
      <c r="I114" s="34"/>
      <c r="J114" s="34"/>
      <c r="K114" s="30" t="s">
        <v>23</v>
      </c>
      <c r="L114" s="34"/>
      <c r="M114" s="292" t="e">
        <f>IF(O9="","",O9)</f>
        <v>#REF!</v>
      </c>
      <c r="N114" s="292"/>
      <c r="O114" s="292"/>
      <c r="P114" s="292"/>
      <c r="Q114" s="34"/>
      <c r="R114" s="35"/>
    </row>
    <row r="115" spans="2:63" s="1" customFormat="1" ht="6.95" customHeight="1" x14ac:dyDescent="0.3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63" s="1" customFormat="1" ht="15" x14ac:dyDescent="0.3">
      <c r="B116" s="33"/>
      <c r="C116" s="30" t="s">
        <v>25</v>
      </c>
      <c r="D116" s="34"/>
      <c r="E116" s="34"/>
      <c r="F116" s="28" t="str">
        <f>E12</f>
        <v>VODOVODY A KANALIZACE MLADÁ BOLESLAV A.S.</v>
      </c>
      <c r="G116" s="34"/>
      <c r="H116" s="34"/>
      <c r="I116" s="34"/>
      <c r="J116" s="34"/>
      <c r="K116" s="30" t="s">
        <v>31</v>
      </c>
      <c r="L116" s="34"/>
      <c r="M116" s="259" t="str">
        <f>E18</f>
        <v>ING.EVŽEN KOZÁK S.R.O.</v>
      </c>
      <c r="N116" s="259"/>
      <c r="O116" s="259"/>
      <c r="P116" s="259"/>
      <c r="Q116" s="259"/>
      <c r="R116" s="35"/>
    </row>
    <row r="117" spans="2:63" s="1" customFormat="1" ht="14.45" customHeight="1" x14ac:dyDescent="0.3">
      <c r="B117" s="33"/>
      <c r="C117" s="30" t="s">
        <v>29</v>
      </c>
      <c r="D117" s="34"/>
      <c r="E117" s="34"/>
      <c r="F117" s="28" t="str">
        <f>IF(E15="","",E15)</f>
        <v>DLE VÝBĚROVÉHO ŘÍZENÍ</v>
      </c>
      <c r="G117" s="34"/>
      <c r="H117" s="34"/>
      <c r="I117" s="34"/>
      <c r="J117" s="34"/>
      <c r="K117" s="30" t="s">
        <v>34</v>
      </c>
      <c r="L117" s="34"/>
      <c r="M117" s="259" t="str">
        <f>E21</f>
        <v>ING.EVŽEN KOZÁK</v>
      </c>
      <c r="N117" s="259"/>
      <c r="O117" s="259"/>
      <c r="P117" s="259"/>
      <c r="Q117" s="259"/>
      <c r="R117" s="35"/>
    </row>
    <row r="118" spans="2:63" s="1" customFormat="1" ht="10.35" customHeight="1" x14ac:dyDescent="0.3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3" s="8" customFormat="1" ht="29.25" customHeight="1" x14ac:dyDescent="0.3">
      <c r="B119" s="133"/>
      <c r="C119" s="134" t="s">
        <v>127</v>
      </c>
      <c r="D119" s="135" t="s">
        <v>128</v>
      </c>
      <c r="E119" s="135" t="s">
        <v>58</v>
      </c>
      <c r="F119" s="283" t="s">
        <v>129</v>
      </c>
      <c r="G119" s="283"/>
      <c r="H119" s="283"/>
      <c r="I119" s="283"/>
      <c r="J119" s="135" t="s">
        <v>130</v>
      </c>
      <c r="K119" s="135" t="s">
        <v>131</v>
      </c>
      <c r="L119" s="283" t="s">
        <v>132</v>
      </c>
      <c r="M119" s="283"/>
      <c r="N119" s="283" t="s">
        <v>107</v>
      </c>
      <c r="O119" s="283"/>
      <c r="P119" s="283"/>
      <c r="Q119" s="284"/>
      <c r="R119" s="136"/>
      <c r="T119" s="78" t="s">
        <v>133</v>
      </c>
      <c r="U119" s="79" t="s">
        <v>40</v>
      </c>
      <c r="V119" s="79" t="s">
        <v>134</v>
      </c>
      <c r="W119" s="79" t="s">
        <v>135</v>
      </c>
      <c r="X119" s="79" t="s">
        <v>136</v>
      </c>
      <c r="Y119" s="79" t="s">
        <v>137</v>
      </c>
      <c r="Z119" s="79" t="s">
        <v>138</v>
      </c>
      <c r="AA119" s="80" t="s">
        <v>139</v>
      </c>
      <c r="AB119" s="1"/>
    </row>
    <row r="120" spans="2:63" s="1" customFormat="1" ht="29.25" customHeight="1" x14ac:dyDescent="0.35">
      <c r="B120" s="33"/>
      <c r="C120" s="82" t="s">
        <v>103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285">
        <f>N121+N180</f>
        <v>0</v>
      </c>
      <c r="O120" s="286"/>
      <c r="P120" s="286"/>
      <c r="Q120" s="286"/>
      <c r="R120" s="35"/>
      <c r="T120" s="81"/>
      <c r="U120" s="49"/>
      <c r="V120" s="49"/>
      <c r="W120" s="137">
        <f>W121+W180</f>
        <v>310.24388499999998</v>
      </c>
      <c r="X120" s="49"/>
      <c r="Y120" s="137">
        <f>Y121+Y180</f>
        <v>2.3253084999999998</v>
      </c>
      <c r="Z120" s="49"/>
      <c r="AA120" s="138">
        <f>AA121+AA180</f>
        <v>78.342200000000005</v>
      </c>
      <c r="AT120" s="20" t="s">
        <v>75</v>
      </c>
      <c r="AU120" s="20" t="s">
        <v>109</v>
      </c>
      <c r="BK120" s="139">
        <f>BK121+BK180</f>
        <v>0</v>
      </c>
    </row>
    <row r="121" spans="2:63" s="9" customFormat="1" ht="37.35" customHeight="1" x14ac:dyDescent="0.35">
      <c r="B121" s="140"/>
      <c r="C121" s="141"/>
      <c r="D121" s="142" t="s">
        <v>110</v>
      </c>
      <c r="E121" s="142"/>
      <c r="F121" s="142"/>
      <c r="G121" s="142"/>
      <c r="H121" s="142"/>
      <c r="I121" s="142"/>
      <c r="J121" s="142"/>
      <c r="K121" s="142"/>
      <c r="L121" s="142"/>
      <c r="M121" s="142"/>
      <c r="N121" s="287">
        <f>N122+N149+N155+N159+N162+N176</f>
        <v>0</v>
      </c>
      <c r="O121" s="288"/>
      <c r="P121" s="288"/>
      <c r="Q121" s="288"/>
      <c r="R121" s="143"/>
      <c r="T121" s="144"/>
      <c r="U121" s="141"/>
      <c r="V121" s="141"/>
      <c r="W121" s="145">
        <f>W122+W149+W155+W159+W162+W176</f>
        <v>306.12461299999995</v>
      </c>
      <c r="X121" s="141"/>
      <c r="Y121" s="145">
        <f>Y122+Y149+Y155+Y159+Y162+Y176</f>
        <v>2.2788640999999998</v>
      </c>
      <c r="Z121" s="141"/>
      <c r="AA121" s="146">
        <f>AA122+AA149+AA155+AA159+AA162+AA176</f>
        <v>78.315359999999998</v>
      </c>
      <c r="AR121" s="147" t="s">
        <v>83</v>
      </c>
      <c r="AT121" s="148" t="s">
        <v>75</v>
      </c>
      <c r="AU121" s="148" t="s">
        <v>76</v>
      </c>
      <c r="AY121" s="147" t="s">
        <v>140</v>
      </c>
      <c r="BK121" s="149">
        <f>BK122+BK149+BK155+BK159+BK162+BK176</f>
        <v>0</v>
      </c>
    </row>
    <row r="122" spans="2:63" s="9" customFormat="1" ht="19.899999999999999" customHeight="1" x14ac:dyDescent="0.3">
      <c r="B122" s="140"/>
      <c r="C122" s="141"/>
      <c r="D122" s="150" t="s">
        <v>111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269">
        <f>SUM(N134:N148)</f>
        <v>0</v>
      </c>
      <c r="O122" s="270"/>
      <c r="P122" s="270"/>
      <c r="Q122" s="270"/>
      <c r="R122" s="143"/>
      <c r="T122" s="144"/>
      <c r="U122" s="141"/>
      <c r="V122" s="141"/>
      <c r="W122" s="145">
        <f>SUM(W134:W148)</f>
        <v>33.746895000000002</v>
      </c>
      <c r="X122" s="141"/>
      <c r="Y122" s="145">
        <f>SUM(Y134:Y148)</f>
        <v>5.0000000000000001E-3</v>
      </c>
      <c r="Z122" s="141"/>
      <c r="AA122" s="146">
        <f>SUM(AA134:AA148)</f>
        <v>0</v>
      </c>
      <c r="AR122" s="147" t="s">
        <v>83</v>
      </c>
      <c r="AT122" s="148" t="s">
        <v>75</v>
      </c>
      <c r="AU122" s="148" t="s">
        <v>83</v>
      </c>
      <c r="AY122" s="147" t="s">
        <v>140</v>
      </c>
      <c r="BK122" s="149">
        <f>SUM(BK134:BK148)</f>
        <v>0</v>
      </c>
    </row>
    <row r="123" spans="2:63" s="9" customFormat="1" ht="35.25" customHeight="1" x14ac:dyDescent="0.3">
      <c r="B123" s="140"/>
      <c r="C123" s="206">
        <v>1</v>
      </c>
      <c r="D123" s="150"/>
      <c r="E123" s="128">
        <v>121101101</v>
      </c>
      <c r="F123" s="309" t="s">
        <v>517</v>
      </c>
      <c r="G123" s="309"/>
      <c r="H123" s="309"/>
      <c r="I123" s="309"/>
      <c r="J123" s="150" t="s">
        <v>144</v>
      </c>
      <c r="K123" s="207">
        <f>K124</f>
        <v>28.595999999999997</v>
      </c>
      <c r="L123" s="332"/>
      <c r="M123" s="150"/>
      <c r="N123" s="264">
        <f>ROUND(L123*K123,2)</f>
        <v>0</v>
      </c>
      <c r="O123" s="264"/>
      <c r="P123" s="264"/>
      <c r="Q123" s="264"/>
      <c r="R123" s="143"/>
      <c r="T123" s="144"/>
      <c r="U123" s="141"/>
      <c r="V123" s="141"/>
      <c r="W123" s="145"/>
      <c r="X123" s="141"/>
      <c r="Y123" s="145"/>
      <c r="Z123" s="141"/>
      <c r="AA123" s="146"/>
      <c r="AR123" s="147"/>
      <c r="AT123" s="148"/>
      <c r="AU123" s="148"/>
      <c r="AY123" s="147"/>
      <c r="BK123" s="149"/>
    </row>
    <row r="124" spans="2:63" s="9" customFormat="1" ht="19.899999999999999" customHeight="1" x14ac:dyDescent="0.3">
      <c r="B124" s="140"/>
      <c r="C124" s="206"/>
      <c r="D124" s="150"/>
      <c r="E124" s="128"/>
      <c r="F124" s="309" t="s">
        <v>526</v>
      </c>
      <c r="G124" s="309"/>
      <c r="H124" s="309"/>
      <c r="I124" s="309"/>
      <c r="J124" s="205"/>
      <c r="K124" s="207">
        <f>(10*10-2.6*1.8)*0.3</f>
        <v>28.595999999999997</v>
      </c>
      <c r="L124" s="332"/>
      <c r="M124" s="150"/>
      <c r="N124" s="199"/>
      <c r="O124" s="200"/>
      <c r="P124" s="200"/>
      <c r="Q124" s="200"/>
      <c r="R124" s="143"/>
      <c r="T124" s="144"/>
      <c r="U124" s="141"/>
      <c r="V124" s="141"/>
      <c r="W124" s="145"/>
      <c r="X124" s="141"/>
      <c r="Y124" s="145"/>
      <c r="Z124" s="141"/>
      <c r="AA124" s="146"/>
      <c r="AR124" s="147"/>
      <c r="AT124" s="148"/>
      <c r="AU124" s="148"/>
      <c r="AY124" s="147"/>
      <c r="BK124" s="149"/>
    </row>
    <row r="125" spans="2:63" s="9" customFormat="1" ht="34.5" customHeight="1" x14ac:dyDescent="0.3">
      <c r="B125" s="140"/>
      <c r="C125" s="206">
        <f>C123+1</f>
        <v>2</v>
      </c>
      <c r="D125" s="150"/>
      <c r="E125" s="128">
        <v>122101101</v>
      </c>
      <c r="F125" s="309" t="s">
        <v>518</v>
      </c>
      <c r="G125" s="309"/>
      <c r="H125" s="309"/>
      <c r="I125" s="309"/>
      <c r="J125" s="150" t="s">
        <v>144</v>
      </c>
      <c r="K125" s="207">
        <f>J126</f>
        <v>59.191999999999993</v>
      </c>
      <c r="L125" s="332"/>
      <c r="M125" s="150"/>
      <c r="N125" s="199"/>
      <c r="O125" s="200"/>
      <c r="P125" s="200"/>
      <c r="Q125" s="200"/>
      <c r="R125" s="143"/>
      <c r="T125" s="144"/>
      <c r="U125" s="141"/>
      <c r="V125" s="141"/>
      <c r="W125" s="145"/>
      <c r="X125" s="141"/>
      <c r="Y125" s="145"/>
      <c r="Z125" s="141"/>
      <c r="AA125" s="146"/>
      <c r="AR125" s="147"/>
      <c r="AT125" s="148"/>
      <c r="AU125" s="148"/>
      <c r="AY125" s="147"/>
      <c r="BK125" s="149"/>
    </row>
    <row r="126" spans="2:63" s="9" customFormat="1" ht="19.899999999999999" customHeight="1" x14ac:dyDescent="0.3">
      <c r="B126" s="140"/>
      <c r="C126" s="206"/>
      <c r="D126" s="150"/>
      <c r="E126" s="128"/>
      <c r="F126" s="309" t="s">
        <v>524</v>
      </c>
      <c r="G126" s="309"/>
      <c r="H126" s="309"/>
      <c r="I126" s="309"/>
      <c r="J126" s="150">
        <f>5.6*5.6*0.7+(2+1.8)/2*(5.6+7*2)</f>
        <v>59.191999999999993</v>
      </c>
      <c r="K126" s="207"/>
      <c r="L126" s="332"/>
      <c r="M126" s="150"/>
      <c r="N126" s="199"/>
      <c r="O126" s="200"/>
      <c r="P126" s="200"/>
      <c r="Q126" s="200"/>
      <c r="R126" s="143"/>
      <c r="T126" s="144"/>
      <c r="U126" s="141"/>
      <c r="V126" s="141"/>
      <c r="W126" s="145"/>
      <c r="X126" s="141"/>
      <c r="Y126" s="145"/>
      <c r="Z126" s="141"/>
      <c r="AA126" s="146"/>
      <c r="AR126" s="147"/>
      <c r="AT126" s="148"/>
      <c r="AU126" s="148"/>
      <c r="AY126" s="147"/>
      <c r="BK126" s="149"/>
    </row>
    <row r="127" spans="2:63" s="9" customFormat="1" ht="34.5" customHeight="1" x14ac:dyDescent="0.3">
      <c r="B127" s="140"/>
      <c r="C127" s="206">
        <f>C125+1</f>
        <v>3</v>
      </c>
      <c r="D127" s="150"/>
      <c r="E127" s="128">
        <v>132101101</v>
      </c>
      <c r="F127" s="309" t="s">
        <v>521</v>
      </c>
      <c r="G127" s="309"/>
      <c r="H127" s="309"/>
      <c r="I127" s="309"/>
      <c r="J127" s="150" t="s">
        <v>144</v>
      </c>
      <c r="K127" s="207">
        <f>J128</f>
        <v>21.383999999999997</v>
      </c>
      <c r="L127" s="332"/>
      <c r="M127" s="150"/>
      <c r="N127" s="199"/>
      <c r="O127" s="200"/>
      <c r="P127" s="200"/>
      <c r="Q127" s="200"/>
      <c r="R127" s="143"/>
      <c r="T127" s="144"/>
      <c r="U127" s="141"/>
      <c r="V127" s="141"/>
      <c r="W127" s="145"/>
      <c r="X127" s="141"/>
      <c r="Y127" s="145"/>
      <c r="Z127" s="141"/>
      <c r="AA127" s="146"/>
      <c r="AR127" s="147"/>
      <c r="AT127" s="148"/>
      <c r="AU127" s="148"/>
      <c r="AY127" s="147"/>
      <c r="BK127" s="149"/>
    </row>
    <row r="128" spans="2:63" s="9" customFormat="1" ht="19.899999999999999" customHeight="1" x14ac:dyDescent="0.3">
      <c r="B128" s="140"/>
      <c r="C128" s="206"/>
      <c r="D128" s="150"/>
      <c r="E128" s="128"/>
      <c r="F128" s="309" t="s">
        <v>525</v>
      </c>
      <c r="G128" s="309"/>
      <c r="H128" s="309"/>
      <c r="I128" s="309"/>
      <c r="J128" s="150">
        <f>(5.6*3+1.5*2)*0.6*1.8</f>
        <v>21.383999999999997</v>
      </c>
      <c r="K128" s="207"/>
      <c r="L128" s="332"/>
      <c r="M128" s="150"/>
      <c r="N128" s="199"/>
      <c r="O128" s="200"/>
      <c r="P128" s="200"/>
      <c r="Q128" s="200"/>
      <c r="R128" s="143"/>
      <c r="T128" s="144"/>
      <c r="U128" s="141"/>
      <c r="V128" s="141"/>
      <c r="W128" s="145"/>
      <c r="X128" s="141"/>
      <c r="Y128" s="145"/>
      <c r="Z128" s="141"/>
      <c r="AA128" s="146"/>
      <c r="AR128" s="147"/>
      <c r="AT128" s="148"/>
      <c r="AU128" s="148"/>
      <c r="AY128" s="147"/>
      <c r="BK128" s="149"/>
    </row>
    <row r="129" spans="2:65" s="9" customFormat="1" ht="33" customHeight="1" x14ac:dyDescent="0.3">
      <c r="B129" s="140"/>
      <c r="C129" s="206">
        <f>C127+1</f>
        <v>4</v>
      </c>
      <c r="D129" s="150"/>
      <c r="E129" s="128">
        <v>162201102</v>
      </c>
      <c r="F129" s="310" t="s">
        <v>519</v>
      </c>
      <c r="G129" s="310"/>
      <c r="H129" s="310"/>
      <c r="I129" s="310"/>
      <c r="J129" s="150" t="s">
        <v>144</v>
      </c>
      <c r="K129" s="208">
        <f>K130+K131</f>
        <v>145.10874999999999</v>
      </c>
      <c r="L129" s="332"/>
      <c r="M129" s="150"/>
      <c r="N129" s="199"/>
      <c r="O129" s="200"/>
      <c r="P129" s="200"/>
      <c r="Q129" s="200"/>
      <c r="R129" s="143"/>
      <c r="T129" s="144"/>
      <c r="U129" s="141"/>
      <c r="V129" s="141"/>
      <c r="W129" s="145"/>
      <c r="X129" s="141"/>
      <c r="Y129" s="145"/>
      <c r="Z129" s="141"/>
      <c r="AA129" s="146"/>
      <c r="AR129" s="147"/>
      <c r="AT129" s="148"/>
      <c r="AU129" s="148"/>
      <c r="AY129" s="147"/>
      <c r="BK129" s="149"/>
    </row>
    <row r="130" spans="2:65" s="9" customFormat="1" ht="19.899999999999999" customHeight="1" x14ac:dyDescent="0.3">
      <c r="B130" s="140"/>
      <c r="C130" s="206"/>
      <c r="D130" s="150"/>
      <c r="E130" s="128"/>
      <c r="F130" s="310" t="s">
        <v>532</v>
      </c>
      <c r="G130" s="310"/>
      <c r="H130" s="310"/>
      <c r="I130" s="310"/>
      <c r="J130" s="150"/>
      <c r="K130" s="207">
        <f>59.2+21.4</f>
        <v>80.599999999999994</v>
      </c>
      <c r="L130" s="332"/>
      <c r="M130" s="150"/>
      <c r="N130" s="199"/>
      <c r="O130" s="200"/>
      <c r="P130" s="200"/>
      <c r="Q130" s="200"/>
      <c r="R130" s="143"/>
      <c r="T130" s="144"/>
      <c r="U130" s="141"/>
      <c r="V130" s="141"/>
      <c r="W130" s="145"/>
      <c r="X130" s="141"/>
      <c r="Y130" s="145"/>
      <c r="Z130" s="141"/>
      <c r="AA130" s="146"/>
      <c r="AR130" s="147"/>
      <c r="AT130" s="148"/>
      <c r="AU130" s="148"/>
      <c r="AY130" s="147"/>
      <c r="BK130" s="149"/>
    </row>
    <row r="131" spans="2:65" s="9" customFormat="1" ht="19.899999999999999" customHeight="1" x14ac:dyDescent="0.3">
      <c r="B131" s="140"/>
      <c r="C131" s="206"/>
      <c r="D131" s="150"/>
      <c r="E131" s="128"/>
      <c r="F131" s="310" t="s">
        <v>531</v>
      </c>
      <c r="G131" s="310"/>
      <c r="H131" s="310"/>
      <c r="I131" s="310"/>
      <c r="J131" s="150"/>
      <c r="K131" s="208">
        <f>K142</f>
        <v>64.508749999999992</v>
      </c>
      <c r="L131" s="332"/>
      <c r="M131" s="150"/>
      <c r="N131" s="199"/>
      <c r="O131" s="200"/>
      <c r="P131" s="200"/>
      <c r="Q131" s="200"/>
      <c r="R131" s="143"/>
      <c r="T131" s="144"/>
      <c r="U131" s="141"/>
      <c r="V131" s="141"/>
      <c r="W131" s="145"/>
      <c r="X131" s="141"/>
      <c r="Y131" s="145"/>
      <c r="Z131" s="141"/>
      <c r="AA131" s="146"/>
      <c r="AR131" s="147"/>
      <c r="AT131" s="148"/>
      <c r="AU131" s="148"/>
      <c r="AY131" s="147"/>
      <c r="BK131" s="149"/>
    </row>
    <row r="132" spans="2:65" s="9" customFormat="1" ht="38.25" customHeight="1" x14ac:dyDescent="0.3">
      <c r="B132" s="140"/>
      <c r="C132" s="206">
        <f>C129+1</f>
        <v>5</v>
      </c>
      <c r="D132" s="150"/>
      <c r="E132" s="128">
        <v>167101101</v>
      </c>
      <c r="F132" s="310" t="s">
        <v>533</v>
      </c>
      <c r="G132" s="310"/>
      <c r="H132" s="310"/>
      <c r="I132" s="310"/>
      <c r="J132" s="150" t="s">
        <v>144</v>
      </c>
      <c r="K132" s="208">
        <f>K133</f>
        <v>16.090999999999994</v>
      </c>
      <c r="L132" s="332"/>
      <c r="M132" s="150"/>
      <c r="N132" s="199"/>
      <c r="O132" s="200"/>
      <c r="P132" s="200"/>
      <c r="Q132" s="200"/>
      <c r="R132" s="143"/>
      <c r="T132" s="144"/>
      <c r="U132" s="141"/>
      <c r="V132" s="141"/>
      <c r="W132" s="145"/>
      <c r="X132" s="141"/>
      <c r="Y132" s="145"/>
      <c r="Z132" s="141"/>
      <c r="AA132" s="146"/>
      <c r="AR132" s="147"/>
      <c r="AT132" s="148"/>
      <c r="AU132" s="148"/>
      <c r="AY132" s="147"/>
      <c r="BK132" s="149"/>
    </row>
    <row r="133" spans="2:65" s="10" customFormat="1" ht="25.5" customHeight="1" x14ac:dyDescent="0.3">
      <c r="B133" s="159"/>
      <c r="C133" s="203"/>
      <c r="D133" s="203"/>
      <c r="E133" s="161" t="s">
        <v>19</v>
      </c>
      <c r="F133" s="267" t="s">
        <v>530</v>
      </c>
      <c r="G133" s="268"/>
      <c r="H133" s="268"/>
      <c r="I133" s="268"/>
      <c r="J133" s="203"/>
      <c r="K133" s="162">
        <f>80.6-64.509</f>
        <v>16.090999999999994</v>
      </c>
      <c r="L133" s="329"/>
      <c r="M133" s="221"/>
      <c r="N133" s="203"/>
      <c r="O133" s="203"/>
      <c r="P133" s="203"/>
      <c r="Q133" s="203"/>
      <c r="R133" s="163"/>
      <c r="T133" s="164"/>
      <c r="U133" s="203"/>
      <c r="V133" s="203"/>
      <c r="W133" s="203"/>
      <c r="X133" s="203"/>
      <c r="Y133" s="203"/>
      <c r="Z133" s="203"/>
      <c r="AA133" s="165"/>
      <c r="AT133" s="166" t="s">
        <v>148</v>
      </c>
      <c r="AU133" s="166" t="s">
        <v>99</v>
      </c>
      <c r="AV133" s="10" t="s">
        <v>99</v>
      </c>
      <c r="AW133" s="10" t="s">
        <v>33</v>
      </c>
      <c r="AX133" s="10" t="s">
        <v>83</v>
      </c>
      <c r="AY133" s="166" t="s">
        <v>140</v>
      </c>
    </row>
    <row r="134" spans="2:65" s="1" customFormat="1" ht="38.25" customHeight="1" x14ac:dyDescent="0.3">
      <c r="B134" s="33"/>
      <c r="C134" s="206">
        <f>C132+1</f>
        <v>6</v>
      </c>
      <c r="D134" s="151" t="s">
        <v>141</v>
      </c>
      <c r="E134" s="152" t="s">
        <v>275</v>
      </c>
      <c r="F134" s="263" t="s">
        <v>553</v>
      </c>
      <c r="G134" s="263"/>
      <c r="H134" s="263"/>
      <c r="I134" s="263"/>
      <c r="J134" s="153" t="s">
        <v>144</v>
      </c>
      <c r="K134" s="154">
        <f>K135</f>
        <v>16.091250000000002</v>
      </c>
      <c r="L134" s="328"/>
      <c r="M134" s="220"/>
      <c r="N134" s="264">
        <f>ROUND(L134*K134,2)</f>
        <v>0</v>
      </c>
      <c r="O134" s="264"/>
      <c r="P134" s="264"/>
      <c r="Q134" s="264"/>
      <c r="R134" s="35"/>
      <c r="T134" s="155" t="s">
        <v>19</v>
      </c>
      <c r="U134" s="42" t="s">
        <v>41</v>
      </c>
      <c r="V134" s="156">
        <v>8.3000000000000004E-2</v>
      </c>
      <c r="W134" s="156">
        <f>V134*K134</f>
        <v>1.3355737500000002</v>
      </c>
      <c r="X134" s="156">
        <v>0</v>
      </c>
      <c r="Y134" s="156">
        <f>X134*K134</f>
        <v>0</v>
      </c>
      <c r="Z134" s="156">
        <v>0</v>
      </c>
      <c r="AA134" s="157">
        <f>Z134*K134</f>
        <v>0</v>
      </c>
      <c r="AR134" s="20" t="s">
        <v>145</v>
      </c>
      <c r="AT134" s="20" t="s">
        <v>141</v>
      </c>
      <c r="AU134" s="20" t="s">
        <v>99</v>
      </c>
      <c r="AY134" s="20" t="s">
        <v>140</v>
      </c>
      <c r="BE134" s="158">
        <f>IF(U134="základní",N134,0)</f>
        <v>0</v>
      </c>
      <c r="BF134" s="158">
        <f>IF(U134="snížená",N134,0)</f>
        <v>0</v>
      </c>
      <c r="BG134" s="158">
        <f>IF(U134="zákl. přenesená",N134,0)</f>
        <v>0</v>
      </c>
      <c r="BH134" s="158">
        <f>IF(U134="sníž. přenesená",N134,0)</f>
        <v>0</v>
      </c>
      <c r="BI134" s="158">
        <f>IF(U134="nulová",N134,0)</f>
        <v>0</v>
      </c>
      <c r="BJ134" s="20" t="s">
        <v>83</v>
      </c>
      <c r="BK134" s="158">
        <f>ROUND(L134*K134,2)</f>
        <v>0</v>
      </c>
      <c r="BL134" s="20" t="s">
        <v>145</v>
      </c>
      <c r="BM134" s="20" t="s">
        <v>340</v>
      </c>
    </row>
    <row r="135" spans="2:65" s="10" customFormat="1" ht="25.5" customHeight="1" x14ac:dyDescent="0.3">
      <c r="B135" s="159"/>
      <c r="C135" s="160"/>
      <c r="D135" s="160"/>
      <c r="E135" s="161" t="s">
        <v>19</v>
      </c>
      <c r="F135" s="267" t="s">
        <v>554</v>
      </c>
      <c r="G135" s="268"/>
      <c r="H135" s="268"/>
      <c r="I135" s="268"/>
      <c r="J135" s="160"/>
      <c r="K135" s="162">
        <f>K130-K131</f>
        <v>16.091250000000002</v>
      </c>
      <c r="L135" s="329"/>
      <c r="M135" s="221"/>
      <c r="N135" s="160"/>
      <c r="O135" s="160"/>
      <c r="P135" s="160"/>
      <c r="Q135" s="160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148</v>
      </c>
      <c r="AU135" s="166" t="s">
        <v>99</v>
      </c>
      <c r="AV135" s="10" t="s">
        <v>99</v>
      </c>
      <c r="AW135" s="10" t="s">
        <v>33</v>
      </c>
      <c r="AX135" s="10" t="s">
        <v>83</v>
      </c>
      <c r="AY135" s="166" t="s">
        <v>140</v>
      </c>
    </row>
    <row r="136" spans="2:65" s="1" customFormat="1" ht="51" customHeight="1" x14ac:dyDescent="0.3">
      <c r="B136" s="33"/>
      <c r="C136" s="151">
        <f>C134+1</f>
        <v>7</v>
      </c>
      <c r="D136" s="151" t="s">
        <v>141</v>
      </c>
      <c r="E136" s="152" t="s">
        <v>534</v>
      </c>
      <c r="F136" s="263" t="s">
        <v>535</v>
      </c>
      <c r="G136" s="263"/>
      <c r="H136" s="263"/>
      <c r="I136" s="263"/>
      <c r="J136" s="153" t="s">
        <v>144</v>
      </c>
      <c r="K136" s="154">
        <f>K137</f>
        <v>16.091250000000002</v>
      </c>
      <c r="L136" s="328"/>
      <c r="M136" s="220"/>
      <c r="N136" s="264">
        <f>ROUND(L136*K136,2)</f>
        <v>0</v>
      </c>
      <c r="O136" s="264"/>
      <c r="P136" s="264"/>
      <c r="Q136" s="264"/>
      <c r="R136" s="35"/>
      <c r="T136" s="155" t="s">
        <v>19</v>
      </c>
      <c r="U136" s="42" t="s">
        <v>41</v>
      </c>
      <c r="V136" s="156">
        <v>4.0000000000000001E-3</v>
      </c>
      <c r="W136" s="156">
        <f>V136*K136</f>
        <v>6.4365000000000006E-2</v>
      </c>
      <c r="X136" s="156">
        <v>0</v>
      </c>
      <c r="Y136" s="156">
        <f>X136*K136</f>
        <v>0</v>
      </c>
      <c r="Z136" s="156">
        <v>0</v>
      </c>
      <c r="AA136" s="157">
        <f>Z136*K136</f>
        <v>0</v>
      </c>
      <c r="AR136" s="20" t="s">
        <v>145</v>
      </c>
      <c r="AT136" s="20" t="s">
        <v>141</v>
      </c>
      <c r="AU136" s="20" t="s">
        <v>99</v>
      </c>
      <c r="AY136" s="20" t="s">
        <v>140</v>
      </c>
      <c r="BE136" s="158">
        <f>IF(U136="základní",N136,0)</f>
        <v>0</v>
      </c>
      <c r="BF136" s="158">
        <f>IF(U136="snížená",N136,0)</f>
        <v>0</v>
      </c>
      <c r="BG136" s="158">
        <f>IF(U136="zákl. přenesená",N136,0)</f>
        <v>0</v>
      </c>
      <c r="BH136" s="158">
        <f>IF(U136="sníž. přenesená",N136,0)</f>
        <v>0</v>
      </c>
      <c r="BI136" s="158">
        <f>IF(U136="nulová",N136,0)</f>
        <v>0</v>
      </c>
      <c r="BJ136" s="20" t="s">
        <v>83</v>
      </c>
      <c r="BK136" s="158">
        <f>ROUND(L136*K136,2)</f>
        <v>0</v>
      </c>
      <c r="BL136" s="20" t="s">
        <v>145</v>
      </c>
      <c r="BM136" s="20" t="s">
        <v>341</v>
      </c>
    </row>
    <row r="137" spans="2:65" s="10" customFormat="1" ht="25.5" customHeight="1" x14ac:dyDescent="0.3">
      <c r="B137" s="159"/>
      <c r="C137" s="160"/>
      <c r="D137" s="160"/>
      <c r="E137" s="161" t="s">
        <v>19</v>
      </c>
      <c r="F137" s="267" t="s">
        <v>536</v>
      </c>
      <c r="G137" s="268"/>
      <c r="H137" s="268"/>
      <c r="I137" s="268"/>
      <c r="J137" s="160"/>
      <c r="K137" s="162">
        <f>K134</f>
        <v>16.091250000000002</v>
      </c>
      <c r="L137" s="329"/>
      <c r="M137" s="221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148</v>
      </c>
      <c r="AU137" s="166" t="s">
        <v>99</v>
      </c>
      <c r="AV137" s="10" t="s">
        <v>99</v>
      </c>
      <c r="AW137" s="10" t="s">
        <v>33</v>
      </c>
      <c r="AX137" s="10" t="s">
        <v>76</v>
      </c>
      <c r="AY137" s="166" t="s">
        <v>140</v>
      </c>
    </row>
    <row r="138" spans="2:65" s="1" customFormat="1" ht="25.5" customHeight="1" x14ac:dyDescent="0.3">
      <c r="B138" s="33"/>
      <c r="C138" s="151">
        <f>C136+1</f>
        <v>8</v>
      </c>
      <c r="D138" s="151" t="s">
        <v>141</v>
      </c>
      <c r="E138" s="152" t="s">
        <v>142</v>
      </c>
      <c r="F138" s="263" t="s">
        <v>143</v>
      </c>
      <c r="G138" s="263"/>
      <c r="H138" s="263"/>
      <c r="I138" s="263"/>
      <c r="J138" s="153" t="s">
        <v>144</v>
      </c>
      <c r="K138" s="154">
        <f>K142</f>
        <v>64.508749999999992</v>
      </c>
      <c r="L138" s="328"/>
      <c r="M138" s="220"/>
      <c r="N138" s="264">
        <f>ROUND(L138*K138,2)</f>
        <v>0</v>
      </c>
      <c r="O138" s="264"/>
      <c r="P138" s="264"/>
      <c r="Q138" s="264"/>
      <c r="R138" s="35"/>
      <c r="T138" s="155" t="s">
        <v>19</v>
      </c>
      <c r="U138" s="42" t="s">
        <v>41</v>
      </c>
      <c r="V138" s="156">
        <v>0.29899999999999999</v>
      </c>
      <c r="W138" s="156">
        <f>V138*K138</f>
        <v>19.288116249999998</v>
      </c>
      <c r="X138" s="156">
        <v>0</v>
      </c>
      <c r="Y138" s="156">
        <f>X138*K138</f>
        <v>0</v>
      </c>
      <c r="Z138" s="156">
        <v>0</v>
      </c>
      <c r="AA138" s="157">
        <f>Z138*K138</f>
        <v>0</v>
      </c>
      <c r="AR138" s="20" t="s">
        <v>145</v>
      </c>
      <c r="AT138" s="20" t="s">
        <v>141</v>
      </c>
      <c r="AU138" s="20" t="s">
        <v>99</v>
      </c>
      <c r="AY138" s="20" t="s">
        <v>140</v>
      </c>
      <c r="BE138" s="158">
        <f>IF(U138="základní",N138,0)</f>
        <v>0</v>
      </c>
      <c r="BF138" s="158">
        <f>IF(U138="snížená",N138,0)</f>
        <v>0</v>
      </c>
      <c r="BG138" s="158">
        <f>IF(U138="zákl. přenesená",N138,0)</f>
        <v>0</v>
      </c>
      <c r="BH138" s="158">
        <f>IF(U138="sníž. přenesená",N138,0)</f>
        <v>0</v>
      </c>
      <c r="BI138" s="158">
        <f>IF(U138="nulová",N138,0)</f>
        <v>0</v>
      </c>
      <c r="BJ138" s="20" t="s">
        <v>83</v>
      </c>
      <c r="BK138" s="158">
        <f>ROUND(L138*K138,2)</f>
        <v>0</v>
      </c>
      <c r="BL138" s="20" t="s">
        <v>145</v>
      </c>
      <c r="BM138" s="20" t="s">
        <v>342</v>
      </c>
    </row>
    <row r="139" spans="2:65" s="10" customFormat="1" ht="25.5" customHeight="1" x14ac:dyDescent="0.3">
      <c r="B139" s="159"/>
      <c r="C139" s="160"/>
      <c r="D139" s="160"/>
      <c r="E139" s="161" t="s">
        <v>19</v>
      </c>
      <c r="F139" s="267" t="s">
        <v>520</v>
      </c>
      <c r="G139" s="268"/>
      <c r="H139" s="268"/>
      <c r="I139" s="268"/>
      <c r="J139" s="160"/>
      <c r="K139" s="162">
        <f>5*5*1.52+1.5*0.85*0.25</f>
        <v>38.318750000000001</v>
      </c>
      <c r="L139" s="329"/>
      <c r="M139" s="221"/>
      <c r="N139" s="160"/>
      <c r="O139" s="160"/>
      <c r="P139" s="160"/>
      <c r="Q139" s="160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148</v>
      </c>
      <c r="AU139" s="166" t="s">
        <v>99</v>
      </c>
      <c r="AV139" s="10" t="s">
        <v>99</v>
      </c>
      <c r="AW139" s="10" t="s">
        <v>33</v>
      </c>
      <c r="AX139" s="10" t="s">
        <v>83</v>
      </c>
      <c r="AY139" s="166" t="s">
        <v>140</v>
      </c>
    </row>
    <row r="140" spans="2:65" s="10" customFormat="1" ht="25.5" customHeight="1" x14ac:dyDescent="0.3">
      <c r="B140" s="159"/>
      <c r="C140" s="203"/>
      <c r="D140" s="203"/>
      <c r="E140" s="161"/>
      <c r="F140" s="267" t="s">
        <v>528</v>
      </c>
      <c r="G140" s="268"/>
      <c r="H140" s="268"/>
      <c r="I140" s="268"/>
      <c r="J140" s="203"/>
      <c r="K140" s="162">
        <f>(5+5.3*2+1.5*2)*0.3*1.5</f>
        <v>8.370000000000001</v>
      </c>
      <c r="L140" s="329"/>
      <c r="M140" s="221"/>
      <c r="N140" s="203"/>
      <c r="O140" s="203"/>
      <c r="P140" s="203"/>
      <c r="Q140" s="203"/>
      <c r="R140" s="163"/>
      <c r="T140" s="164"/>
      <c r="U140" s="203"/>
      <c r="V140" s="203"/>
      <c r="W140" s="203"/>
      <c r="X140" s="203"/>
      <c r="Y140" s="203"/>
      <c r="Z140" s="203"/>
      <c r="AA140" s="165"/>
      <c r="AT140" s="166"/>
      <c r="AU140" s="166"/>
      <c r="AY140" s="166"/>
    </row>
    <row r="141" spans="2:65" s="10" customFormat="1" ht="25.5" customHeight="1" x14ac:dyDescent="0.3">
      <c r="B141" s="159"/>
      <c r="C141" s="203"/>
      <c r="D141" s="203"/>
      <c r="E141" s="161"/>
      <c r="F141" s="267" t="s">
        <v>529</v>
      </c>
      <c r="G141" s="268"/>
      <c r="H141" s="268"/>
      <c r="I141" s="268"/>
      <c r="J141" s="203"/>
      <c r="K141" s="162">
        <f>(5.6*3+1.5*2)*0.6*1.5</f>
        <v>17.819999999999997</v>
      </c>
      <c r="L141" s="329"/>
      <c r="M141" s="221"/>
      <c r="N141" s="203"/>
      <c r="O141" s="203"/>
      <c r="P141" s="203"/>
      <c r="Q141" s="203"/>
      <c r="R141" s="163"/>
      <c r="T141" s="164"/>
      <c r="U141" s="203"/>
      <c r="V141" s="203"/>
      <c r="W141" s="203"/>
      <c r="X141" s="203"/>
      <c r="Y141" s="203"/>
      <c r="Z141" s="203"/>
      <c r="AA141" s="165"/>
      <c r="AT141" s="166"/>
      <c r="AU141" s="166"/>
      <c r="AY141" s="166"/>
    </row>
    <row r="142" spans="2:65" s="11" customFormat="1" ht="16.5" customHeight="1" x14ac:dyDescent="0.3">
      <c r="B142" s="167"/>
      <c r="C142" s="201"/>
      <c r="D142" s="201"/>
      <c r="E142" s="169" t="s">
        <v>19</v>
      </c>
      <c r="F142" s="281" t="s">
        <v>151</v>
      </c>
      <c r="G142" s="282"/>
      <c r="H142" s="282"/>
      <c r="I142" s="282"/>
      <c r="J142" s="201"/>
      <c r="K142" s="170">
        <f>SUM(K139:K141)</f>
        <v>64.508749999999992</v>
      </c>
      <c r="L142" s="330"/>
      <c r="M142" s="218"/>
      <c r="N142" s="201"/>
      <c r="O142" s="201"/>
      <c r="P142" s="201"/>
      <c r="Q142" s="201"/>
      <c r="R142" s="171"/>
      <c r="T142" s="172"/>
      <c r="U142" s="201"/>
      <c r="V142" s="201"/>
      <c r="W142" s="201"/>
      <c r="X142" s="201"/>
      <c r="Y142" s="201"/>
      <c r="Z142" s="201"/>
      <c r="AA142" s="173"/>
      <c r="AT142" s="174" t="s">
        <v>148</v>
      </c>
      <c r="AU142" s="174" t="s">
        <v>99</v>
      </c>
      <c r="AV142" s="11" t="s">
        <v>145</v>
      </c>
      <c r="AW142" s="11" t="s">
        <v>33</v>
      </c>
      <c r="AX142" s="11" t="s">
        <v>83</v>
      </c>
      <c r="AY142" s="174" t="s">
        <v>140</v>
      </c>
    </row>
    <row r="143" spans="2:65" s="10" customFormat="1" ht="16.5" customHeight="1" x14ac:dyDescent="0.3">
      <c r="B143" s="159"/>
      <c r="C143" s="151">
        <f>C138+1</f>
        <v>9</v>
      </c>
      <c r="D143" s="193"/>
      <c r="E143" s="194">
        <v>167101101</v>
      </c>
      <c r="F143" s="308" t="s">
        <v>510</v>
      </c>
      <c r="G143" s="308"/>
      <c r="H143" s="308"/>
      <c r="I143" s="308"/>
      <c r="J143" s="153" t="s">
        <v>144</v>
      </c>
      <c r="K143" s="154">
        <f>K134</f>
        <v>16.091250000000002</v>
      </c>
      <c r="L143" s="328"/>
      <c r="M143" s="220"/>
      <c r="N143" s="264">
        <f>ROUND(L143*K143,2)</f>
        <v>0</v>
      </c>
      <c r="O143" s="264"/>
      <c r="P143" s="264"/>
      <c r="Q143" s="264"/>
      <c r="R143" s="163"/>
      <c r="T143" s="164"/>
      <c r="U143" s="190"/>
      <c r="V143" s="190"/>
      <c r="W143" s="190"/>
      <c r="X143" s="190"/>
      <c r="Y143" s="190"/>
      <c r="Z143" s="190"/>
      <c r="AA143" s="165"/>
      <c r="AT143" s="166"/>
      <c r="AU143" s="166"/>
      <c r="AY143" s="166"/>
    </row>
    <row r="144" spans="2:65" s="1" customFormat="1" ht="38.25" customHeight="1" x14ac:dyDescent="0.3">
      <c r="B144" s="33"/>
      <c r="C144" s="151">
        <f>C143+1</f>
        <v>10</v>
      </c>
      <c r="D144" s="151" t="s">
        <v>141</v>
      </c>
      <c r="E144" s="152" t="s">
        <v>537</v>
      </c>
      <c r="F144" s="263" t="s">
        <v>538</v>
      </c>
      <c r="G144" s="263"/>
      <c r="H144" s="263"/>
      <c r="I144" s="263"/>
      <c r="J144" s="153" t="s">
        <v>165</v>
      </c>
      <c r="K144" s="154">
        <f>K145</f>
        <v>95.32</v>
      </c>
      <c r="L144" s="328"/>
      <c r="M144" s="220"/>
      <c r="N144" s="264">
        <f>ROUND(L144*K144,2)</f>
        <v>0</v>
      </c>
      <c r="O144" s="264"/>
      <c r="P144" s="264"/>
      <c r="Q144" s="264"/>
      <c r="R144" s="35"/>
      <c r="T144" s="155" t="s">
        <v>19</v>
      </c>
      <c r="U144" s="42" t="s">
        <v>41</v>
      </c>
      <c r="V144" s="156">
        <v>0.13</v>
      </c>
      <c r="W144" s="156">
        <f>V144*K144</f>
        <v>12.3916</v>
      </c>
      <c r="X144" s="156">
        <v>0</v>
      </c>
      <c r="Y144" s="156">
        <f>X144*K144</f>
        <v>0</v>
      </c>
      <c r="Z144" s="156">
        <v>0</v>
      </c>
      <c r="AA144" s="157">
        <f>Z144*K144</f>
        <v>0</v>
      </c>
      <c r="AR144" s="20" t="s">
        <v>145</v>
      </c>
      <c r="AT144" s="20" t="s">
        <v>141</v>
      </c>
      <c r="AU144" s="20" t="s">
        <v>99</v>
      </c>
      <c r="AY144" s="20" t="s">
        <v>140</v>
      </c>
      <c r="BE144" s="158">
        <f>IF(U144="základní",N144,0)</f>
        <v>0</v>
      </c>
      <c r="BF144" s="158">
        <f>IF(U144="snížená",N144,0)</f>
        <v>0</v>
      </c>
      <c r="BG144" s="158">
        <f>IF(U144="zákl. přenesená",N144,0)</f>
        <v>0</v>
      </c>
      <c r="BH144" s="158">
        <f>IF(U144="sníž. přenesená",N144,0)</f>
        <v>0</v>
      </c>
      <c r="BI144" s="158">
        <f>IF(U144="nulová",N144,0)</f>
        <v>0</v>
      </c>
      <c r="BJ144" s="20" t="s">
        <v>83</v>
      </c>
      <c r="BK144" s="158">
        <f>ROUND(L144*K144,2)</f>
        <v>0</v>
      </c>
      <c r="BL144" s="20" t="s">
        <v>145</v>
      </c>
      <c r="BM144" s="20" t="s">
        <v>343</v>
      </c>
    </row>
    <row r="145" spans="2:65" s="10" customFormat="1" ht="16.5" customHeight="1" x14ac:dyDescent="0.3">
      <c r="B145" s="159"/>
      <c r="C145" s="160"/>
      <c r="D145" s="160"/>
      <c r="E145" s="161" t="s">
        <v>19</v>
      </c>
      <c r="F145" s="267" t="s">
        <v>539</v>
      </c>
      <c r="G145" s="268"/>
      <c r="H145" s="268"/>
      <c r="I145" s="268"/>
      <c r="J145" s="160"/>
      <c r="K145" s="162">
        <f>(10*10-2.6*1.8)</f>
        <v>95.32</v>
      </c>
      <c r="L145" s="329"/>
      <c r="M145" s="221"/>
      <c r="N145" s="160"/>
      <c r="O145" s="160"/>
      <c r="P145" s="160"/>
      <c r="Q145" s="160"/>
      <c r="R145" s="163"/>
      <c r="T145" s="164"/>
      <c r="U145" s="160"/>
      <c r="V145" s="160"/>
      <c r="W145" s="160"/>
      <c r="X145" s="160"/>
      <c r="Y145" s="160"/>
      <c r="Z145" s="160"/>
      <c r="AA145" s="165"/>
      <c r="AT145" s="166" t="s">
        <v>148</v>
      </c>
      <c r="AU145" s="166" t="s">
        <v>99</v>
      </c>
      <c r="AV145" s="10" t="s">
        <v>99</v>
      </c>
      <c r="AW145" s="10" t="s">
        <v>33</v>
      </c>
      <c r="AX145" s="10" t="s">
        <v>83</v>
      </c>
      <c r="AY145" s="166" t="s">
        <v>140</v>
      </c>
    </row>
    <row r="146" spans="2:65" s="1" customFormat="1" ht="25.5" customHeight="1" x14ac:dyDescent="0.3">
      <c r="B146" s="33"/>
      <c r="C146" s="151">
        <f>C144+1</f>
        <v>11</v>
      </c>
      <c r="D146" s="151" t="s">
        <v>141</v>
      </c>
      <c r="E146" s="152" t="s">
        <v>169</v>
      </c>
      <c r="F146" s="263" t="s">
        <v>170</v>
      </c>
      <c r="G146" s="263"/>
      <c r="H146" s="263"/>
      <c r="I146" s="263"/>
      <c r="J146" s="153" t="s">
        <v>165</v>
      </c>
      <c r="K146" s="154">
        <f>K147</f>
        <v>95.32</v>
      </c>
      <c r="L146" s="328"/>
      <c r="M146" s="220"/>
      <c r="N146" s="264">
        <f>ROUND(L146*K146,2)</f>
        <v>0</v>
      </c>
      <c r="O146" s="264"/>
      <c r="P146" s="264"/>
      <c r="Q146" s="264"/>
      <c r="R146" s="35"/>
      <c r="T146" s="155" t="s">
        <v>19</v>
      </c>
      <c r="U146" s="42" t="s">
        <v>41</v>
      </c>
      <c r="V146" s="156">
        <v>7.0000000000000001E-3</v>
      </c>
      <c r="W146" s="156">
        <f>V146*K146</f>
        <v>0.66723999999999994</v>
      </c>
      <c r="X146" s="156">
        <v>0</v>
      </c>
      <c r="Y146" s="156">
        <f>X146*K146</f>
        <v>0</v>
      </c>
      <c r="Z146" s="156">
        <v>0</v>
      </c>
      <c r="AA146" s="157">
        <f>Z146*K146</f>
        <v>0</v>
      </c>
      <c r="AR146" s="20" t="s">
        <v>145</v>
      </c>
      <c r="AT146" s="20" t="s">
        <v>141</v>
      </c>
      <c r="AU146" s="20" t="s">
        <v>99</v>
      </c>
      <c r="AY146" s="20" t="s">
        <v>140</v>
      </c>
      <c r="BE146" s="158">
        <f>IF(U146="základní",N146,0)</f>
        <v>0</v>
      </c>
      <c r="BF146" s="158">
        <f>IF(U146="snížená",N146,0)</f>
        <v>0</v>
      </c>
      <c r="BG146" s="158">
        <f>IF(U146="zákl. přenesená",N146,0)</f>
        <v>0</v>
      </c>
      <c r="BH146" s="158">
        <f>IF(U146="sníž. přenesená",N146,0)</f>
        <v>0</v>
      </c>
      <c r="BI146" s="158">
        <f>IF(U146="nulová",N146,0)</f>
        <v>0</v>
      </c>
      <c r="BJ146" s="20" t="s">
        <v>83</v>
      </c>
      <c r="BK146" s="158">
        <f>ROUND(L146*K146,2)</f>
        <v>0</v>
      </c>
      <c r="BL146" s="20" t="s">
        <v>145</v>
      </c>
      <c r="BM146" s="20" t="s">
        <v>344</v>
      </c>
    </row>
    <row r="147" spans="2:65" s="10" customFormat="1" ht="16.5" customHeight="1" x14ac:dyDescent="0.3">
      <c r="B147" s="159"/>
      <c r="C147" s="160"/>
      <c r="D147" s="160"/>
      <c r="E147" s="161" t="s">
        <v>19</v>
      </c>
      <c r="F147" s="267" t="s">
        <v>539</v>
      </c>
      <c r="G147" s="268"/>
      <c r="H147" s="268"/>
      <c r="I147" s="268"/>
      <c r="J147" s="160"/>
      <c r="K147" s="162">
        <f>(10*10-2.6*1.8)</f>
        <v>95.32</v>
      </c>
      <c r="L147" s="329"/>
      <c r="M147" s="221"/>
      <c r="N147" s="160"/>
      <c r="O147" s="160"/>
      <c r="P147" s="160"/>
      <c r="Q147" s="160"/>
      <c r="R147" s="163"/>
      <c r="T147" s="164"/>
      <c r="U147" s="160"/>
      <c r="V147" s="160"/>
      <c r="W147" s="160"/>
      <c r="X147" s="160"/>
      <c r="Y147" s="160"/>
      <c r="Z147" s="160"/>
      <c r="AA147" s="165"/>
      <c r="AT147" s="166" t="s">
        <v>148</v>
      </c>
      <c r="AU147" s="166" t="s">
        <v>99</v>
      </c>
      <c r="AV147" s="10" t="s">
        <v>99</v>
      </c>
      <c r="AW147" s="10" t="s">
        <v>33</v>
      </c>
      <c r="AX147" s="10" t="s">
        <v>83</v>
      </c>
      <c r="AY147" s="166" t="s">
        <v>140</v>
      </c>
    </row>
    <row r="148" spans="2:65" s="1" customFormat="1" ht="16.5" customHeight="1" x14ac:dyDescent="0.3">
      <c r="B148" s="33"/>
      <c r="C148" s="151">
        <f>C146+1</f>
        <v>12</v>
      </c>
      <c r="D148" s="175" t="s">
        <v>152</v>
      </c>
      <c r="E148" s="176" t="s">
        <v>173</v>
      </c>
      <c r="F148" s="265" t="s">
        <v>174</v>
      </c>
      <c r="G148" s="265"/>
      <c r="H148" s="265"/>
      <c r="I148" s="265"/>
      <c r="J148" s="177" t="s">
        <v>175</v>
      </c>
      <c r="K148" s="178">
        <v>5</v>
      </c>
      <c r="L148" s="331"/>
      <c r="M148" s="219"/>
      <c r="N148" s="266">
        <f>ROUND(L148*K148,2)</f>
        <v>0</v>
      </c>
      <c r="O148" s="264"/>
      <c r="P148" s="264"/>
      <c r="Q148" s="264"/>
      <c r="R148" s="35"/>
      <c r="T148" s="155" t="s">
        <v>19</v>
      </c>
      <c r="U148" s="42" t="s">
        <v>41</v>
      </c>
      <c r="V148" s="156">
        <v>0</v>
      </c>
      <c r="W148" s="156">
        <f>V148*K148</f>
        <v>0</v>
      </c>
      <c r="X148" s="156">
        <v>1E-3</v>
      </c>
      <c r="Y148" s="156">
        <f>X148*K148</f>
        <v>5.0000000000000001E-3</v>
      </c>
      <c r="Z148" s="156">
        <v>0</v>
      </c>
      <c r="AA148" s="157">
        <f>Z148*K148</f>
        <v>0</v>
      </c>
      <c r="AR148" s="20" t="s">
        <v>156</v>
      </c>
      <c r="AT148" s="20" t="s">
        <v>152</v>
      </c>
      <c r="AU148" s="20" t="s">
        <v>99</v>
      </c>
      <c r="AY148" s="20" t="s">
        <v>140</v>
      </c>
      <c r="BE148" s="158">
        <f>IF(U148="základní",N148,0)</f>
        <v>0</v>
      </c>
      <c r="BF148" s="158">
        <f>IF(U148="snížená",N148,0)</f>
        <v>0</v>
      </c>
      <c r="BG148" s="158">
        <f>IF(U148="zákl. přenesená",N148,0)</f>
        <v>0</v>
      </c>
      <c r="BH148" s="158">
        <f>IF(U148="sníž. přenesená",N148,0)</f>
        <v>0</v>
      </c>
      <c r="BI148" s="158">
        <f>IF(U148="nulová",N148,0)</f>
        <v>0</v>
      </c>
      <c r="BJ148" s="20" t="s">
        <v>83</v>
      </c>
      <c r="BK148" s="158">
        <f>ROUND(L148*K148,2)</f>
        <v>0</v>
      </c>
      <c r="BL148" s="20" t="s">
        <v>145</v>
      </c>
      <c r="BM148" s="20" t="s">
        <v>345</v>
      </c>
    </row>
    <row r="149" spans="2:65" s="9" customFormat="1" ht="29.85" customHeight="1" x14ac:dyDescent="0.3">
      <c r="B149" s="140"/>
      <c r="C149" s="141"/>
      <c r="D149" s="150" t="s">
        <v>339</v>
      </c>
      <c r="E149" s="150"/>
      <c r="F149" s="150"/>
      <c r="G149" s="150"/>
      <c r="H149" s="150"/>
      <c r="I149" s="150"/>
      <c r="J149" s="150"/>
      <c r="K149" s="150"/>
      <c r="L149" s="332"/>
      <c r="M149" s="150"/>
      <c r="N149" s="261">
        <f>SUM(N150:N154)</f>
        <v>0</v>
      </c>
      <c r="O149" s="262"/>
      <c r="P149" s="262"/>
      <c r="Q149" s="262"/>
      <c r="R149" s="143"/>
      <c r="T149" s="144"/>
      <c r="U149" s="141"/>
      <c r="V149" s="141"/>
      <c r="W149" s="145">
        <f>SUM(W150:W151)</f>
        <v>1.92699</v>
      </c>
      <c r="X149" s="141"/>
      <c r="Y149" s="145">
        <f>SUM(Y150:Y151)</f>
        <v>2.2018440999999997</v>
      </c>
      <c r="Z149" s="141"/>
      <c r="AA149" s="146">
        <f>SUM(AA150:AA151)</f>
        <v>0</v>
      </c>
      <c r="AR149" s="147" t="s">
        <v>83</v>
      </c>
      <c r="AT149" s="148" t="s">
        <v>75</v>
      </c>
      <c r="AU149" s="148" t="s">
        <v>83</v>
      </c>
      <c r="AY149" s="147" t="s">
        <v>140</v>
      </c>
      <c r="BK149" s="149">
        <f>SUM(BK150:BK151)</f>
        <v>0</v>
      </c>
    </row>
    <row r="150" spans="2:65" s="1" customFormat="1" ht="38.25" customHeight="1" x14ac:dyDescent="0.3">
      <c r="B150" s="33"/>
      <c r="C150" s="151">
        <f>C148+1</f>
        <v>13</v>
      </c>
      <c r="D150" s="151" t="s">
        <v>141</v>
      </c>
      <c r="E150" s="152" t="s">
        <v>346</v>
      </c>
      <c r="F150" s="263" t="s">
        <v>347</v>
      </c>
      <c r="G150" s="263"/>
      <c r="H150" s="263"/>
      <c r="I150" s="263"/>
      <c r="J150" s="153" t="s">
        <v>144</v>
      </c>
      <c r="K150" s="154">
        <v>0.70199999999999996</v>
      </c>
      <c r="L150" s="328"/>
      <c r="M150" s="220"/>
      <c r="N150" s="264">
        <f>ROUND(L150*K150,2)</f>
        <v>0</v>
      </c>
      <c r="O150" s="264"/>
      <c r="P150" s="264"/>
      <c r="Q150" s="264"/>
      <c r="R150" s="35"/>
      <c r="T150" s="155" t="s">
        <v>19</v>
      </c>
      <c r="U150" s="42" t="s">
        <v>41</v>
      </c>
      <c r="V150" s="156">
        <v>2.7450000000000001</v>
      </c>
      <c r="W150" s="156">
        <f>V150*K150</f>
        <v>1.92699</v>
      </c>
      <c r="X150" s="156">
        <v>7.9549999999999996E-2</v>
      </c>
      <c r="Y150" s="156">
        <f>X150*K150</f>
        <v>5.5844099999999994E-2</v>
      </c>
      <c r="Z150" s="156">
        <v>0</v>
      </c>
      <c r="AA150" s="157">
        <f>Z150*K150</f>
        <v>0</v>
      </c>
      <c r="AR150" s="20" t="s">
        <v>145</v>
      </c>
      <c r="AT150" s="20" t="s">
        <v>141</v>
      </c>
      <c r="AU150" s="20" t="s">
        <v>99</v>
      </c>
      <c r="AY150" s="20" t="s">
        <v>140</v>
      </c>
      <c r="BE150" s="158">
        <f>IF(U150="základní",N150,0)</f>
        <v>0</v>
      </c>
      <c r="BF150" s="158">
        <f>IF(U150="snížená",N150,0)</f>
        <v>0</v>
      </c>
      <c r="BG150" s="158">
        <f>IF(U150="zákl. přenesená",N150,0)</f>
        <v>0</v>
      </c>
      <c r="BH150" s="158">
        <f>IF(U150="sníž. přenesená",N150,0)</f>
        <v>0</v>
      </c>
      <c r="BI150" s="158">
        <f>IF(U150="nulová",N150,0)</f>
        <v>0</v>
      </c>
      <c r="BJ150" s="20" t="s">
        <v>83</v>
      </c>
      <c r="BK150" s="158">
        <f>ROUND(L150*K150,2)</f>
        <v>0</v>
      </c>
      <c r="BL150" s="20" t="s">
        <v>145</v>
      </c>
      <c r="BM150" s="20" t="s">
        <v>348</v>
      </c>
    </row>
    <row r="151" spans="2:65" s="1" customFormat="1" ht="25.5" customHeight="1" x14ac:dyDescent="0.3">
      <c r="B151" s="33"/>
      <c r="C151" s="151">
        <f t="shared" ref="C151:C154" si="0">C150+1</f>
        <v>14</v>
      </c>
      <c r="D151" s="175" t="s">
        <v>152</v>
      </c>
      <c r="E151" s="176" t="s">
        <v>349</v>
      </c>
      <c r="F151" s="265" t="s">
        <v>350</v>
      </c>
      <c r="G151" s="265"/>
      <c r="H151" s="265"/>
      <c r="I151" s="265"/>
      <c r="J151" s="177" t="s">
        <v>187</v>
      </c>
      <c r="K151" s="178">
        <v>1</v>
      </c>
      <c r="L151" s="331"/>
      <c r="M151" s="219"/>
      <c r="N151" s="266">
        <f>ROUND(L151*K151,2)</f>
        <v>0</v>
      </c>
      <c r="O151" s="264"/>
      <c r="P151" s="264"/>
      <c r="Q151" s="264"/>
      <c r="R151" s="35"/>
      <c r="T151" s="155" t="s">
        <v>19</v>
      </c>
      <c r="U151" s="42" t="s">
        <v>41</v>
      </c>
      <c r="V151" s="156">
        <v>0</v>
      </c>
      <c r="W151" s="156">
        <f>V151*K151</f>
        <v>0</v>
      </c>
      <c r="X151" s="156">
        <v>2.1459999999999999</v>
      </c>
      <c r="Y151" s="156">
        <f>X151*K151</f>
        <v>2.1459999999999999</v>
      </c>
      <c r="Z151" s="156">
        <v>0</v>
      </c>
      <c r="AA151" s="157">
        <f>Z151*K151</f>
        <v>0</v>
      </c>
      <c r="AR151" s="20" t="s">
        <v>156</v>
      </c>
      <c r="AT151" s="20" t="s">
        <v>152</v>
      </c>
      <c r="AU151" s="20" t="s">
        <v>99</v>
      </c>
      <c r="AY151" s="20" t="s">
        <v>140</v>
      </c>
      <c r="BE151" s="158">
        <f>IF(U151="základní",N151,0)</f>
        <v>0</v>
      </c>
      <c r="BF151" s="158">
        <f>IF(U151="snížená",N151,0)</f>
        <v>0</v>
      </c>
      <c r="BG151" s="158">
        <f>IF(U151="zákl. přenesená",N151,0)</f>
        <v>0</v>
      </c>
      <c r="BH151" s="158">
        <f>IF(U151="sníž. přenesená",N151,0)</f>
        <v>0</v>
      </c>
      <c r="BI151" s="158">
        <f>IF(U151="nulová",N151,0)</f>
        <v>0</v>
      </c>
      <c r="BJ151" s="20" t="s">
        <v>83</v>
      </c>
      <c r="BK151" s="158">
        <f>ROUND(L151*K151,2)</f>
        <v>0</v>
      </c>
      <c r="BL151" s="20" t="s">
        <v>145</v>
      </c>
      <c r="BM151" s="20" t="s">
        <v>351</v>
      </c>
    </row>
    <row r="152" spans="2:65" s="1" customFormat="1" ht="38.25" customHeight="1" x14ac:dyDescent="0.3">
      <c r="B152" s="33"/>
      <c r="C152" s="151">
        <f t="shared" si="0"/>
        <v>15</v>
      </c>
      <c r="D152" s="151" t="s">
        <v>141</v>
      </c>
      <c r="E152" s="152"/>
      <c r="F152" s="263" t="s">
        <v>509</v>
      </c>
      <c r="G152" s="263"/>
      <c r="H152" s="263"/>
      <c r="I152" s="263"/>
      <c r="J152" s="153" t="s">
        <v>507</v>
      </c>
      <c r="K152" s="154">
        <v>1</v>
      </c>
      <c r="L152" s="328"/>
      <c r="M152" s="220"/>
      <c r="N152" s="264">
        <f>ROUND(L152*K152,2)</f>
        <v>0</v>
      </c>
      <c r="O152" s="264"/>
      <c r="P152" s="264"/>
      <c r="Q152" s="264"/>
      <c r="R152" s="35"/>
      <c r="T152" s="155" t="s">
        <v>19</v>
      </c>
      <c r="U152" s="42" t="s">
        <v>41</v>
      </c>
      <c r="V152" s="156">
        <v>2.7450000000000001</v>
      </c>
      <c r="W152" s="156">
        <f>V152*K152</f>
        <v>2.7450000000000001</v>
      </c>
      <c r="X152" s="156">
        <v>7.9549999999999996E-2</v>
      </c>
      <c r="Y152" s="156">
        <f>X152*K152</f>
        <v>7.9549999999999996E-2</v>
      </c>
      <c r="Z152" s="156">
        <v>0</v>
      </c>
      <c r="AA152" s="157">
        <f>Z152*K152</f>
        <v>0</v>
      </c>
      <c r="AR152" s="20" t="s">
        <v>145</v>
      </c>
      <c r="AT152" s="20" t="s">
        <v>141</v>
      </c>
      <c r="AU152" s="20" t="s">
        <v>99</v>
      </c>
      <c r="AY152" s="20" t="s">
        <v>140</v>
      </c>
      <c r="BE152" s="158">
        <f>IF(U152="základní",N152,0)</f>
        <v>0</v>
      </c>
      <c r="BF152" s="158">
        <f>IF(U152="snížená",N152,0)</f>
        <v>0</v>
      </c>
      <c r="BG152" s="158">
        <f>IF(U152="zákl. přenesená",N152,0)</f>
        <v>0</v>
      </c>
      <c r="BH152" s="158">
        <f>IF(U152="sníž. přenesená",N152,0)</f>
        <v>0</v>
      </c>
      <c r="BI152" s="158">
        <f>IF(U152="nulová",N152,0)</f>
        <v>0</v>
      </c>
      <c r="BJ152" s="20" t="s">
        <v>83</v>
      </c>
      <c r="BK152" s="158">
        <f>ROUND(L152*K152,2)</f>
        <v>0</v>
      </c>
      <c r="BL152" s="20" t="s">
        <v>145</v>
      </c>
      <c r="BM152" s="20" t="s">
        <v>348</v>
      </c>
    </row>
    <row r="153" spans="2:65" s="1" customFormat="1" ht="42.75" customHeight="1" x14ac:dyDescent="0.3">
      <c r="B153" s="33"/>
      <c r="C153" s="151">
        <f t="shared" si="0"/>
        <v>16</v>
      </c>
      <c r="D153" s="175" t="s">
        <v>152</v>
      </c>
      <c r="E153" s="176"/>
      <c r="F153" s="265" t="s">
        <v>508</v>
      </c>
      <c r="G153" s="265"/>
      <c r="H153" s="265"/>
      <c r="I153" s="265"/>
      <c r="J153" s="177" t="s">
        <v>187</v>
      </c>
      <c r="K153" s="178">
        <v>1</v>
      </c>
      <c r="L153" s="331"/>
      <c r="M153" s="219"/>
      <c r="N153" s="266">
        <f>ROUND(L153*K153,2)</f>
        <v>0</v>
      </c>
      <c r="O153" s="264"/>
      <c r="P153" s="264"/>
      <c r="Q153" s="264"/>
      <c r="R153" s="35"/>
      <c r="T153" s="155" t="s">
        <v>19</v>
      </c>
      <c r="U153" s="42" t="s">
        <v>41</v>
      </c>
      <c r="V153" s="156">
        <v>0</v>
      </c>
      <c r="W153" s="156">
        <f>V153*K153</f>
        <v>0</v>
      </c>
      <c r="X153" s="156">
        <v>2.1459999999999999</v>
      </c>
      <c r="Y153" s="156">
        <f>X153*K153</f>
        <v>2.1459999999999999</v>
      </c>
      <c r="Z153" s="156">
        <v>0</v>
      </c>
      <c r="AA153" s="157">
        <f>Z153*K153</f>
        <v>0</v>
      </c>
      <c r="AR153" s="20" t="s">
        <v>156</v>
      </c>
      <c r="AT153" s="20" t="s">
        <v>152</v>
      </c>
      <c r="AU153" s="20" t="s">
        <v>99</v>
      </c>
      <c r="AY153" s="20" t="s">
        <v>140</v>
      </c>
      <c r="BE153" s="158">
        <f>IF(U153="základní",N153,0)</f>
        <v>0</v>
      </c>
      <c r="BF153" s="158">
        <f>IF(U153="snížená",N153,0)</f>
        <v>0</v>
      </c>
      <c r="BG153" s="158">
        <f>IF(U153="zákl. přenesená",N153,0)</f>
        <v>0</v>
      </c>
      <c r="BH153" s="158">
        <f>IF(U153="sníž. přenesená",N153,0)</f>
        <v>0</v>
      </c>
      <c r="BI153" s="158">
        <f>IF(U153="nulová",N153,0)</f>
        <v>0</v>
      </c>
      <c r="BJ153" s="20" t="s">
        <v>83</v>
      </c>
      <c r="BK153" s="158">
        <f>ROUND(L153*K153,2)</f>
        <v>0</v>
      </c>
      <c r="BL153" s="20" t="s">
        <v>145</v>
      </c>
      <c r="BM153" s="20" t="s">
        <v>351</v>
      </c>
    </row>
    <row r="154" spans="2:65" s="1" customFormat="1" ht="38.25" customHeight="1" x14ac:dyDescent="0.3">
      <c r="B154" s="33"/>
      <c r="C154" s="151">
        <f t="shared" si="0"/>
        <v>17</v>
      </c>
      <c r="D154" s="151" t="s">
        <v>141</v>
      </c>
      <c r="E154" s="152"/>
      <c r="F154" s="263" t="s">
        <v>516</v>
      </c>
      <c r="G154" s="263"/>
      <c r="H154" s="263"/>
      <c r="I154" s="263"/>
      <c r="J154" s="153" t="s">
        <v>507</v>
      </c>
      <c r="K154" s="154">
        <v>5</v>
      </c>
      <c r="L154" s="328"/>
      <c r="M154" s="220"/>
      <c r="N154" s="264">
        <f>ROUND(L154*K154,2)</f>
        <v>0</v>
      </c>
      <c r="O154" s="264"/>
      <c r="P154" s="264"/>
      <c r="Q154" s="264"/>
      <c r="R154" s="35"/>
      <c r="T154" s="155" t="s">
        <v>19</v>
      </c>
      <c r="U154" s="42" t="s">
        <v>41</v>
      </c>
      <c r="V154" s="156">
        <v>2.7450000000000001</v>
      </c>
      <c r="W154" s="156">
        <f>V154*K154</f>
        <v>13.725000000000001</v>
      </c>
      <c r="X154" s="156">
        <v>7.9549999999999996E-2</v>
      </c>
      <c r="Y154" s="156">
        <f>X154*K154</f>
        <v>0.39774999999999999</v>
      </c>
      <c r="Z154" s="156">
        <v>0</v>
      </c>
      <c r="AA154" s="157">
        <f>Z154*K154</f>
        <v>0</v>
      </c>
      <c r="AR154" s="20" t="s">
        <v>145</v>
      </c>
      <c r="AT154" s="20" t="s">
        <v>141</v>
      </c>
      <c r="AU154" s="20" t="s">
        <v>99</v>
      </c>
      <c r="AY154" s="20" t="s">
        <v>140</v>
      </c>
      <c r="BE154" s="158">
        <f>IF(U154="základní",N154,0)</f>
        <v>0</v>
      </c>
      <c r="BF154" s="158">
        <f>IF(U154="snížená",N154,0)</f>
        <v>0</v>
      </c>
      <c r="BG154" s="158">
        <f>IF(U154="zákl. přenesená",N154,0)</f>
        <v>0</v>
      </c>
      <c r="BH154" s="158">
        <f>IF(U154="sníž. přenesená",N154,0)</f>
        <v>0</v>
      </c>
      <c r="BI154" s="158">
        <f>IF(U154="nulová",N154,0)</f>
        <v>0</v>
      </c>
      <c r="BJ154" s="20" t="s">
        <v>83</v>
      </c>
      <c r="BK154" s="158">
        <f>ROUND(L154*K154,2)</f>
        <v>0</v>
      </c>
      <c r="BL154" s="20" t="s">
        <v>145</v>
      </c>
      <c r="BM154" s="20" t="s">
        <v>348</v>
      </c>
    </row>
    <row r="155" spans="2:65" s="9" customFormat="1" ht="29.85" customHeight="1" x14ac:dyDescent="0.3">
      <c r="B155" s="140"/>
      <c r="C155" s="141"/>
      <c r="D155" s="150" t="s">
        <v>113</v>
      </c>
      <c r="E155" s="150"/>
      <c r="F155" s="150"/>
      <c r="G155" s="150"/>
      <c r="H155" s="150"/>
      <c r="I155" s="150"/>
      <c r="J155" s="150"/>
      <c r="K155" s="150"/>
      <c r="L155" s="332"/>
      <c r="M155" s="150"/>
      <c r="N155" s="261">
        <f>SUM(N156:N158)</f>
        <v>0</v>
      </c>
      <c r="O155" s="262"/>
      <c r="P155" s="262"/>
      <c r="Q155" s="262"/>
      <c r="R155" s="143"/>
      <c r="T155" s="144"/>
      <c r="U155" s="141"/>
      <c r="V155" s="141"/>
      <c r="W155" s="145">
        <f>SUM(W156:W157)</f>
        <v>1.7892000000000001</v>
      </c>
      <c r="X155" s="141"/>
      <c r="Y155" s="145">
        <f>SUM(Y156:Y157)</f>
        <v>0</v>
      </c>
      <c r="Z155" s="141"/>
      <c r="AA155" s="146">
        <f>SUM(AA156:AA157)</f>
        <v>0</v>
      </c>
      <c r="AR155" s="147" t="s">
        <v>83</v>
      </c>
      <c r="AT155" s="148" t="s">
        <v>75</v>
      </c>
      <c r="AU155" s="148" t="s">
        <v>83</v>
      </c>
      <c r="AY155" s="147" t="s">
        <v>140</v>
      </c>
      <c r="BK155" s="149">
        <f>SUM(BK156:BK157)</f>
        <v>0</v>
      </c>
    </row>
    <row r="156" spans="2:65" s="1" customFormat="1" ht="38.25" customHeight="1" x14ac:dyDescent="0.3">
      <c r="B156" s="33"/>
      <c r="C156" s="151">
        <f>C154+1</f>
        <v>18</v>
      </c>
      <c r="D156" s="151" t="s">
        <v>141</v>
      </c>
      <c r="E156" s="152" t="s">
        <v>181</v>
      </c>
      <c r="F156" s="263" t="s">
        <v>182</v>
      </c>
      <c r="G156" s="263"/>
      <c r="H156" s="263"/>
      <c r="I156" s="263"/>
      <c r="J156" s="153" t="s">
        <v>165</v>
      </c>
      <c r="K156" s="154">
        <v>8.4</v>
      </c>
      <c r="L156" s="328"/>
      <c r="M156" s="220"/>
      <c r="N156" s="264">
        <f>ROUND(L156*K156,2)</f>
        <v>0</v>
      </c>
      <c r="O156" s="264"/>
      <c r="P156" s="264"/>
      <c r="Q156" s="264"/>
      <c r="R156" s="35"/>
      <c r="T156" s="155" t="s">
        <v>19</v>
      </c>
      <c r="U156" s="42" t="s">
        <v>41</v>
      </c>
      <c r="V156" s="156">
        <v>0.21299999999999999</v>
      </c>
      <c r="W156" s="156">
        <f>V156*K156</f>
        <v>1.7892000000000001</v>
      </c>
      <c r="X156" s="156">
        <v>0</v>
      </c>
      <c r="Y156" s="156">
        <f>X156*K156</f>
        <v>0</v>
      </c>
      <c r="Z156" s="156">
        <v>0</v>
      </c>
      <c r="AA156" s="157">
        <f>Z156*K156</f>
        <v>0</v>
      </c>
      <c r="AR156" s="20" t="s">
        <v>145</v>
      </c>
      <c r="AT156" s="20" t="s">
        <v>141</v>
      </c>
      <c r="AU156" s="20" t="s">
        <v>99</v>
      </c>
      <c r="AY156" s="20" t="s">
        <v>140</v>
      </c>
      <c r="BE156" s="158">
        <f>IF(U156="základní",N156,0)</f>
        <v>0</v>
      </c>
      <c r="BF156" s="158">
        <f>IF(U156="snížená",N156,0)</f>
        <v>0</v>
      </c>
      <c r="BG156" s="158">
        <f>IF(U156="zákl. přenesená",N156,0)</f>
        <v>0</v>
      </c>
      <c r="BH156" s="158">
        <f>IF(U156="sníž. přenesená",N156,0)</f>
        <v>0</v>
      </c>
      <c r="BI156" s="158">
        <f>IF(U156="nulová",N156,0)</f>
        <v>0</v>
      </c>
      <c r="BJ156" s="20" t="s">
        <v>83</v>
      </c>
      <c r="BK156" s="158">
        <f>ROUND(L156*K156,2)</f>
        <v>0</v>
      </c>
      <c r="BL156" s="20" t="s">
        <v>145</v>
      </c>
      <c r="BM156" s="20" t="s">
        <v>352</v>
      </c>
    </row>
    <row r="157" spans="2:65" s="10" customFormat="1" ht="16.5" customHeight="1" x14ac:dyDescent="0.3">
      <c r="B157" s="159"/>
      <c r="C157" s="160"/>
      <c r="D157" s="160"/>
      <c r="E157" s="161" t="s">
        <v>19</v>
      </c>
      <c r="F157" s="267" t="s">
        <v>353</v>
      </c>
      <c r="G157" s="268"/>
      <c r="H157" s="268"/>
      <c r="I157" s="268"/>
      <c r="J157" s="160"/>
      <c r="K157" s="162">
        <v>8.4</v>
      </c>
      <c r="L157" s="329"/>
      <c r="M157" s="221"/>
      <c r="N157" s="160"/>
      <c r="O157" s="160"/>
      <c r="P157" s="160"/>
      <c r="Q157" s="160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148</v>
      </c>
      <c r="AU157" s="166" t="s">
        <v>99</v>
      </c>
      <c r="AV157" s="10" t="s">
        <v>99</v>
      </c>
      <c r="AW157" s="10" t="s">
        <v>33</v>
      </c>
      <c r="AX157" s="10" t="s">
        <v>83</v>
      </c>
      <c r="AY157" s="166" t="s">
        <v>140</v>
      </c>
    </row>
    <row r="158" spans="2:65" s="1" customFormat="1" ht="38.25" customHeight="1" x14ac:dyDescent="0.3">
      <c r="B158" s="33"/>
      <c r="C158" s="151">
        <f>C156+1</f>
        <v>19</v>
      </c>
      <c r="D158" s="151" t="s">
        <v>141</v>
      </c>
      <c r="E158" s="152"/>
      <c r="F158" s="263" t="s">
        <v>506</v>
      </c>
      <c r="G158" s="263"/>
      <c r="H158" s="263"/>
      <c r="I158" s="263"/>
      <c r="J158" s="153" t="s">
        <v>187</v>
      </c>
      <c r="K158" s="154">
        <v>1</v>
      </c>
      <c r="L158" s="328"/>
      <c r="M158" s="220"/>
      <c r="N158" s="264">
        <f>ROUND(L158*K158,2)</f>
        <v>0</v>
      </c>
      <c r="O158" s="264"/>
      <c r="P158" s="264"/>
      <c r="Q158" s="264"/>
      <c r="R158" s="35"/>
      <c r="T158" s="155" t="s">
        <v>19</v>
      </c>
      <c r="U158" s="42" t="s">
        <v>41</v>
      </c>
      <c r="V158" s="156">
        <v>0.21299999999999999</v>
      </c>
      <c r="W158" s="156">
        <f>V158*K158</f>
        <v>0.21299999999999999</v>
      </c>
      <c r="X158" s="156">
        <v>0</v>
      </c>
      <c r="Y158" s="156">
        <f>X158*K158</f>
        <v>0</v>
      </c>
      <c r="Z158" s="156">
        <v>0</v>
      </c>
      <c r="AA158" s="157">
        <f>Z158*K158</f>
        <v>0</v>
      </c>
      <c r="AR158" s="20" t="s">
        <v>145</v>
      </c>
      <c r="AT158" s="20" t="s">
        <v>141</v>
      </c>
      <c r="AU158" s="20" t="s">
        <v>99</v>
      </c>
      <c r="AY158" s="20" t="s">
        <v>140</v>
      </c>
      <c r="BE158" s="158">
        <f>IF(U158="základní",N158,0)</f>
        <v>0</v>
      </c>
      <c r="BF158" s="158">
        <f>IF(U158="snížená",N158,0)</f>
        <v>0</v>
      </c>
      <c r="BG158" s="158">
        <f>IF(U158="zákl. přenesená",N158,0)</f>
        <v>0</v>
      </c>
      <c r="BH158" s="158">
        <f>IF(U158="sníž. přenesená",N158,0)</f>
        <v>0</v>
      </c>
      <c r="BI158" s="158">
        <f>IF(U158="nulová",N158,0)</f>
        <v>0</v>
      </c>
      <c r="BJ158" s="20" t="s">
        <v>83</v>
      </c>
      <c r="BK158" s="158">
        <f>ROUND(L158*K158,2)</f>
        <v>0</v>
      </c>
      <c r="BL158" s="20" t="s">
        <v>145</v>
      </c>
      <c r="BM158" s="20" t="s">
        <v>183</v>
      </c>
    </row>
    <row r="159" spans="2:65" s="9" customFormat="1" ht="29.85" customHeight="1" x14ac:dyDescent="0.3">
      <c r="B159" s="140"/>
      <c r="C159" s="141"/>
      <c r="D159" s="150" t="s">
        <v>114</v>
      </c>
      <c r="E159" s="150"/>
      <c r="F159" s="150"/>
      <c r="G159" s="150"/>
      <c r="H159" s="150"/>
      <c r="I159" s="150"/>
      <c r="J159" s="150"/>
      <c r="K159" s="150"/>
      <c r="L159" s="332"/>
      <c r="M159" s="150"/>
      <c r="N159" s="269">
        <f>SUM(N160:N161)</f>
        <v>0</v>
      </c>
      <c r="O159" s="270"/>
      <c r="P159" s="270"/>
      <c r="Q159" s="270"/>
      <c r="R159" s="143"/>
      <c r="T159" s="144"/>
      <c r="U159" s="141"/>
      <c r="V159" s="141"/>
      <c r="W159" s="145">
        <f>SUM(W160:W161)</f>
        <v>0.92</v>
      </c>
      <c r="X159" s="141"/>
      <c r="Y159" s="145">
        <f>SUM(Y160:Y161)</f>
        <v>7.2020000000000001E-2</v>
      </c>
      <c r="Z159" s="141"/>
      <c r="AA159" s="146">
        <f>SUM(AA160:AA161)</f>
        <v>0</v>
      </c>
      <c r="AR159" s="147" t="s">
        <v>83</v>
      </c>
      <c r="AT159" s="148" t="s">
        <v>75</v>
      </c>
      <c r="AU159" s="148" t="s">
        <v>83</v>
      </c>
      <c r="AY159" s="147" t="s">
        <v>140</v>
      </c>
      <c r="BK159" s="149">
        <f>SUM(BK160:BK161)</f>
        <v>0</v>
      </c>
    </row>
    <row r="160" spans="2:65" s="1" customFormat="1" ht="25.5" customHeight="1" x14ac:dyDescent="0.3">
      <c r="B160" s="33"/>
      <c r="C160" s="151">
        <f>C158+1</f>
        <v>20</v>
      </c>
      <c r="D160" s="151" t="s">
        <v>141</v>
      </c>
      <c r="E160" s="152" t="s">
        <v>185</v>
      </c>
      <c r="F160" s="263" t="s">
        <v>186</v>
      </c>
      <c r="G160" s="263"/>
      <c r="H160" s="263"/>
      <c r="I160" s="263"/>
      <c r="J160" s="153" t="s">
        <v>187</v>
      </c>
      <c r="K160" s="154">
        <v>1</v>
      </c>
      <c r="L160" s="328"/>
      <c r="M160" s="220"/>
      <c r="N160" s="264">
        <f>ROUND(L160*K160,2)</f>
        <v>0</v>
      </c>
      <c r="O160" s="264"/>
      <c r="P160" s="264"/>
      <c r="Q160" s="264"/>
      <c r="R160" s="35"/>
      <c r="T160" s="155" t="s">
        <v>19</v>
      </c>
      <c r="U160" s="42" t="s">
        <v>41</v>
      </c>
      <c r="V160" s="156">
        <v>0.92</v>
      </c>
      <c r="W160" s="156">
        <f>V160*K160</f>
        <v>0.92</v>
      </c>
      <c r="X160" s="156">
        <v>7.0200000000000002E-3</v>
      </c>
      <c r="Y160" s="156">
        <f>X160*K160</f>
        <v>7.0200000000000002E-3</v>
      </c>
      <c r="Z160" s="156">
        <v>0</v>
      </c>
      <c r="AA160" s="157">
        <f>Z160*K160</f>
        <v>0</v>
      </c>
      <c r="AR160" s="20" t="s">
        <v>145</v>
      </c>
      <c r="AT160" s="20" t="s">
        <v>141</v>
      </c>
      <c r="AU160" s="20" t="s">
        <v>99</v>
      </c>
      <c r="AY160" s="20" t="s">
        <v>140</v>
      </c>
      <c r="BE160" s="158">
        <f>IF(U160="základní",N160,0)</f>
        <v>0</v>
      </c>
      <c r="BF160" s="158">
        <f>IF(U160="snížená",N160,0)</f>
        <v>0</v>
      </c>
      <c r="BG160" s="158">
        <f>IF(U160="zákl. přenesená",N160,0)</f>
        <v>0</v>
      </c>
      <c r="BH160" s="158">
        <f>IF(U160="sníž. přenesená",N160,0)</f>
        <v>0</v>
      </c>
      <c r="BI160" s="158">
        <f>IF(U160="nulová",N160,0)</f>
        <v>0</v>
      </c>
      <c r="BJ160" s="20" t="s">
        <v>83</v>
      </c>
      <c r="BK160" s="158">
        <f>ROUND(L160*K160,2)</f>
        <v>0</v>
      </c>
      <c r="BL160" s="20" t="s">
        <v>145</v>
      </c>
      <c r="BM160" s="20" t="s">
        <v>354</v>
      </c>
    </row>
    <row r="161" spans="2:65" s="1" customFormat="1" ht="38.25" customHeight="1" x14ac:dyDescent="0.3">
      <c r="B161" s="33"/>
      <c r="C161" s="151">
        <f>C160+1</f>
        <v>21</v>
      </c>
      <c r="D161" s="175" t="s">
        <v>152</v>
      </c>
      <c r="E161" s="176" t="s">
        <v>355</v>
      </c>
      <c r="F161" s="265" t="s">
        <v>356</v>
      </c>
      <c r="G161" s="265"/>
      <c r="H161" s="265"/>
      <c r="I161" s="265"/>
      <c r="J161" s="177" t="s">
        <v>187</v>
      </c>
      <c r="K161" s="178">
        <v>1</v>
      </c>
      <c r="L161" s="331"/>
      <c r="M161" s="219"/>
      <c r="N161" s="266">
        <f>ROUND(L161*K161,2)</f>
        <v>0</v>
      </c>
      <c r="O161" s="264"/>
      <c r="P161" s="264"/>
      <c r="Q161" s="264"/>
      <c r="R161" s="35"/>
      <c r="T161" s="155" t="s">
        <v>19</v>
      </c>
      <c r="U161" s="42" t="s">
        <v>41</v>
      </c>
      <c r="V161" s="156">
        <v>0</v>
      </c>
      <c r="W161" s="156">
        <f>V161*K161</f>
        <v>0</v>
      </c>
      <c r="X161" s="156">
        <v>6.5000000000000002E-2</v>
      </c>
      <c r="Y161" s="156">
        <f>X161*K161</f>
        <v>6.5000000000000002E-2</v>
      </c>
      <c r="Z161" s="156">
        <v>0</v>
      </c>
      <c r="AA161" s="157">
        <f>Z161*K161</f>
        <v>0</v>
      </c>
      <c r="AR161" s="20" t="s">
        <v>156</v>
      </c>
      <c r="AT161" s="20" t="s">
        <v>152</v>
      </c>
      <c r="AU161" s="20" t="s">
        <v>99</v>
      </c>
      <c r="AY161" s="20" t="s">
        <v>140</v>
      </c>
      <c r="BE161" s="158">
        <f>IF(U161="základní",N161,0)</f>
        <v>0</v>
      </c>
      <c r="BF161" s="158">
        <f>IF(U161="snížená",N161,0)</f>
        <v>0</v>
      </c>
      <c r="BG161" s="158">
        <f>IF(U161="zákl. přenesená",N161,0)</f>
        <v>0</v>
      </c>
      <c r="BH161" s="158">
        <f>IF(U161="sníž. přenesená",N161,0)</f>
        <v>0</v>
      </c>
      <c r="BI161" s="158">
        <f>IF(U161="nulová",N161,0)</f>
        <v>0</v>
      </c>
      <c r="BJ161" s="20" t="s">
        <v>83</v>
      </c>
      <c r="BK161" s="158">
        <f>ROUND(L161*K161,2)</f>
        <v>0</v>
      </c>
      <c r="BL161" s="20" t="s">
        <v>145</v>
      </c>
      <c r="BM161" s="20" t="s">
        <v>357</v>
      </c>
    </row>
    <row r="162" spans="2:65" s="9" customFormat="1" ht="29.85" customHeight="1" x14ac:dyDescent="0.3">
      <c r="B162" s="140"/>
      <c r="C162" s="141"/>
      <c r="D162" s="150" t="s">
        <v>115</v>
      </c>
      <c r="E162" s="150"/>
      <c r="F162" s="150"/>
      <c r="G162" s="150"/>
      <c r="H162" s="150"/>
      <c r="I162" s="150"/>
      <c r="J162" s="150"/>
      <c r="K162" s="150"/>
      <c r="L162" s="332"/>
      <c r="M162" s="150"/>
      <c r="N162" s="261">
        <f>SUM(N163:N174)</f>
        <v>0</v>
      </c>
      <c r="O162" s="262"/>
      <c r="P162" s="262"/>
      <c r="Q162" s="262"/>
      <c r="R162" s="143"/>
      <c r="T162" s="144"/>
      <c r="U162" s="141"/>
      <c r="V162" s="141"/>
      <c r="W162" s="145">
        <f>SUM(W163:W173)</f>
        <v>117.24892799999998</v>
      </c>
      <c r="X162" s="141"/>
      <c r="Y162" s="145">
        <f>SUM(Y163:Y173)</f>
        <v>0</v>
      </c>
      <c r="Z162" s="141"/>
      <c r="AA162" s="146">
        <f>SUM(AA163:AA173)</f>
        <v>78.315359999999998</v>
      </c>
      <c r="AR162" s="147" t="s">
        <v>83</v>
      </c>
      <c r="AT162" s="148" t="s">
        <v>75</v>
      </c>
      <c r="AU162" s="148" t="s">
        <v>83</v>
      </c>
      <c r="AY162" s="147" t="s">
        <v>140</v>
      </c>
      <c r="BK162" s="149">
        <f>SUM(BK163:BK173)</f>
        <v>0</v>
      </c>
    </row>
    <row r="163" spans="2:65" s="1" customFormat="1" ht="25.5" customHeight="1" x14ac:dyDescent="0.3">
      <c r="B163" s="33"/>
      <c r="C163" s="151">
        <f>C161+1</f>
        <v>22</v>
      </c>
      <c r="D163" s="151" t="s">
        <v>141</v>
      </c>
      <c r="E163" s="152" t="s">
        <v>195</v>
      </c>
      <c r="F163" s="263" t="s">
        <v>196</v>
      </c>
      <c r="G163" s="263"/>
      <c r="H163" s="263"/>
      <c r="I163" s="263"/>
      <c r="J163" s="153" t="s">
        <v>144</v>
      </c>
      <c r="K163" s="154">
        <v>8.7479999999999993</v>
      </c>
      <c r="L163" s="328"/>
      <c r="M163" s="220"/>
      <c r="N163" s="264">
        <f>ROUND(L163*K163,2)</f>
        <v>0</v>
      </c>
      <c r="O163" s="264"/>
      <c r="P163" s="264"/>
      <c r="Q163" s="264"/>
      <c r="R163" s="35"/>
      <c r="T163" s="155" t="s">
        <v>19</v>
      </c>
      <c r="U163" s="42" t="s">
        <v>41</v>
      </c>
      <c r="V163" s="156">
        <v>1.5860000000000001</v>
      </c>
      <c r="W163" s="156">
        <f>V163*K163</f>
        <v>13.874328</v>
      </c>
      <c r="X163" s="156">
        <v>0</v>
      </c>
      <c r="Y163" s="156">
        <f>X163*K163</f>
        <v>0</v>
      </c>
      <c r="Z163" s="156">
        <v>2.27</v>
      </c>
      <c r="AA163" s="157">
        <f>Z163*K163</f>
        <v>19.857959999999999</v>
      </c>
      <c r="AR163" s="20" t="s">
        <v>145</v>
      </c>
      <c r="AT163" s="20" t="s">
        <v>141</v>
      </c>
      <c r="AU163" s="20" t="s">
        <v>99</v>
      </c>
      <c r="AY163" s="20" t="s">
        <v>140</v>
      </c>
      <c r="BE163" s="158">
        <f>IF(U163="základní",N163,0)</f>
        <v>0</v>
      </c>
      <c r="BF163" s="158">
        <f>IF(U163="snížená",N163,0)</f>
        <v>0</v>
      </c>
      <c r="BG163" s="158">
        <f>IF(U163="zákl. přenesená",N163,0)</f>
        <v>0</v>
      </c>
      <c r="BH163" s="158">
        <f>IF(U163="sníž. přenesená",N163,0)</f>
        <v>0</v>
      </c>
      <c r="BI163" s="158">
        <f>IF(U163="nulová",N163,0)</f>
        <v>0</v>
      </c>
      <c r="BJ163" s="20" t="s">
        <v>83</v>
      </c>
      <c r="BK163" s="158">
        <f>ROUND(L163*K163,2)</f>
        <v>0</v>
      </c>
      <c r="BL163" s="20" t="s">
        <v>145</v>
      </c>
      <c r="BM163" s="20" t="s">
        <v>364</v>
      </c>
    </row>
    <row r="164" spans="2:65" s="10" customFormat="1" ht="16.5" customHeight="1" x14ac:dyDescent="0.3">
      <c r="B164" s="159"/>
      <c r="C164" s="160"/>
      <c r="D164" s="160"/>
      <c r="E164" s="161" t="s">
        <v>19</v>
      </c>
      <c r="F164" s="267" t="s">
        <v>365</v>
      </c>
      <c r="G164" s="268"/>
      <c r="H164" s="268"/>
      <c r="I164" s="268"/>
      <c r="J164" s="160"/>
      <c r="K164" s="162">
        <v>8.7479999999999993</v>
      </c>
      <c r="L164" s="329"/>
      <c r="M164" s="221"/>
      <c r="N164" s="160"/>
      <c r="O164" s="160"/>
      <c r="P164" s="160"/>
      <c r="Q164" s="160"/>
      <c r="R164" s="163"/>
      <c r="T164" s="164"/>
      <c r="U164" s="160"/>
      <c r="V164" s="160"/>
      <c r="W164" s="160"/>
      <c r="X164" s="160"/>
      <c r="Y164" s="160"/>
      <c r="Z164" s="160"/>
      <c r="AA164" s="165"/>
      <c r="AT164" s="166" t="s">
        <v>148</v>
      </c>
      <c r="AU164" s="166" t="s">
        <v>99</v>
      </c>
      <c r="AV164" s="10" t="s">
        <v>99</v>
      </c>
      <c r="AW164" s="10" t="s">
        <v>33</v>
      </c>
      <c r="AX164" s="10" t="s">
        <v>83</v>
      </c>
      <c r="AY164" s="166" t="s">
        <v>140</v>
      </c>
    </row>
    <row r="165" spans="2:65" s="1" customFormat="1" ht="25.5" customHeight="1" x14ac:dyDescent="0.3">
      <c r="B165" s="33"/>
      <c r="C165" s="151">
        <f>C163+1</f>
        <v>23</v>
      </c>
      <c r="D165" s="151" t="s">
        <v>141</v>
      </c>
      <c r="E165" s="209" t="s">
        <v>549</v>
      </c>
      <c r="F165" s="305" t="s">
        <v>522</v>
      </c>
      <c r="G165" s="305"/>
      <c r="H165" s="305"/>
      <c r="I165" s="305"/>
      <c r="J165" s="153" t="s">
        <v>144</v>
      </c>
      <c r="K165" s="154">
        <f>K166</f>
        <v>13.86</v>
      </c>
      <c r="L165" s="328"/>
      <c r="M165" s="220"/>
      <c r="N165" s="264">
        <f>ROUND(L165*K165,2)</f>
        <v>0</v>
      </c>
      <c r="O165" s="264"/>
      <c r="P165" s="264"/>
      <c r="Q165" s="264"/>
      <c r="R165" s="35"/>
      <c r="T165" s="155" t="s">
        <v>19</v>
      </c>
      <c r="U165" s="42" t="s">
        <v>41</v>
      </c>
      <c r="V165" s="156">
        <v>1.5860000000000001</v>
      </c>
      <c r="W165" s="156">
        <f>V165*K165</f>
        <v>21.981960000000001</v>
      </c>
      <c r="X165" s="156">
        <v>0</v>
      </c>
      <c r="Y165" s="156">
        <f>X165*K165</f>
        <v>0</v>
      </c>
      <c r="Z165" s="156">
        <v>2.27</v>
      </c>
      <c r="AA165" s="157">
        <f>Z165*K165</f>
        <v>31.462199999999999</v>
      </c>
      <c r="AR165" s="20" t="s">
        <v>145</v>
      </c>
      <c r="AT165" s="20" t="s">
        <v>141</v>
      </c>
      <c r="AU165" s="20" t="s">
        <v>99</v>
      </c>
      <c r="AY165" s="20" t="s">
        <v>140</v>
      </c>
      <c r="BE165" s="158">
        <f>IF(U165="základní",N165,0)</f>
        <v>0</v>
      </c>
      <c r="BF165" s="158">
        <f>IF(U165="snížená",N165,0)</f>
        <v>0</v>
      </c>
      <c r="BG165" s="158">
        <f>IF(U165="zákl. přenesená",N165,0)</f>
        <v>0</v>
      </c>
      <c r="BH165" s="158">
        <f>IF(U165="sníž. přenesená",N165,0)</f>
        <v>0</v>
      </c>
      <c r="BI165" s="158">
        <f>IF(U165="nulová",N165,0)</f>
        <v>0</v>
      </c>
      <c r="BJ165" s="20" t="s">
        <v>83</v>
      </c>
      <c r="BK165" s="158">
        <f>ROUND(L165*K165,2)</f>
        <v>0</v>
      </c>
      <c r="BL165" s="20" t="s">
        <v>145</v>
      </c>
      <c r="BM165" s="20" t="s">
        <v>364</v>
      </c>
    </row>
    <row r="166" spans="2:65" s="10" customFormat="1" ht="16.5" customHeight="1" x14ac:dyDescent="0.3">
      <c r="B166" s="159"/>
      <c r="C166" s="203"/>
      <c r="D166" s="203"/>
      <c r="E166" s="161" t="s">
        <v>19</v>
      </c>
      <c r="F166" s="267" t="s">
        <v>523</v>
      </c>
      <c r="G166" s="268"/>
      <c r="H166" s="268"/>
      <c r="I166" s="268"/>
      <c r="J166" s="203"/>
      <c r="K166" s="162">
        <f>(5+5.3*2+1.5*2)*0.3*2.4+2.6*0.6*0.3</f>
        <v>13.86</v>
      </c>
      <c r="L166" s="329"/>
      <c r="M166" s="221"/>
      <c r="N166" s="203"/>
      <c r="O166" s="203"/>
      <c r="P166" s="203"/>
      <c r="Q166" s="203"/>
      <c r="R166" s="163"/>
      <c r="T166" s="164"/>
      <c r="U166" s="203"/>
      <c r="V166" s="203"/>
      <c r="W166" s="203"/>
      <c r="X166" s="203"/>
      <c r="Y166" s="203"/>
      <c r="Z166" s="203"/>
      <c r="AA166" s="165"/>
      <c r="AT166" s="166" t="s">
        <v>148</v>
      </c>
      <c r="AU166" s="166" t="s">
        <v>99</v>
      </c>
      <c r="AV166" s="10" t="s">
        <v>99</v>
      </c>
      <c r="AW166" s="10" t="s">
        <v>33</v>
      </c>
      <c r="AX166" s="10" t="s">
        <v>83</v>
      </c>
      <c r="AY166" s="166" t="s">
        <v>140</v>
      </c>
    </row>
    <row r="167" spans="2:65" s="1" customFormat="1" ht="25.5" customHeight="1" x14ac:dyDescent="0.3">
      <c r="B167" s="33"/>
      <c r="C167" s="151">
        <f>C165+1</f>
        <v>24</v>
      </c>
      <c r="D167" s="151" t="s">
        <v>141</v>
      </c>
      <c r="E167" s="152" t="s">
        <v>283</v>
      </c>
      <c r="F167" s="263" t="s">
        <v>284</v>
      </c>
      <c r="G167" s="263"/>
      <c r="H167" s="263"/>
      <c r="I167" s="263"/>
      <c r="J167" s="153" t="s">
        <v>144</v>
      </c>
      <c r="K167" s="154">
        <f>K171</f>
        <v>11.211999999999998</v>
      </c>
      <c r="L167" s="328"/>
      <c r="M167" s="220"/>
      <c r="N167" s="264">
        <f>ROUND(L167*K167,2)</f>
        <v>0</v>
      </c>
      <c r="O167" s="264"/>
      <c r="P167" s="264"/>
      <c r="Q167" s="264"/>
      <c r="R167" s="35"/>
      <c r="T167" s="155" t="s">
        <v>19</v>
      </c>
      <c r="U167" s="42" t="s">
        <v>41</v>
      </c>
      <c r="V167" s="156">
        <v>6.72</v>
      </c>
      <c r="W167" s="156">
        <f>V167*K167</f>
        <v>75.344639999999984</v>
      </c>
      <c r="X167" s="156">
        <v>0</v>
      </c>
      <c r="Y167" s="156">
        <f>X167*K167</f>
        <v>0</v>
      </c>
      <c r="Z167" s="156">
        <v>2.4</v>
      </c>
      <c r="AA167" s="157">
        <f>Z167*K167</f>
        <v>26.908799999999996</v>
      </c>
      <c r="AR167" s="20" t="s">
        <v>145</v>
      </c>
      <c r="AT167" s="20" t="s">
        <v>141</v>
      </c>
      <c r="AU167" s="20" t="s">
        <v>99</v>
      </c>
      <c r="AY167" s="20" t="s">
        <v>140</v>
      </c>
      <c r="BE167" s="158">
        <f>IF(U167="základní",N167,0)</f>
        <v>0</v>
      </c>
      <c r="BF167" s="158">
        <f>IF(U167="snížená",N167,0)</f>
        <v>0</v>
      </c>
      <c r="BG167" s="158">
        <f>IF(U167="zákl. přenesená",N167,0)</f>
        <v>0</v>
      </c>
      <c r="BH167" s="158">
        <f>IF(U167="sníž. přenesená",N167,0)</f>
        <v>0</v>
      </c>
      <c r="BI167" s="158">
        <f>IF(U167="nulová",N167,0)</f>
        <v>0</v>
      </c>
      <c r="BJ167" s="20" t="s">
        <v>83</v>
      </c>
      <c r="BK167" s="158">
        <f>ROUND(L167*K167,2)</f>
        <v>0</v>
      </c>
      <c r="BL167" s="20" t="s">
        <v>145</v>
      </c>
      <c r="BM167" s="20" t="s">
        <v>366</v>
      </c>
    </row>
    <row r="168" spans="2:65" s="10" customFormat="1" ht="16.5" customHeight="1" x14ac:dyDescent="0.3">
      <c r="B168" s="159"/>
      <c r="C168" s="160"/>
      <c r="D168" s="160"/>
      <c r="E168" s="161" t="s">
        <v>19</v>
      </c>
      <c r="F168" s="267" t="s">
        <v>367</v>
      </c>
      <c r="G168" s="268"/>
      <c r="H168" s="268"/>
      <c r="I168" s="268"/>
      <c r="J168" s="160"/>
      <c r="K168" s="162">
        <v>1.0920000000000001</v>
      </c>
      <c r="L168" s="329"/>
      <c r="M168" s="221"/>
      <c r="N168" s="160"/>
      <c r="O168" s="160"/>
      <c r="P168" s="160"/>
      <c r="Q168" s="160"/>
      <c r="R168" s="163"/>
      <c r="T168" s="164"/>
      <c r="U168" s="160"/>
      <c r="V168" s="160"/>
      <c r="W168" s="160"/>
      <c r="X168" s="160"/>
      <c r="Y168" s="160"/>
      <c r="Z168" s="160"/>
      <c r="AA168" s="165"/>
      <c r="AT168" s="166" t="s">
        <v>148</v>
      </c>
      <c r="AU168" s="166" t="s">
        <v>99</v>
      </c>
      <c r="AV168" s="10" t="s">
        <v>99</v>
      </c>
      <c r="AW168" s="10" t="s">
        <v>33</v>
      </c>
      <c r="AX168" s="10" t="s">
        <v>76</v>
      </c>
      <c r="AY168" s="166" t="s">
        <v>140</v>
      </c>
    </row>
    <row r="169" spans="2:65" s="10" customFormat="1" ht="16.5" customHeight="1" x14ac:dyDescent="0.3">
      <c r="B169" s="159"/>
      <c r="C169" s="160"/>
      <c r="D169" s="160"/>
      <c r="E169" s="161" t="s">
        <v>19</v>
      </c>
      <c r="F169" s="279" t="s">
        <v>368</v>
      </c>
      <c r="G169" s="280"/>
      <c r="H169" s="280"/>
      <c r="I169" s="280"/>
      <c r="J169" s="160"/>
      <c r="K169" s="162">
        <v>0.92800000000000005</v>
      </c>
      <c r="L169" s="329"/>
      <c r="M169" s="221"/>
      <c r="N169" s="160"/>
      <c r="O169" s="160"/>
      <c r="P169" s="160"/>
      <c r="Q169" s="160"/>
      <c r="R169" s="163"/>
      <c r="T169" s="164"/>
      <c r="U169" s="160"/>
      <c r="V169" s="160"/>
      <c r="W169" s="160"/>
      <c r="X169" s="160"/>
      <c r="Y169" s="160"/>
      <c r="Z169" s="160"/>
      <c r="AA169" s="165"/>
      <c r="AT169" s="166" t="s">
        <v>148</v>
      </c>
      <c r="AU169" s="166" t="s">
        <v>99</v>
      </c>
      <c r="AV169" s="10" t="s">
        <v>99</v>
      </c>
      <c r="AW169" s="10" t="s">
        <v>33</v>
      </c>
      <c r="AX169" s="10" t="s">
        <v>76</v>
      </c>
      <c r="AY169" s="166" t="s">
        <v>140</v>
      </c>
    </row>
    <row r="170" spans="2:65" s="10" customFormat="1" ht="16.5" customHeight="1" x14ac:dyDescent="0.3">
      <c r="B170" s="159"/>
      <c r="C170" s="160"/>
      <c r="D170" s="160"/>
      <c r="E170" s="161" t="s">
        <v>19</v>
      </c>
      <c r="F170" s="279" t="s">
        <v>527</v>
      </c>
      <c r="G170" s="280"/>
      <c r="H170" s="280"/>
      <c r="I170" s="280"/>
      <c r="J170" s="160"/>
      <c r="K170" s="162">
        <f>(5.6*5.6-0.9*0.8)*0.3</f>
        <v>9.1919999999999984</v>
      </c>
      <c r="L170" s="329"/>
      <c r="M170" s="221"/>
      <c r="N170" s="160"/>
      <c r="O170" s="160"/>
      <c r="P170" s="160"/>
      <c r="Q170" s="160"/>
      <c r="R170" s="163"/>
      <c r="T170" s="164"/>
      <c r="U170" s="160"/>
      <c r="V170" s="160"/>
      <c r="W170" s="160"/>
      <c r="X170" s="160"/>
      <c r="Y170" s="160"/>
      <c r="Z170" s="160"/>
      <c r="AA170" s="165"/>
      <c r="AT170" s="166" t="s">
        <v>148</v>
      </c>
      <c r="AU170" s="166" t="s">
        <v>99</v>
      </c>
      <c r="AV170" s="10" t="s">
        <v>99</v>
      </c>
      <c r="AW170" s="10" t="s">
        <v>33</v>
      </c>
      <c r="AX170" s="10" t="s">
        <v>76</v>
      </c>
      <c r="AY170" s="166" t="s">
        <v>140</v>
      </c>
    </row>
    <row r="171" spans="2:65" s="11" customFormat="1" ht="16.5" customHeight="1" x14ac:dyDescent="0.3">
      <c r="B171" s="167"/>
      <c r="C171" s="168"/>
      <c r="D171" s="168"/>
      <c r="E171" s="169" t="s">
        <v>19</v>
      </c>
      <c r="F171" s="281" t="s">
        <v>151</v>
      </c>
      <c r="G171" s="282"/>
      <c r="H171" s="282"/>
      <c r="I171" s="282"/>
      <c r="J171" s="168"/>
      <c r="K171" s="170">
        <f>SUM(K168:K170)</f>
        <v>11.211999999999998</v>
      </c>
      <c r="L171" s="330"/>
      <c r="M171" s="218"/>
      <c r="N171" s="168"/>
      <c r="O171" s="168"/>
      <c r="P171" s="168"/>
      <c r="Q171" s="168"/>
      <c r="R171" s="171"/>
      <c r="T171" s="172"/>
      <c r="U171" s="168"/>
      <c r="V171" s="168"/>
      <c r="W171" s="168"/>
      <c r="X171" s="168"/>
      <c r="Y171" s="168"/>
      <c r="Z171" s="168"/>
      <c r="AA171" s="173"/>
      <c r="AT171" s="174" t="s">
        <v>148</v>
      </c>
      <c r="AU171" s="174" t="s">
        <v>99</v>
      </c>
      <c r="AV171" s="11" t="s">
        <v>145</v>
      </c>
      <c r="AW171" s="11" t="s">
        <v>33</v>
      </c>
      <c r="AX171" s="11" t="s">
        <v>83</v>
      </c>
      <c r="AY171" s="174" t="s">
        <v>140</v>
      </c>
    </row>
    <row r="172" spans="2:65" s="1" customFormat="1" ht="25.5" customHeight="1" x14ac:dyDescent="0.3">
      <c r="B172" s="33"/>
      <c r="C172" s="151">
        <f>C167+1</f>
        <v>25</v>
      </c>
      <c r="D172" s="151" t="s">
        <v>141</v>
      </c>
      <c r="E172" s="152" t="s">
        <v>217</v>
      </c>
      <c r="F172" s="263" t="s">
        <v>316</v>
      </c>
      <c r="G172" s="263"/>
      <c r="H172" s="263"/>
      <c r="I172" s="263"/>
      <c r="J172" s="153" t="s">
        <v>165</v>
      </c>
      <c r="K172" s="154">
        <v>9.6</v>
      </c>
      <c r="L172" s="328"/>
      <c r="M172" s="220"/>
      <c r="N172" s="264">
        <f>ROUND(L172*K172,2)</f>
        <v>0</v>
      </c>
      <c r="O172" s="264"/>
      <c r="P172" s="264"/>
      <c r="Q172" s="264"/>
      <c r="R172" s="35"/>
      <c r="T172" s="155" t="s">
        <v>19</v>
      </c>
      <c r="U172" s="42" t="s">
        <v>41</v>
      </c>
      <c r="V172" s="156">
        <v>0.63</v>
      </c>
      <c r="W172" s="156">
        <f>V172*K172</f>
        <v>6.048</v>
      </c>
      <c r="X172" s="156">
        <v>0</v>
      </c>
      <c r="Y172" s="156">
        <f>X172*K172</f>
        <v>0</v>
      </c>
      <c r="Z172" s="156">
        <v>8.9999999999999993E-3</v>
      </c>
      <c r="AA172" s="157">
        <f>Z172*K172</f>
        <v>8.6399999999999991E-2</v>
      </c>
      <c r="AR172" s="20" t="s">
        <v>145</v>
      </c>
      <c r="AT172" s="20" t="s">
        <v>141</v>
      </c>
      <c r="AU172" s="20" t="s">
        <v>99</v>
      </c>
      <c r="AY172" s="20" t="s">
        <v>140</v>
      </c>
      <c r="BE172" s="158">
        <f>IF(U172="základní",N172,0)</f>
        <v>0</v>
      </c>
      <c r="BF172" s="158">
        <f>IF(U172="snížená",N172,0)</f>
        <v>0</v>
      </c>
      <c r="BG172" s="158">
        <f>IF(U172="zákl. přenesená",N172,0)</f>
        <v>0</v>
      </c>
      <c r="BH172" s="158">
        <f>IF(U172="sníž. přenesená",N172,0)</f>
        <v>0</v>
      </c>
      <c r="BI172" s="158">
        <f>IF(U172="nulová",N172,0)</f>
        <v>0</v>
      </c>
      <c r="BJ172" s="20" t="s">
        <v>83</v>
      </c>
      <c r="BK172" s="158">
        <f>ROUND(L172*K172,2)</f>
        <v>0</v>
      </c>
      <c r="BL172" s="20" t="s">
        <v>145</v>
      </c>
      <c r="BM172" s="20" t="s">
        <v>369</v>
      </c>
    </row>
    <row r="173" spans="2:65" s="10" customFormat="1" ht="16.5" customHeight="1" x14ac:dyDescent="0.3">
      <c r="B173" s="159"/>
      <c r="C173" s="160"/>
      <c r="D173" s="160"/>
      <c r="E173" s="161" t="s">
        <v>19</v>
      </c>
      <c r="F173" s="267" t="s">
        <v>370</v>
      </c>
      <c r="G173" s="268"/>
      <c r="H173" s="268"/>
      <c r="I173" s="268"/>
      <c r="J173" s="160"/>
      <c r="K173" s="162">
        <v>9.6</v>
      </c>
      <c r="L173" s="329"/>
      <c r="M173" s="221"/>
      <c r="N173" s="160"/>
      <c r="O173" s="160"/>
      <c r="P173" s="160"/>
      <c r="Q173" s="160"/>
      <c r="R173" s="163"/>
      <c r="T173" s="164"/>
      <c r="U173" s="160"/>
      <c r="V173" s="160"/>
      <c r="W173" s="160"/>
      <c r="X173" s="160"/>
      <c r="Y173" s="160"/>
      <c r="Z173" s="160"/>
      <c r="AA173" s="165"/>
      <c r="AT173" s="166" t="s">
        <v>148</v>
      </c>
      <c r="AU173" s="166" t="s">
        <v>99</v>
      </c>
      <c r="AV173" s="10" t="s">
        <v>99</v>
      </c>
      <c r="AW173" s="10" t="s">
        <v>33</v>
      </c>
      <c r="AX173" s="10" t="s">
        <v>83</v>
      </c>
      <c r="AY173" s="166" t="s">
        <v>140</v>
      </c>
    </row>
    <row r="174" spans="2:65" s="1" customFormat="1" ht="25.5" customHeight="1" x14ac:dyDescent="0.3">
      <c r="B174" s="33"/>
      <c r="C174" s="151">
        <f>C172+1</f>
        <v>26</v>
      </c>
      <c r="D174" s="151" t="s">
        <v>141</v>
      </c>
      <c r="E174" s="152"/>
      <c r="F174" s="263" t="s">
        <v>515</v>
      </c>
      <c r="G174" s="263"/>
      <c r="H174" s="263"/>
      <c r="I174" s="263"/>
      <c r="J174" s="153" t="s">
        <v>259</v>
      </c>
      <c r="K174" s="154">
        <v>6</v>
      </c>
      <c r="L174" s="328"/>
      <c r="M174" s="220"/>
      <c r="N174" s="264">
        <f>ROUND(L174*K174,2)</f>
        <v>0</v>
      </c>
      <c r="O174" s="264"/>
      <c r="P174" s="264"/>
      <c r="Q174" s="264"/>
      <c r="R174" s="35"/>
      <c r="T174" s="155" t="s">
        <v>19</v>
      </c>
      <c r="U174" s="42" t="s">
        <v>41</v>
      </c>
      <c r="V174" s="156">
        <v>0.63</v>
      </c>
      <c r="W174" s="156">
        <f>V174*K174</f>
        <v>3.7800000000000002</v>
      </c>
      <c r="X174" s="156">
        <v>0</v>
      </c>
      <c r="Y174" s="156">
        <f>X174*K174</f>
        <v>0</v>
      </c>
      <c r="Z174" s="156">
        <v>8.9999999999999993E-3</v>
      </c>
      <c r="AA174" s="157">
        <f>Z174*K174</f>
        <v>5.3999999999999992E-2</v>
      </c>
      <c r="AR174" s="20" t="s">
        <v>145</v>
      </c>
      <c r="AT174" s="20" t="s">
        <v>141</v>
      </c>
      <c r="AU174" s="20" t="s">
        <v>99</v>
      </c>
      <c r="AY174" s="20" t="s">
        <v>140</v>
      </c>
      <c r="BE174" s="158">
        <f>IF(U174="základní",N174,0)</f>
        <v>0</v>
      </c>
      <c r="BF174" s="158">
        <f>IF(U174="snížená",N174,0)</f>
        <v>0</v>
      </c>
      <c r="BG174" s="158">
        <f>IF(U174="zákl. přenesená",N174,0)</f>
        <v>0</v>
      </c>
      <c r="BH174" s="158">
        <f>IF(U174="sníž. přenesená",N174,0)</f>
        <v>0</v>
      </c>
      <c r="BI174" s="158">
        <f>IF(U174="nulová",N174,0)</f>
        <v>0</v>
      </c>
      <c r="BJ174" s="20" t="s">
        <v>83</v>
      </c>
      <c r="BK174" s="158">
        <f>ROUND(L174*K174,2)</f>
        <v>0</v>
      </c>
      <c r="BL174" s="20" t="s">
        <v>145</v>
      </c>
      <c r="BM174" s="20" t="s">
        <v>369</v>
      </c>
    </row>
    <row r="175" spans="2:65" s="10" customFormat="1" ht="16.5" customHeight="1" x14ac:dyDescent="0.3">
      <c r="B175" s="159"/>
      <c r="C175" s="203"/>
      <c r="D175" s="203"/>
      <c r="E175" s="161"/>
      <c r="F175" s="202"/>
      <c r="G175" s="203"/>
      <c r="H175" s="203"/>
      <c r="I175" s="203"/>
      <c r="J175" s="203"/>
      <c r="K175" s="162"/>
      <c r="L175" s="329"/>
      <c r="M175" s="221"/>
      <c r="N175" s="203"/>
      <c r="O175" s="203"/>
      <c r="P175" s="203"/>
      <c r="Q175" s="203"/>
      <c r="R175" s="163"/>
      <c r="T175" s="164"/>
      <c r="U175" s="203"/>
      <c r="V175" s="203"/>
      <c r="W175" s="203"/>
      <c r="X175" s="203"/>
      <c r="Y175" s="203"/>
      <c r="Z175" s="203"/>
      <c r="AA175" s="165"/>
      <c r="AT175" s="166"/>
      <c r="AU175" s="166"/>
      <c r="AY175" s="166"/>
    </row>
    <row r="176" spans="2:65" s="9" customFormat="1" ht="29.85" customHeight="1" x14ac:dyDescent="0.3">
      <c r="B176" s="140"/>
      <c r="C176" s="141"/>
      <c r="D176" s="150" t="s">
        <v>116</v>
      </c>
      <c r="E176" s="150"/>
      <c r="F176" s="150"/>
      <c r="G176" s="150"/>
      <c r="H176" s="150"/>
      <c r="I176" s="150"/>
      <c r="J176" s="150"/>
      <c r="K176" s="150"/>
      <c r="L176" s="332"/>
      <c r="M176" s="150"/>
      <c r="N176" s="269">
        <f>SUM(N177:N179)</f>
        <v>0</v>
      </c>
      <c r="O176" s="270"/>
      <c r="P176" s="270"/>
      <c r="Q176" s="270"/>
      <c r="R176" s="143"/>
      <c r="T176" s="144"/>
      <c r="U176" s="141"/>
      <c r="V176" s="141"/>
      <c r="W176" s="145">
        <f>SUM(W177:W179)</f>
        <v>150.49259999999998</v>
      </c>
      <c r="X176" s="141"/>
      <c r="Y176" s="145">
        <f>SUM(Y177:Y179)</f>
        <v>0</v>
      </c>
      <c r="Z176" s="141"/>
      <c r="AA176" s="146">
        <f>SUM(AA177:AA179)</f>
        <v>0</v>
      </c>
      <c r="AR176" s="147" t="s">
        <v>83</v>
      </c>
      <c r="AT176" s="148" t="s">
        <v>75</v>
      </c>
      <c r="AU176" s="148" t="s">
        <v>83</v>
      </c>
      <c r="AY176" s="147" t="s">
        <v>140</v>
      </c>
      <c r="BK176" s="149">
        <f>SUM(BK177:BK179)</f>
        <v>0</v>
      </c>
    </row>
    <row r="177" spans="2:65" s="1" customFormat="1" ht="25.5" customHeight="1" x14ac:dyDescent="0.3">
      <c r="B177" s="33"/>
      <c r="C177" s="151">
        <f>C174+1</f>
        <v>27</v>
      </c>
      <c r="D177" s="151" t="s">
        <v>141</v>
      </c>
      <c r="E177" s="152" t="s">
        <v>220</v>
      </c>
      <c r="F177" s="263" t="s">
        <v>221</v>
      </c>
      <c r="G177" s="263"/>
      <c r="H177" s="263"/>
      <c r="I177" s="263"/>
      <c r="J177" s="153" t="s">
        <v>155</v>
      </c>
      <c r="K177" s="154">
        <v>78.3</v>
      </c>
      <c r="L177" s="328"/>
      <c r="M177" s="220"/>
      <c r="N177" s="264">
        <f>ROUND(L177*K177,2)</f>
        <v>0</v>
      </c>
      <c r="O177" s="264"/>
      <c r="P177" s="264"/>
      <c r="Q177" s="264"/>
      <c r="R177" s="35"/>
      <c r="T177" s="155" t="s">
        <v>19</v>
      </c>
      <c r="U177" s="42" t="s">
        <v>41</v>
      </c>
      <c r="V177" s="156">
        <v>0.125</v>
      </c>
      <c r="W177" s="156">
        <f>V177*K177</f>
        <v>9.7874999999999996</v>
      </c>
      <c r="X177" s="156">
        <v>0</v>
      </c>
      <c r="Y177" s="156">
        <f>X177*K177</f>
        <v>0</v>
      </c>
      <c r="Z177" s="156">
        <v>0</v>
      </c>
      <c r="AA177" s="157">
        <f>Z177*K177</f>
        <v>0</v>
      </c>
      <c r="AR177" s="20" t="s">
        <v>145</v>
      </c>
      <c r="AT177" s="20" t="s">
        <v>141</v>
      </c>
      <c r="AU177" s="20" t="s">
        <v>99</v>
      </c>
      <c r="AY177" s="20" t="s">
        <v>140</v>
      </c>
      <c r="BE177" s="158">
        <f>IF(U177="základní",N177,0)</f>
        <v>0</v>
      </c>
      <c r="BF177" s="158">
        <f>IF(U177="snížená",N177,0)</f>
        <v>0</v>
      </c>
      <c r="BG177" s="158">
        <f>IF(U177="zákl. přenesená",N177,0)</f>
        <v>0</v>
      </c>
      <c r="BH177" s="158">
        <f>IF(U177="sníž. přenesená",N177,0)</f>
        <v>0</v>
      </c>
      <c r="BI177" s="158">
        <f>IF(U177="nulová",N177,0)</f>
        <v>0</v>
      </c>
      <c r="BJ177" s="20" t="s">
        <v>83</v>
      </c>
      <c r="BK177" s="158">
        <f>ROUND(L177*K177,2)</f>
        <v>0</v>
      </c>
      <c r="BL177" s="20" t="s">
        <v>145</v>
      </c>
      <c r="BM177" s="20" t="s">
        <v>371</v>
      </c>
    </row>
    <row r="178" spans="2:65" s="1" customFormat="1" ht="25.5" customHeight="1" x14ac:dyDescent="0.3">
      <c r="B178" s="33"/>
      <c r="C178" s="151">
        <f t="shared" ref="C178:C179" si="1">C177+1</f>
        <v>28</v>
      </c>
      <c r="D178" s="151" t="s">
        <v>141</v>
      </c>
      <c r="E178" s="152" t="s">
        <v>223</v>
      </c>
      <c r="F178" s="263" t="s">
        <v>505</v>
      </c>
      <c r="G178" s="263"/>
      <c r="H178" s="263"/>
      <c r="I178" s="263"/>
      <c r="J178" s="153" t="s">
        <v>155</v>
      </c>
      <c r="K178" s="154">
        <v>78.3</v>
      </c>
      <c r="L178" s="328"/>
      <c r="M178" s="220"/>
      <c r="N178" s="264">
        <f>ROUND(L178*K178,2)</f>
        <v>0</v>
      </c>
      <c r="O178" s="264"/>
      <c r="P178" s="264"/>
      <c r="Q178" s="264"/>
      <c r="R178" s="35"/>
      <c r="T178" s="155" t="s">
        <v>19</v>
      </c>
      <c r="U178" s="42" t="s">
        <v>41</v>
      </c>
      <c r="V178" s="156">
        <v>0</v>
      </c>
      <c r="W178" s="156">
        <f>V178*K178</f>
        <v>0</v>
      </c>
      <c r="X178" s="156">
        <v>0</v>
      </c>
      <c r="Y178" s="156">
        <f>X178*K178</f>
        <v>0</v>
      </c>
      <c r="Z178" s="156">
        <v>0</v>
      </c>
      <c r="AA178" s="157">
        <f>Z178*K178</f>
        <v>0</v>
      </c>
      <c r="AR178" s="20" t="s">
        <v>145</v>
      </c>
      <c r="AT178" s="20" t="s">
        <v>141</v>
      </c>
      <c r="AU178" s="20" t="s">
        <v>99</v>
      </c>
      <c r="AY178" s="20" t="s">
        <v>140</v>
      </c>
      <c r="BE178" s="158">
        <f>IF(U178="základní",N178,0)</f>
        <v>0</v>
      </c>
      <c r="BF178" s="158">
        <f>IF(U178="snížená",N178,0)</f>
        <v>0</v>
      </c>
      <c r="BG178" s="158">
        <f>IF(U178="zákl. přenesená",N178,0)</f>
        <v>0</v>
      </c>
      <c r="BH178" s="158">
        <f>IF(U178="sníž. přenesená",N178,0)</f>
        <v>0</v>
      </c>
      <c r="BI178" s="158">
        <f>IF(U178="nulová",N178,0)</f>
        <v>0</v>
      </c>
      <c r="BJ178" s="20" t="s">
        <v>83</v>
      </c>
      <c r="BK178" s="158">
        <f>ROUND(L178*K178,2)</f>
        <v>0</v>
      </c>
      <c r="BL178" s="20" t="s">
        <v>145</v>
      </c>
      <c r="BM178" s="20" t="s">
        <v>372</v>
      </c>
    </row>
    <row r="179" spans="2:65" s="1" customFormat="1" ht="25.5" customHeight="1" x14ac:dyDescent="0.3">
      <c r="B179" s="33"/>
      <c r="C179" s="151">
        <f t="shared" si="1"/>
        <v>29</v>
      </c>
      <c r="D179" s="151" t="s">
        <v>141</v>
      </c>
      <c r="E179" s="152" t="s">
        <v>226</v>
      </c>
      <c r="F179" s="263" t="s">
        <v>227</v>
      </c>
      <c r="G179" s="263"/>
      <c r="H179" s="263"/>
      <c r="I179" s="263"/>
      <c r="J179" s="153" t="s">
        <v>155</v>
      </c>
      <c r="K179" s="154">
        <v>78.3</v>
      </c>
      <c r="L179" s="328"/>
      <c r="M179" s="220"/>
      <c r="N179" s="264">
        <f>ROUND(L179*K179,2)</f>
        <v>0</v>
      </c>
      <c r="O179" s="264"/>
      <c r="P179" s="264"/>
      <c r="Q179" s="264"/>
      <c r="R179" s="35"/>
      <c r="T179" s="155" t="s">
        <v>19</v>
      </c>
      <c r="U179" s="42" t="s">
        <v>41</v>
      </c>
      <c r="V179" s="156">
        <v>1.7969999999999999</v>
      </c>
      <c r="W179" s="156">
        <f>V179*K179</f>
        <v>140.70509999999999</v>
      </c>
      <c r="X179" s="156">
        <v>0</v>
      </c>
      <c r="Y179" s="156">
        <f>X179*K179</f>
        <v>0</v>
      </c>
      <c r="Z179" s="156">
        <v>0</v>
      </c>
      <c r="AA179" s="157">
        <f>Z179*K179</f>
        <v>0</v>
      </c>
      <c r="AR179" s="20" t="s">
        <v>145</v>
      </c>
      <c r="AT179" s="20" t="s">
        <v>141</v>
      </c>
      <c r="AU179" s="20" t="s">
        <v>99</v>
      </c>
      <c r="AY179" s="20" t="s">
        <v>140</v>
      </c>
      <c r="BE179" s="158">
        <f>IF(U179="základní",N179,0)</f>
        <v>0</v>
      </c>
      <c r="BF179" s="158">
        <f>IF(U179="snížená",N179,0)</f>
        <v>0</v>
      </c>
      <c r="BG179" s="158">
        <f>IF(U179="zákl. přenesená",N179,0)</f>
        <v>0</v>
      </c>
      <c r="BH179" s="158">
        <f>IF(U179="sníž. přenesená",N179,0)</f>
        <v>0</v>
      </c>
      <c r="BI179" s="158">
        <f>IF(U179="nulová",N179,0)</f>
        <v>0</v>
      </c>
      <c r="BJ179" s="20" t="s">
        <v>83</v>
      </c>
      <c r="BK179" s="158">
        <f>ROUND(L179*K179,2)</f>
        <v>0</v>
      </c>
      <c r="BL179" s="20" t="s">
        <v>145</v>
      </c>
      <c r="BM179" s="20" t="s">
        <v>373</v>
      </c>
    </row>
    <row r="180" spans="2:65" s="9" customFormat="1" ht="37.35" customHeight="1" x14ac:dyDescent="0.35">
      <c r="B180" s="140"/>
      <c r="C180" s="141"/>
      <c r="D180" s="142" t="s">
        <v>117</v>
      </c>
      <c r="E180" s="142"/>
      <c r="F180" s="142"/>
      <c r="G180" s="142"/>
      <c r="H180" s="142"/>
      <c r="I180" s="142"/>
      <c r="J180" s="142"/>
      <c r="K180" s="142"/>
      <c r="L180" s="333"/>
      <c r="M180" s="142"/>
      <c r="N180" s="277">
        <f>N181+N195+N199+N201</f>
        <v>0</v>
      </c>
      <c r="O180" s="278"/>
      <c r="P180" s="278"/>
      <c r="Q180" s="278"/>
      <c r="R180" s="143"/>
      <c r="T180" s="144"/>
      <c r="U180" s="141"/>
      <c r="V180" s="141"/>
      <c r="W180" s="145">
        <f>W181+W199+W201</f>
        <v>4.1192719999999996</v>
      </c>
      <c r="X180" s="141"/>
      <c r="Y180" s="145">
        <f>Y181+Y199+Y201</f>
        <v>4.6444399999999997E-2</v>
      </c>
      <c r="Z180" s="141"/>
      <c r="AA180" s="146">
        <f>AA181+AA199+AA201</f>
        <v>2.6839999999999999E-2</v>
      </c>
      <c r="AR180" s="147" t="s">
        <v>99</v>
      </c>
      <c r="AT180" s="148" t="s">
        <v>75</v>
      </c>
      <c r="AU180" s="148" t="s">
        <v>76</v>
      </c>
      <c r="AY180" s="147" t="s">
        <v>140</v>
      </c>
      <c r="BK180" s="149">
        <f>BK181+BK199+BK201</f>
        <v>0</v>
      </c>
    </row>
    <row r="181" spans="2:65" s="9" customFormat="1" ht="19.899999999999999" customHeight="1" x14ac:dyDescent="0.3">
      <c r="B181" s="140"/>
      <c r="C181" s="141"/>
      <c r="D181" s="150" t="s">
        <v>118</v>
      </c>
      <c r="E181" s="150"/>
      <c r="F181" s="150"/>
      <c r="G181" s="150"/>
      <c r="H181" s="150"/>
      <c r="I181" s="150"/>
      <c r="J181" s="150"/>
      <c r="K181" s="150"/>
      <c r="L181" s="332"/>
      <c r="M181" s="150"/>
      <c r="N181" s="269">
        <f>SUM(N182:N196)</f>
        <v>0</v>
      </c>
      <c r="O181" s="270"/>
      <c r="P181" s="270"/>
      <c r="Q181" s="270"/>
      <c r="R181" s="143"/>
      <c r="T181" s="144"/>
      <c r="U181" s="141"/>
      <c r="V181" s="141"/>
      <c r="W181" s="145">
        <f>SUM(W182:W190)</f>
        <v>2.7292719999999999</v>
      </c>
      <c r="X181" s="141"/>
      <c r="Y181" s="145">
        <f>SUM(Y182:Y190)</f>
        <v>4.6444399999999997E-2</v>
      </c>
      <c r="Z181" s="141"/>
      <c r="AA181" s="146">
        <f>SUM(AA182:AA190)</f>
        <v>0</v>
      </c>
      <c r="AR181" s="147" t="s">
        <v>99</v>
      </c>
      <c r="AT181" s="148" t="s">
        <v>75</v>
      </c>
      <c r="AU181" s="148" t="s">
        <v>83</v>
      </c>
      <c r="AY181" s="147" t="s">
        <v>140</v>
      </c>
      <c r="BK181" s="149">
        <f>SUM(BK182:BK190)</f>
        <v>0</v>
      </c>
    </row>
    <row r="182" spans="2:65" s="1" customFormat="1" ht="38.25" customHeight="1" x14ac:dyDescent="0.3">
      <c r="B182" s="33"/>
      <c r="C182" s="151">
        <f>C179+1</f>
        <v>30</v>
      </c>
      <c r="D182" s="151" t="s">
        <v>141</v>
      </c>
      <c r="E182" s="152" t="s">
        <v>229</v>
      </c>
      <c r="F182" s="263" t="s">
        <v>230</v>
      </c>
      <c r="G182" s="263"/>
      <c r="H182" s="263"/>
      <c r="I182" s="263"/>
      <c r="J182" s="153" t="s">
        <v>165</v>
      </c>
      <c r="K182" s="154">
        <v>7.28</v>
      </c>
      <c r="L182" s="328"/>
      <c r="M182" s="220"/>
      <c r="N182" s="264">
        <f>ROUND(L182*K182,2)</f>
        <v>0</v>
      </c>
      <c r="O182" s="264"/>
      <c r="P182" s="264"/>
      <c r="Q182" s="264"/>
      <c r="R182" s="35"/>
      <c r="T182" s="155" t="s">
        <v>19</v>
      </c>
      <c r="U182" s="42" t="s">
        <v>41</v>
      </c>
      <c r="V182" s="156">
        <v>2.4E-2</v>
      </c>
      <c r="W182" s="156">
        <f>V182*K182</f>
        <v>0.17472000000000001</v>
      </c>
      <c r="X182" s="156">
        <v>0</v>
      </c>
      <c r="Y182" s="156">
        <f>X182*K182</f>
        <v>0</v>
      </c>
      <c r="Z182" s="156">
        <v>0</v>
      </c>
      <c r="AA182" s="157">
        <f>Z182*K182</f>
        <v>0</v>
      </c>
      <c r="AR182" s="20" t="s">
        <v>172</v>
      </c>
      <c r="AT182" s="20" t="s">
        <v>141</v>
      </c>
      <c r="AU182" s="20" t="s">
        <v>99</v>
      </c>
      <c r="AY182" s="20" t="s">
        <v>140</v>
      </c>
      <c r="BE182" s="158">
        <f>IF(U182="základní",N182,0)</f>
        <v>0</v>
      </c>
      <c r="BF182" s="158">
        <f>IF(U182="snížená",N182,0)</f>
        <v>0</v>
      </c>
      <c r="BG182" s="158">
        <f>IF(U182="zákl. přenesená",N182,0)</f>
        <v>0</v>
      </c>
      <c r="BH182" s="158">
        <f>IF(U182="sníž. přenesená",N182,0)</f>
        <v>0</v>
      </c>
      <c r="BI182" s="158">
        <f>IF(U182="nulová",N182,0)</f>
        <v>0</v>
      </c>
      <c r="BJ182" s="20" t="s">
        <v>83</v>
      </c>
      <c r="BK182" s="158">
        <f>ROUND(L182*K182,2)</f>
        <v>0</v>
      </c>
      <c r="BL182" s="20" t="s">
        <v>172</v>
      </c>
      <c r="BM182" s="20" t="s">
        <v>374</v>
      </c>
    </row>
    <row r="183" spans="2:65" s="10" customFormat="1" ht="16.5" customHeight="1" x14ac:dyDescent="0.3">
      <c r="B183" s="159"/>
      <c r="C183" s="160"/>
      <c r="D183" s="160"/>
      <c r="E183" s="161" t="s">
        <v>19</v>
      </c>
      <c r="F183" s="267" t="s">
        <v>362</v>
      </c>
      <c r="G183" s="268"/>
      <c r="H183" s="268"/>
      <c r="I183" s="268"/>
      <c r="J183" s="160"/>
      <c r="K183" s="162">
        <v>7.28</v>
      </c>
      <c r="L183" s="329"/>
      <c r="M183" s="221"/>
      <c r="N183" s="160"/>
      <c r="O183" s="160"/>
      <c r="P183" s="160"/>
      <c r="Q183" s="160"/>
      <c r="R183" s="163"/>
      <c r="T183" s="164"/>
      <c r="U183" s="160"/>
      <c r="V183" s="160"/>
      <c r="W183" s="160"/>
      <c r="X183" s="160"/>
      <c r="Y183" s="160"/>
      <c r="Z183" s="160"/>
      <c r="AA183" s="165"/>
      <c r="AT183" s="166" t="s">
        <v>148</v>
      </c>
      <c r="AU183" s="166" t="s">
        <v>99</v>
      </c>
      <c r="AV183" s="10" t="s">
        <v>99</v>
      </c>
      <c r="AW183" s="10" t="s">
        <v>33</v>
      </c>
      <c r="AX183" s="10" t="s">
        <v>83</v>
      </c>
      <c r="AY183" s="166" t="s">
        <v>140</v>
      </c>
    </row>
    <row r="184" spans="2:65" s="1" customFormat="1" ht="16.5" customHeight="1" x14ac:dyDescent="0.3">
      <c r="B184" s="33"/>
      <c r="C184" s="151">
        <f>C182+1</f>
        <v>31</v>
      </c>
      <c r="D184" s="175" t="s">
        <v>152</v>
      </c>
      <c r="E184" s="176" t="s">
        <v>232</v>
      </c>
      <c r="F184" s="265" t="s">
        <v>233</v>
      </c>
      <c r="G184" s="265"/>
      <c r="H184" s="265"/>
      <c r="I184" s="265"/>
      <c r="J184" s="177" t="s">
        <v>155</v>
      </c>
      <c r="K184" s="178">
        <v>2E-3</v>
      </c>
      <c r="L184" s="331"/>
      <c r="M184" s="219"/>
      <c r="N184" s="266">
        <f>ROUND(L184*K184,2)</f>
        <v>0</v>
      </c>
      <c r="O184" s="264"/>
      <c r="P184" s="264"/>
      <c r="Q184" s="264"/>
      <c r="R184" s="35"/>
      <c r="T184" s="155" t="s">
        <v>19</v>
      </c>
      <c r="U184" s="42" t="s">
        <v>41</v>
      </c>
      <c r="V184" s="156">
        <v>0</v>
      </c>
      <c r="W184" s="156">
        <f>V184*K184</f>
        <v>0</v>
      </c>
      <c r="X184" s="156">
        <v>1</v>
      </c>
      <c r="Y184" s="156">
        <f>X184*K184</f>
        <v>2E-3</v>
      </c>
      <c r="Z184" s="156">
        <v>0</v>
      </c>
      <c r="AA184" s="157">
        <f>Z184*K184</f>
        <v>0</v>
      </c>
      <c r="AR184" s="20" t="s">
        <v>202</v>
      </c>
      <c r="AT184" s="20" t="s">
        <v>152</v>
      </c>
      <c r="AU184" s="20" t="s">
        <v>99</v>
      </c>
      <c r="AY184" s="20" t="s">
        <v>140</v>
      </c>
      <c r="BE184" s="158">
        <f>IF(U184="základní",N184,0)</f>
        <v>0</v>
      </c>
      <c r="BF184" s="158">
        <f>IF(U184="snížená",N184,0)</f>
        <v>0</v>
      </c>
      <c r="BG184" s="158">
        <f>IF(U184="zákl. přenesená",N184,0)</f>
        <v>0</v>
      </c>
      <c r="BH184" s="158">
        <f>IF(U184="sníž. přenesená",N184,0)</f>
        <v>0</v>
      </c>
      <c r="BI184" s="158">
        <f>IF(U184="nulová",N184,0)</f>
        <v>0</v>
      </c>
      <c r="BJ184" s="20" t="s">
        <v>83</v>
      </c>
      <c r="BK184" s="158">
        <f>ROUND(L184*K184,2)</f>
        <v>0</v>
      </c>
      <c r="BL184" s="20" t="s">
        <v>172</v>
      </c>
      <c r="BM184" s="20" t="s">
        <v>375</v>
      </c>
    </row>
    <row r="185" spans="2:65" s="1" customFormat="1" ht="25.5" customHeight="1" x14ac:dyDescent="0.3">
      <c r="B185" s="33"/>
      <c r="C185" s="151">
        <f>C184+1</f>
        <v>32</v>
      </c>
      <c r="D185" s="151" t="s">
        <v>141</v>
      </c>
      <c r="E185" s="152" t="s">
        <v>235</v>
      </c>
      <c r="F185" s="263" t="s">
        <v>236</v>
      </c>
      <c r="G185" s="263"/>
      <c r="H185" s="263"/>
      <c r="I185" s="263"/>
      <c r="J185" s="153" t="s">
        <v>165</v>
      </c>
      <c r="K185" s="154">
        <v>8.0079999999999991</v>
      </c>
      <c r="L185" s="328"/>
      <c r="M185" s="220"/>
      <c r="N185" s="264">
        <f>ROUND(L185*K185,2)</f>
        <v>0</v>
      </c>
      <c r="O185" s="264"/>
      <c r="P185" s="264"/>
      <c r="Q185" s="264"/>
      <c r="R185" s="35"/>
      <c r="T185" s="155" t="s">
        <v>19</v>
      </c>
      <c r="U185" s="42" t="s">
        <v>41</v>
      </c>
      <c r="V185" s="156">
        <v>0.222</v>
      </c>
      <c r="W185" s="156">
        <f>V185*K185</f>
        <v>1.7777759999999998</v>
      </c>
      <c r="X185" s="156">
        <v>4.0000000000000002E-4</v>
      </c>
      <c r="Y185" s="156">
        <f>X185*K185</f>
        <v>3.2031999999999998E-3</v>
      </c>
      <c r="Z185" s="156">
        <v>0</v>
      </c>
      <c r="AA185" s="157">
        <f>Z185*K185</f>
        <v>0</v>
      </c>
      <c r="AR185" s="20" t="s">
        <v>172</v>
      </c>
      <c r="AT185" s="20" t="s">
        <v>141</v>
      </c>
      <c r="AU185" s="20" t="s">
        <v>99</v>
      </c>
      <c r="AY185" s="20" t="s">
        <v>140</v>
      </c>
      <c r="BE185" s="158">
        <f>IF(U185="základní",N185,0)</f>
        <v>0</v>
      </c>
      <c r="BF185" s="158">
        <f>IF(U185="snížená",N185,0)</f>
        <v>0</v>
      </c>
      <c r="BG185" s="158">
        <f>IF(U185="zákl. přenesená",N185,0)</f>
        <v>0</v>
      </c>
      <c r="BH185" s="158">
        <f>IF(U185="sníž. přenesená",N185,0)</f>
        <v>0</v>
      </c>
      <c r="BI185" s="158">
        <f>IF(U185="nulová",N185,0)</f>
        <v>0</v>
      </c>
      <c r="BJ185" s="20" t="s">
        <v>83</v>
      </c>
      <c r="BK185" s="158">
        <f>ROUND(L185*K185,2)</f>
        <v>0</v>
      </c>
      <c r="BL185" s="20" t="s">
        <v>172</v>
      </c>
      <c r="BM185" s="20" t="s">
        <v>376</v>
      </c>
    </row>
    <row r="186" spans="2:65" s="10" customFormat="1" ht="16.5" customHeight="1" x14ac:dyDescent="0.3">
      <c r="B186" s="159"/>
      <c r="C186" s="160"/>
      <c r="D186" s="160"/>
      <c r="E186" s="161" t="s">
        <v>19</v>
      </c>
      <c r="F186" s="267" t="s">
        <v>377</v>
      </c>
      <c r="G186" s="268"/>
      <c r="H186" s="268"/>
      <c r="I186" s="268"/>
      <c r="J186" s="160"/>
      <c r="K186" s="162">
        <v>8.0079999999999991</v>
      </c>
      <c r="L186" s="329"/>
      <c r="M186" s="221"/>
      <c r="N186" s="160"/>
      <c r="O186" s="160"/>
      <c r="P186" s="160"/>
      <c r="Q186" s="160"/>
      <c r="R186" s="163"/>
      <c r="T186" s="164"/>
      <c r="U186" s="160"/>
      <c r="V186" s="160"/>
      <c r="W186" s="160"/>
      <c r="X186" s="160"/>
      <c r="Y186" s="160"/>
      <c r="Z186" s="160"/>
      <c r="AA186" s="165"/>
      <c r="AT186" s="166" t="s">
        <v>148</v>
      </c>
      <c r="AU186" s="166" t="s">
        <v>99</v>
      </c>
      <c r="AV186" s="10" t="s">
        <v>99</v>
      </c>
      <c r="AW186" s="10" t="s">
        <v>33</v>
      </c>
      <c r="AX186" s="10" t="s">
        <v>83</v>
      </c>
      <c r="AY186" s="166" t="s">
        <v>140</v>
      </c>
    </row>
    <row r="187" spans="2:65" s="1" customFormat="1" ht="25.5" customHeight="1" x14ac:dyDescent="0.3">
      <c r="B187" s="33"/>
      <c r="C187" s="151">
        <f>C185+1</f>
        <v>33</v>
      </c>
      <c r="D187" s="175" t="s">
        <v>152</v>
      </c>
      <c r="E187" s="176" t="s">
        <v>203</v>
      </c>
      <c r="F187" s="265" t="s">
        <v>204</v>
      </c>
      <c r="G187" s="265"/>
      <c r="H187" s="265"/>
      <c r="I187" s="265"/>
      <c r="J187" s="177" t="s">
        <v>165</v>
      </c>
      <c r="K187" s="178">
        <v>8.0079999999999991</v>
      </c>
      <c r="L187" s="331"/>
      <c r="M187" s="219"/>
      <c r="N187" s="266">
        <f>ROUND(L187*K187,2)</f>
        <v>0</v>
      </c>
      <c r="O187" s="264"/>
      <c r="P187" s="264"/>
      <c r="Q187" s="264"/>
      <c r="R187" s="35"/>
      <c r="T187" s="155" t="s">
        <v>19</v>
      </c>
      <c r="U187" s="42" t="s">
        <v>41</v>
      </c>
      <c r="V187" s="156">
        <v>0</v>
      </c>
      <c r="W187" s="156">
        <f>V187*K187</f>
        <v>0</v>
      </c>
      <c r="X187" s="156">
        <v>4.3E-3</v>
      </c>
      <c r="Y187" s="156">
        <f>X187*K187</f>
        <v>3.4434399999999997E-2</v>
      </c>
      <c r="Z187" s="156">
        <v>0</v>
      </c>
      <c r="AA187" s="157">
        <f>Z187*K187</f>
        <v>0</v>
      </c>
      <c r="AR187" s="20" t="s">
        <v>156</v>
      </c>
      <c r="AT187" s="20" t="s">
        <v>152</v>
      </c>
      <c r="AU187" s="20" t="s">
        <v>99</v>
      </c>
      <c r="AY187" s="20" t="s">
        <v>140</v>
      </c>
      <c r="BE187" s="158">
        <f>IF(U187="základní",N187,0)</f>
        <v>0</v>
      </c>
      <c r="BF187" s="158">
        <f>IF(U187="snížená",N187,0)</f>
        <v>0</v>
      </c>
      <c r="BG187" s="158">
        <f>IF(U187="zákl. přenesená",N187,0)</f>
        <v>0</v>
      </c>
      <c r="BH187" s="158">
        <f>IF(U187="sníž. přenesená",N187,0)</f>
        <v>0</v>
      </c>
      <c r="BI187" s="158">
        <f>IF(U187="nulová",N187,0)</f>
        <v>0</v>
      </c>
      <c r="BJ187" s="20" t="s">
        <v>83</v>
      </c>
      <c r="BK187" s="158">
        <f>ROUND(L187*K187,2)</f>
        <v>0</v>
      </c>
      <c r="BL187" s="20" t="s">
        <v>145</v>
      </c>
      <c r="BM187" s="20" t="s">
        <v>358</v>
      </c>
    </row>
    <row r="188" spans="2:65" s="10" customFormat="1" ht="16.5" customHeight="1" x14ac:dyDescent="0.3">
      <c r="B188" s="159"/>
      <c r="C188" s="160"/>
      <c r="D188" s="160"/>
      <c r="E188" s="161" t="s">
        <v>19</v>
      </c>
      <c r="F188" s="267" t="s">
        <v>359</v>
      </c>
      <c r="G188" s="268"/>
      <c r="H188" s="268"/>
      <c r="I188" s="268"/>
      <c r="J188" s="160"/>
      <c r="K188" s="162">
        <v>8.0079999999999991</v>
      </c>
      <c r="L188" s="329"/>
      <c r="M188" s="221"/>
      <c r="N188" s="160"/>
      <c r="O188" s="160"/>
      <c r="P188" s="160"/>
      <c r="Q188" s="160"/>
      <c r="R188" s="163"/>
      <c r="T188" s="164"/>
      <c r="U188" s="160"/>
      <c r="V188" s="160"/>
      <c r="W188" s="160"/>
      <c r="X188" s="160"/>
      <c r="Y188" s="160"/>
      <c r="Z188" s="160"/>
      <c r="AA188" s="165"/>
      <c r="AT188" s="166" t="s">
        <v>148</v>
      </c>
      <c r="AU188" s="166" t="s">
        <v>99</v>
      </c>
      <c r="AV188" s="10" t="s">
        <v>99</v>
      </c>
      <c r="AW188" s="10" t="s">
        <v>33</v>
      </c>
      <c r="AX188" s="10" t="s">
        <v>83</v>
      </c>
      <c r="AY188" s="166" t="s">
        <v>140</v>
      </c>
    </row>
    <row r="189" spans="2:65" s="1" customFormat="1" ht="38.25" customHeight="1" x14ac:dyDescent="0.3">
      <c r="B189" s="33"/>
      <c r="C189" s="151">
        <f>C187+1</f>
        <v>34</v>
      </c>
      <c r="D189" s="151" t="s">
        <v>141</v>
      </c>
      <c r="E189" s="152" t="s">
        <v>239</v>
      </c>
      <c r="F189" s="263" t="s">
        <v>240</v>
      </c>
      <c r="G189" s="263"/>
      <c r="H189" s="263"/>
      <c r="I189" s="263"/>
      <c r="J189" s="153" t="s">
        <v>165</v>
      </c>
      <c r="K189" s="154">
        <v>8.0079999999999991</v>
      </c>
      <c r="L189" s="328"/>
      <c r="M189" s="220"/>
      <c r="N189" s="264">
        <f>ROUND(L189*K189,2)</f>
        <v>0</v>
      </c>
      <c r="O189" s="264"/>
      <c r="P189" s="264"/>
      <c r="Q189" s="264"/>
      <c r="R189" s="35"/>
      <c r="T189" s="155" t="s">
        <v>19</v>
      </c>
      <c r="U189" s="42" t="s">
        <v>41</v>
      </c>
      <c r="V189" s="156">
        <v>9.7000000000000003E-2</v>
      </c>
      <c r="W189" s="156">
        <f>V189*K189</f>
        <v>0.77677599999999991</v>
      </c>
      <c r="X189" s="156">
        <v>8.4999999999999995E-4</v>
      </c>
      <c r="Y189" s="156">
        <f>X189*K189</f>
        <v>6.8067999999999991E-3</v>
      </c>
      <c r="Z189" s="156">
        <v>0</v>
      </c>
      <c r="AA189" s="157">
        <f>Z189*K189</f>
        <v>0</v>
      </c>
      <c r="AR189" s="20" t="s">
        <v>172</v>
      </c>
      <c r="AT189" s="20" t="s">
        <v>141</v>
      </c>
      <c r="AU189" s="20" t="s">
        <v>99</v>
      </c>
      <c r="AY189" s="20" t="s">
        <v>140</v>
      </c>
      <c r="BE189" s="158">
        <f>IF(U189="základní",N189,0)</f>
        <v>0</v>
      </c>
      <c r="BF189" s="158">
        <f>IF(U189="snížená",N189,0)</f>
        <v>0</v>
      </c>
      <c r="BG189" s="158">
        <f>IF(U189="zákl. přenesená",N189,0)</f>
        <v>0</v>
      </c>
      <c r="BH189" s="158">
        <f>IF(U189="sníž. přenesená",N189,0)</f>
        <v>0</v>
      </c>
      <c r="BI189" s="158">
        <f>IF(U189="nulová",N189,0)</f>
        <v>0</v>
      </c>
      <c r="BJ189" s="20" t="s">
        <v>83</v>
      </c>
      <c r="BK189" s="158">
        <f>ROUND(L189*K189,2)</f>
        <v>0</v>
      </c>
      <c r="BL189" s="20" t="s">
        <v>172</v>
      </c>
      <c r="BM189" s="20" t="s">
        <v>378</v>
      </c>
    </row>
    <row r="190" spans="2:65" s="10" customFormat="1" ht="16.5" customHeight="1" x14ac:dyDescent="0.3">
      <c r="B190" s="159"/>
      <c r="C190" s="160"/>
      <c r="D190" s="160"/>
      <c r="E190" s="161" t="s">
        <v>19</v>
      </c>
      <c r="F190" s="267" t="s">
        <v>377</v>
      </c>
      <c r="G190" s="268"/>
      <c r="H190" s="268"/>
      <c r="I190" s="268"/>
      <c r="J190" s="160"/>
      <c r="K190" s="162">
        <v>8.0079999999999991</v>
      </c>
      <c r="L190" s="329"/>
      <c r="M190" s="221"/>
      <c r="N190" s="160"/>
      <c r="O190" s="160"/>
      <c r="P190" s="160"/>
      <c r="Q190" s="160"/>
      <c r="R190" s="163"/>
      <c r="T190" s="164"/>
      <c r="U190" s="160"/>
      <c r="V190" s="160"/>
      <c r="W190" s="160"/>
      <c r="X190" s="160"/>
      <c r="Y190" s="160"/>
      <c r="Z190" s="160"/>
      <c r="AA190" s="165"/>
      <c r="AT190" s="166" t="s">
        <v>148</v>
      </c>
      <c r="AU190" s="166" t="s">
        <v>99</v>
      </c>
      <c r="AV190" s="10" t="s">
        <v>99</v>
      </c>
      <c r="AW190" s="10" t="s">
        <v>33</v>
      </c>
      <c r="AX190" s="10" t="s">
        <v>83</v>
      </c>
      <c r="AY190" s="166" t="s">
        <v>140</v>
      </c>
    </row>
    <row r="191" spans="2:65" s="1" customFormat="1" ht="16.5" customHeight="1" x14ac:dyDescent="0.3">
      <c r="B191" s="33"/>
      <c r="C191" s="151">
        <f>C189+1</f>
        <v>35</v>
      </c>
      <c r="D191" s="175" t="s">
        <v>152</v>
      </c>
      <c r="E191" s="176" t="s">
        <v>207</v>
      </c>
      <c r="F191" s="265" t="s">
        <v>208</v>
      </c>
      <c r="G191" s="265"/>
      <c r="H191" s="265"/>
      <c r="I191" s="265"/>
      <c r="J191" s="177" t="s">
        <v>165</v>
      </c>
      <c r="K191" s="178">
        <v>8.0079999999999991</v>
      </c>
      <c r="L191" s="331"/>
      <c r="M191" s="219"/>
      <c r="N191" s="266">
        <f>ROUND(L191*K191,2)</f>
        <v>0</v>
      </c>
      <c r="O191" s="264"/>
      <c r="P191" s="264"/>
      <c r="Q191" s="264"/>
      <c r="R191" s="35"/>
      <c r="T191" s="155" t="s">
        <v>19</v>
      </c>
      <c r="U191" s="42" t="s">
        <v>41</v>
      </c>
      <c r="V191" s="156">
        <v>0</v>
      </c>
      <c r="W191" s="156">
        <f>V191*K191</f>
        <v>0</v>
      </c>
      <c r="X191" s="156">
        <v>2.9999999999999997E-4</v>
      </c>
      <c r="Y191" s="156">
        <f>X191*K191</f>
        <v>2.4023999999999994E-3</v>
      </c>
      <c r="Z191" s="156">
        <v>0</v>
      </c>
      <c r="AA191" s="157">
        <f>Z191*K191</f>
        <v>0</v>
      </c>
      <c r="AR191" s="20" t="s">
        <v>156</v>
      </c>
      <c r="AT191" s="20" t="s">
        <v>152</v>
      </c>
      <c r="AU191" s="20" t="s">
        <v>99</v>
      </c>
      <c r="AY191" s="20" t="s">
        <v>140</v>
      </c>
      <c r="BE191" s="158">
        <f>IF(U191="základní",N191,0)</f>
        <v>0</v>
      </c>
      <c r="BF191" s="158">
        <f>IF(U191="snížená",N191,0)</f>
        <v>0</v>
      </c>
      <c r="BG191" s="158">
        <f>IF(U191="zákl. přenesená",N191,0)</f>
        <v>0</v>
      </c>
      <c r="BH191" s="158">
        <f>IF(U191="sníž. přenesená",N191,0)</f>
        <v>0</v>
      </c>
      <c r="BI191" s="158">
        <f>IF(U191="nulová",N191,0)</f>
        <v>0</v>
      </c>
      <c r="BJ191" s="20" t="s">
        <v>83</v>
      </c>
      <c r="BK191" s="158">
        <f>ROUND(L191*K191,2)</f>
        <v>0</v>
      </c>
      <c r="BL191" s="20" t="s">
        <v>145</v>
      </c>
      <c r="BM191" s="20" t="s">
        <v>360</v>
      </c>
    </row>
    <row r="192" spans="2:65" s="10" customFormat="1" ht="16.5" customHeight="1" x14ac:dyDescent="0.3">
      <c r="B192" s="159"/>
      <c r="C192" s="160"/>
      <c r="D192" s="160"/>
      <c r="E192" s="161" t="s">
        <v>19</v>
      </c>
      <c r="F192" s="267" t="s">
        <v>359</v>
      </c>
      <c r="G192" s="268"/>
      <c r="H192" s="268"/>
      <c r="I192" s="268"/>
      <c r="J192" s="160"/>
      <c r="K192" s="162">
        <v>8.0079999999999991</v>
      </c>
      <c r="L192" s="329"/>
      <c r="M192" s="221"/>
      <c r="N192" s="160"/>
      <c r="O192" s="160"/>
      <c r="P192" s="160"/>
      <c r="Q192" s="160"/>
      <c r="R192" s="163"/>
      <c r="T192" s="164"/>
      <c r="U192" s="160"/>
      <c r="V192" s="160"/>
      <c r="W192" s="160"/>
      <c r="X192" s="160"/>
      <c r="Y192" s="160"/>
      <c r="Z192" s="160"/>
      <c r="AA192" s="165"/>
      <c r="AT192" s="166" t="s">
        <v>148</v>
      </c>
      <c r="AU192" s="166" t="s">
        <v>99</v>
      </c>
      <c r="AV192" s="10" t="s">
        <v>99</v>
      </c>
      <c r="AW192" s="10" t="s">
        <v>33</v>
      </c>
      <c r="AX192" s="10" t="s">
        <v>83</v>
      </c>
      <c r="AY192" s="166" t="s">
        <v>140</v>
      </c>
    </row>
    <row r="193" spans="2:65" s="1" customFormat="1" ht="25.5" customHeight="1" x14ac:dyDescent="0.3">
      <c r="B193" s="33"/>
      <c r="C193" s="151">
        <f>C191+1</f>
        <v>36</v>
      </c>
      <c r="D193" s="175" t="s">
        <v>152</v>
      </c>
      <c r="E193" s="176" t="s">
        <v>214</v>
      </c>
      <c r="F193" s="265" t="s">
        <v>215</v>
      </c>
      <c r="G193" s="265"/>
      <c r="H193" s="265"/>
      <c r="I193" s="265"/>
      <c r="J193" s="177" t="s">
        <v>165</v>
      </c>
      <c r="K193" s="178">
        <v>8.0079999999999991</v>
      </c>
      <c r="L193" s="331"/>
      <c r="M193" s="219"/>
      <c r="N193" s="266">
        <f>ROUND(L193*K193,2)</f>
        <v>0</v>
      </c>
      <c r="O193" s="264"/>
      <c r="P193" s="264"/>
      <c r="Q193" s="264"/>
      <c r="R193" s="35"/>
      <c r="T193" s="155" t="s">
        <v>19</v>
      </c>
      <c r="U193" s="42" t="s">
        <v>41</v>
      </c>
      <c r="V193" s="156">
        <v>0</v>
      </c>
      <c r="W193" s="156">
        <f>V193*K193</f>
        <v>0</v>
      </c>
      <c r="X193" s="156">
        <v>6.0999999999999997E-4</v>
      </c>
      <c r="Y193" s="156">
        <f>X193*K193</f>
        <v>4.8848799999999994E-3</v>
      </c>
      <c r="Z193" s="156">
        <v>0</v>
      </c>
      <c r="AA193" s="157">
        <f>Z193*K193</f>
        <v>0</v>
      </c>
      <c r="AR193" s="20" t="s">
        <v>156</v>
      </c>
      <c r="AT193" s="20" t="s">
        <v>152</v>
      </c>
      <c r="AU193" s="20" t="s">
        <v>99</v>
      </c>
      <c r="AY193" s="20" t="s">
        <v>140</v>
      </c>
      <c r="BE193" s="158">
        <f>IF(U193="základní",N193,0)</f>
        <v>0</v>
      </c>
      <c r="BF193" s="158">
        <f>IF(U193="snížená",N193,0)</f>
        <v>0</v>
      </c>
      <c r="BG193" s="158">
        <f>IF(U193="zákl. přenesená",N193,0)</f>
        <v>0</v>
      </c>
      <c r="BH193" s="158">
        <f>IF(U193="sníž. přenesená",N193,0)</f>
        <v>0</v>
      </c>
      <c r="BI193" s="158">
        <f>IF(U193="nulová",N193,0)</f>
        <v>0</v>
      </c>
      <c r="BJ193" s="20" t="s">
        <v>83</v>
      </c>
      <c r="BK193" s="158">
        <f>ROUND(L193*K193,2)</f>
        <v>0</v>
      </c>
      <c r="BL193" s="20" t="s">
        <v>145</v>
      </c>
      <c r="BM193" s="20" t="s">
        <v>363</v>
      </c>
    </row>
    <row r="194" spans="2:65" s="10" customFormat="1" ht="16.5" customHeight="1" x14ac:dyDescent="0.3">
      <c r="B194" s="159"/>
      <c r="C194" s="160"/>
      <c r="D194" s="160"/>
      <c r="E194" s="161" t="s">
        <v>19</v>
      </c>
      <c r="F194" s="267" t="s">
        <v>359</v>
      </c>
      <c r="G194" s="268"/>
      <c r="H194" s="268"/>
      <c r="I194" s="268"/>
      <c r="J194" s="160"/>
      <c r="K194" s="162">
        <v>8.0079999999999991</v>
      </c>
      <c r="L194" s="329"/>
      <c r="M194" s="221"/>
      <c r="N194" s="160"/>
      <c r="O194" s="160"/>
      <c r="P194" s="160"/>
      <c r="Q194" s="160"/>
      <c r="R194" s="163"/>
      <c r="T194" s="164"/>
      <c r="U194" s="160"/>
      <c r="V194" s="160"/>
      <c r="W194" s="160"/>
      <c r="X194" s="160"/>
      <c r="Y194" s="160"/>
      <c r="Z194" s="160"/>
      <c r="AA194" s="165"/>
      <c r="AT194" s="166" t="s">
        <v>148</v>
      </c>
      <c r="AU194" s="166" t="s">
        <v>99</v>
      </c>
      <c r="AV194" s="10" t="s">
        <v>99</v>
      </c>
      <c r="AW194" s="10" t="s">
        <v>33</v>
      </c>
      <c r="AX194" s="10" t="s">
        <v>83</v>
      </c>
      <c r="AY194" s="166" t="s">
        <v>140</v>
      </c>
    </row>
    <row r="195" spans="2:65" s="9" customFormat="1" ht="19.899999999999999" customHeight="1" x14ac:dyDescent="0.3">
      <c r="B195" s="140"/>
      <c r="C195" s="141"/>
      <c r="D195" s="150" t="s">
        <v>490</v>
      </c>
      <c r="E195" s="150"/>
      <c r="F195" s="150"/>
      <c r="G195" s="150"/>
      <c r="H195" s="150"/>
      <c r="I195" s="150"/>
      <c r="J195" s="150"/>
      <c r="K195" s="150"/>
      <c r="L195" s="332"/>
      <c r="M195" s="150"/>
      <c r="N195" s="269">
        <f>SUM(N196:N197)</f>
        <v>0</v>
      </c>
      <c r="O195" s="270"/>
      <c r="P195" s="270"/>
      <c r="Q195" s="270"/>
      <c r="R195" s="143"/>
      <c r="T195" s="144"/>
      <c r="U195" s="141"/>
      <c r="V195" s="141"/>
      <c r="W195" s="145">
        <f>SUM(W196:W205)</f>
        <v>2.95472</v>
      </c>
      <c r="X195" s="141"/>
      <c r="Y195" s="145">
        <f>SUM(Y196:Y205)</f>
        <v>1.3103999999999999E-2</v>
      </c>
      <c r="Z195" s="141"/>
      <c r="AA195" s="146"/>
      <c r="AR195" s="147" t="s">
        <v>99</v>
      </c>
      <c r="AT195" s="148" t="s">
        <v>75</v>
      </c>
      <c r="AU195" s="148" t="s">
        <v>83</v>
      </c>
      <c r="AY195" s="147" t="s">
        <v>140</v>
      </c>
      <c r="BK195" s="149">
        <f>SUM(BK196:BK205)</f>
        <v>0</v>
      </c>
    </row>
    <row r="196" spans="2:65" s="1" customFormat="1" ht="38.25" customHeight="1" x14ac:dyDescent="0.3">
      <c r="B196" s="33"/>
      <c r="C196" s="151">
        <f>C193+1</f>
        <v>37</v>
      </c>
      <c r="D196" s="151" t="s">
        <v>141</v>
      </c>
      <c r="E196" s="152"/>
      <c r="F196" s="263" t="s">
        <v>491</v>
      </c>
      <c r="G196" s="263"/>
      <c r="H196" s="263"/>
      <c r="I196" s="263"/>
      <c r="J196" s="153" t="s">
        <v>165</v>
      </c>
      <c r="K196" s="154">
        <f>K197</f>
        <v>7.28</v>
      </c>
      <c r="L196" s="328"/>
      <c r="M196" s="220"/>
      <c r="N196" s="264">
        <f>ROUND(L196*K196,2)</f>
        <v>0</v>
      </c>
      <c r="O196" s="264"/>
      <c r="P196" s="264"/>
      <c r="Q196" s="264"/>
      <c r="R196" s="35"/>
      <c r="T196" s="155" t="s">
        <v>19</v>
      </c>
      <c r="U196" s="42" t="s">
        <v>41</v>
      </c>
      <c r="V196" s="156">
        <v>2.4E-2</v>
      </c>
      <c r="W196" s="156">
        <f>V196*K196</f>
        <v>0.17472000000000001</v>
      </c>
      <c r="X196" s="156">
        <v>0</v>
      </c>
      <c r="Y196" s="156">
        <f>X196*K196</f>
        <v>0</v>
      </c>
      <c r="Z196" s="156">
        <v>0</v>
      </c>
      <c r="AA196" s="157">
        <f>Z196*K196</f>
        <v>0</v>
      </c>
      <c r="AR196" s="20" t="s">
        <v>172</v>
      </c>
      <c r="AT196" s="20" t="s">
        <v>141</v>
      </c>
      <c r="AU196" s="20" t="s">
        <v>99</v>
      </c>
      <c r="AY196" s="20" t="s">
        <v>140</v>
      </c>
      <c r="BE196" s="158">
        <f>IF(U196="základní",N196,0)</f>
        <v>0</v>
      </c>
      <c r="BF196" s="158">
        <f>IF(U196="snížená",N196,0)</f>
        <v>0</v>
      </c>
      <c r="BG196" s="158">
        <f>IF(U196="zákl. přenesená",N196,0)</f>
        <v>0</v>
      </c>
      <c r="BH196" s="158">
        <f>IF(U196="sníž. přenesená",N196,0)</f>
        <v>0</v>
      </c>
      <c r="BI196" s="158">
        <f>IF(U196="nulová",N196,0)</f>
        <v>0</v>
      </c>
      <c r="BJ196" s="20" t="s">
        <v>83</v>
      </c>
      <c r="BK196" s="158">
        <f>ROUND(L196*K196,2)</f>
        <v>0</v>
      </c>
      <c r="BL196" s="20" t="s">
        <v>172</v>
      </c>
      <c r="BM196" s="20" t="s">
        <v>231</v>
      </c>
    </row>
    <row r="197" spans="2:65" s="1" customFormat="1" ht="38.25" customHeight="1" x14ac:dyDescent="0.3">
      <c r="B197" s="33"/>
      <c r="C197" s="151">
        <f>C196+1</f>
        <v>38</v>
      </c>
      <c r="D197" s="175" t="s">
        <v>152</v>
      </c>
      <c r="E197" s="176" t="s">
        <v>210</v>
      </c>
      <c r="F197" s="265" t="s">
        <v>211</v>
      </c>
      <c r="G197" s="265"/>
      <c r="H197" s="265"/>
      <c r="I197" s="265"/>
      <c r="J197" s="177" t="s">
        <v>165</v>
      </c>
      <c r="K197" s="178">
        <v>7.28</v>
      </c>
      <c r="L197" s="331"/>
      <c r="M197" s="219"/>
      <c r="N197" s="266">
        <f>ROUND(L197*K197,2)</f>
        <v>0</v>
      </c>
      <c r="O197" s="264"/>
      <c r="P197" s="264"/>
      <c r="Q197" s="264"/>
      <c r="R197" s="35"/>
      <c r="T197" s="155" t="s">
        <v>19</v>
      </c>
      <c r="U197" s="42" t="s">
        <v>41</v>
      </c>
      <c r="V197" s="156">
        <v>0</v>
      </c>
      <c r="W197" s="156">
        <f>V197*K197</f>
        <v>0</v>
      </c>
      <c r="X197" s="156">
        <v>1.8E-3</v>
      </c>
      <c r="Y197" s="156">
        <f>X197*K197</f>
        <v>1.3103999999999999E-2</v>
      </c>
      <c r="Z197" s="156">
        <v>0</v>
      </c>
      <c r="AA197" s="157">
        <f>Z197*K197</f>
        <v>0</v>
      </c>
      <c r="AR197" s="20" t="s">
        <v>156</v>
      </c>
      <c r="AT197" s="20" t="s">
        <v>152</v>
      </c>
      <c r="AU197" s="20" t="s">
        <v>99</v>
      </c>
      <c r="AY197" s="20" t="s">
        <v>140</v>
      </c>
      <c r="BE197" s="158">
        <f>IF(U197="základní",N197,0)</f>
        <v>0</v>
      </c>
      <c r="BF197" s="158">
        <f>IF(U197="snížená",N197,0)</f>
        <v>0</v>
      </c>
      <c r="BG197" s="158">
        <f>IF(U197="zákl. přenesená",N197,0)</f>
        <v>0</v>
      </c>
      <c r="BH197" s="158">
        <f>IF(U197="sníž. přenesená",N197,0)</f>
        <v>0</v>
      </c>
      <c r="BI197" s="158">
        <f>IF(U197="nulová",N197,0)</f>
        <v>0</v>
      </c>
      <c r="BJ197" s="20" t="s">
        <v>83</v>
      </c>
      <c r="BK197" s="158">
        <f>ROUND(L197*K197,2)</f>
        <v>0</v>
      </c>
      <c r="BL197" s="20" t="s">
        <v>145</v>
      </c>
      <c r="BM197" s="20" t="s">
        <v>361</v>
      </c>
    </row>
    <row r="198" spans="2:65" s="10" customFormat="1" ht="16.5" customHeight="1" x14ac:dyDescent="0.3">
      <c r="B198" s="159"/>
      <c r="C198" s="160"/>
      <c r="D198" s="160"/>
      <c r="E198" s="161" t="s">
        <v>19</v>
      </c>
      <c r="F198" s="267" t="s">
        <v>362</v>
      </c>
      <c r="G198" s="268"/>
      <c r="H198" s="268"/>
      <c r="I198" s="268"/>
      <c r="J198" s="160"/>
      <c r="K198" s="162">
        <v>7.28</v>
      </c>
      <c r="L198" s="329"/>
      <c r="M198" s="221"/>
      <c r="N198" s="160"/>
      <c r="O198" s="160"/>
      <c r="P198" s="160"/>
      <c r="Q198" s="160"/>
      <c r="R198" s="163"/>
      <c r="T198" s="164"/>
      <c r="U198" s="160"/>
      <c r="V198" s="160"/>
      <c r="W198" s="160"/>
      <c r="X198" s="160"/>
      <c r="Y198" s="160"/>
      <c r="Z198" s="160"/>
      <c r="AA198" s="165"/>
      <c r="AT198" s="166" t="s">
        <v>148</v>
      </c>
      <c r="AU198" s="166" t="s">
        <v>99</v>
      </c>
      <c r="AV198" s="10" t="s">
        <v>99</v>
      </c>
      <c r="AW198" s="10" t="s">
        <v>33</v>
      </c>
      <c r="AX198" s="10" t="s">
        <v>83</v>
      </c>
      <c r="AY198" s="166" t="s">
        <v>140</v>
      </c>
    </row>
    <row r="199" spans="2:65" s="9" customFormat="1" ht="29.85" customHeight="1" x14ac:dyDescent="0.3">
      <c r="B199" s="140"/>
      <c r="C199" s="141"/>
      <c r="D199" s="150" t="s">
        <v>123</v>
      </c>
      <c r="E199" s="150"/>
      <c r="F199" s="150"/>
      <c r="G199" s="150"/>
      <c r="H199" s="150"/>
      <c r="I199" s="150"/>
      <c r="J199" s="150"/>
      <c r="K199" s="150"/>
      <c r="L199" s="332"/>
      <c r="M199" s="150"/>
      <c r="N199" s="269">
        <f>N200</f>
        <v>0</v>
      </c>
      <c r="O199" s="270"/>
      <c r="P199" s="270"/>
      <c r="Q199" s="270"/>
      <c r="R199" s="143"/>
      <c r="T199" s="144"/>
      <c r="U199" s="141"/>
      <c r="V199" s="141"/>
      <c r="W199" s="145">
        <f>W200</f>
        <v>0.19</v>
      </c>
      <c r="X199" s="141"/>
      <c r="Y199" s="145">
        <f>Y200</f>
        <v>0</v>
      </c>
      <c r="Z199" s="141"/>
      <c r="AA199" s="146">
        <f>AA200</f>
        <v>8.4000000000000003E-4</v>
      </c>
      <c r="AR199" s="147" t="s">
        <v>99</v>
      </c>
      <c r="AT199" s="148" t="s">
        <v>75</v>
      </c>
      <c r="AU199" s="148" t="s">
        <v>83</v>
      </c>
      <c r="AY199" s="147" t="s">
        <v>140</v>
      </c>
      <c r="BK199" s="149">
        <f>BK200</f>
        <v>0</v>
      </c>
    </row>
    <row r="200" spans="2:65" s="1" customFormat="1" ht="16.5" customHeight="1" x14ac:dyDescent="0.3">
      <c r="B200" s="33"/>
      <c r="C200" s="151">
        <f>C197+1</f>
        <v>39</v>
      </c>
      <c r="D200" s="151" t="s">
        <v>141</v>
      </c>
      <c r="E200" s="152" t="s">
        <v>266</v>
      </c>
      <c r="F200" s="263" t="s">
        <v>286</v>
      </c>
      <c r="G200" s="263"/>
      <c r="H200" s="263"/>
      <c r="I200" s="263"/>
      <c r="J200" s="153" t="s">
        <v>187</v>
      </c>
      <c r="K200" s="154">
        <v>2</v>
      </c>
      <c r="L200" s="328"/>
      <c r="M200" s="220"/>
      <c r="N200" s="264">
        <f>ROUND(L200*K200,2)</f>
        <v>0</v>
      </c>
      <c r="O200" s="264"/>
      <c r="P200" s="264"/>
      <c r="Q200" s="264"/>
      <c r="R200" s="35"/>
      <c r="T200" s="155" t="s">
        <v>19</v>
      </c>
      <c r="U200" s="42" t="s">
        <v>41</v>
      </c>
      <c r="V200" s="156">
        <v>9.5000000000000001E-2</v>
      </c>
      <c r="W200" s="156">
        <f>V200*K200</f>
        <v>0.19</v>
      </c>
      <c r="X200" s="156">
        <v>0</v>
      </c>
      <c r="Y200" s="156">
        <f>X200*K200</f>
        <v>0</v>
      </c>
      <c r="Z200" s="156">
        <v>4.2000000000000002E-4</v>
      </c>
      <c r="AA200" s="157">
        <f>Z200*K200</f>
        <v>8.4000000000000003E-4</v>
      </c>
      <c r="AR200" s="20" t="s">
        <v>172</v>
      </c>
      <c r="AT200" s="20" t="s">
        <v>141</v>
      </c>
      <c r="AU200" s="20" t="s">
        <v>99</v>
      </c>
      <c r="AY200" s="20" t="s">
        <v>140</v>
      </c>
      <c r="BE200" s="158">
        <f>IF(U200="základní",N200,0)</f>
        <v>0</v>
      </c>
      <c r="BF200" s="158">
        <f>IF(U200="snížená",N200,0)</f>
        <v>0</v>
      </c>
      <c r="BG200" s="158">
        <f>IF(U200="zákl. přenesená",N200,0)</f>
        <v>0</v>
      </c>
      <c r="BH200" s="158">
        <f>IF(U200="sníž. přenesená",N200,0)</f>
        <v>0</v>
      </c>
      <c r="BI200" s="158">
        <f>IF(U200="nulová",N200,0)</f>
        <v>0</v>
      </c>
      <c r="BJ200" s="20" t="s">
        <v>83</v>
      </c>
      <c r="BK200" s="158">
        <f>ROUND(L200*K200,2)</f>
        <v>0</v>
      </c>
      <c r="BL200" s="20" t="s">
        <v>172</v>
      </c>
      <c r="BM200" s="20" t="s">
        <v>379</v>
      </c>
    </row>
    <row r="201" spans="2:65" s="9" customFormat="1" ht="29.85" customHeight="1" x14ac:dyDescent="0.3">
      <c r="B201" s="140"/>
      <c r="C201" s="141"/>
      <c r="D201" s="150" t="s">
        <v>124</v>
      </c>
      <c r="E201" s="150"/>
      <c r="F201" s="150"/>
      <c r="G201" s="150"/>
      <c r="H201" s="150"/>
      <c r="I201" s="150"/>
      <c r="J201" s="150"/>
      <c r="K201" s="150"/>
      <c r="L201" s="332"/>
      <c r="M201" s="150"/>
      <c r="N201" s="261">
        <f>N202</f>
        <v>0</v>
      </c>
      <c r="O201" s="262"/>
      <c r="P201" s="262"/>
      <c r="Q201" s="262"/>
      <c r="R201" s="143"/>
      <c r="T201" s="144"/>
      <c r="U201" s="141"/>
      <c r="V201" s="141"/>
      <c r="W201" s="145">
        <f>W202</f>
        <v>1.2</v>
      </c>
      <c r="X201" s="141"/>
      <c r="Y201" s="145">
        <f>Y202</f>
        <v>0</v>
      </c>
      <c r="Z201" s="141"/>
      <c r="AA201" s="146">
        <f>AA202</f>
        <v>2.5999999999999999E-2</v>
      </c>
      <c r="AR201" s="147" t="s">
        <v>99</v>
      </c>
      <c r="AT201" s="148" t="s">
        <v>75</v>
      </c>
      <c r="AU201" s="148" t="s">
        <v>83</v>
      </c>
      <c r="AY201" s="147" t="s">
        <v>140</v>
      </c>
      <c r="BK201" s="149">
        <f>BK202</f>
        <v>0</v>
      </c>
    </row>
    <row r="202" spans="2:65" s="1" customFormat="1" ht="25.5" customHeight="1" x14ac:dyDescent="0.3">
      <c r="B202" s="33"/>
      <c r="C202" s="151">
        <f>C200+1</f>
        <v>40</v>
      </c>
      <c r="D202" s="151" t="s">
        <v>141</v>
      </c>
      <c r="E202" s="152" t="s">
        <v>269</v>
      </c>
      <c r="F202" s="263" t="s">
        <v>270</v>
      </c>
      <c r="G202" s="263"/>
      <c r="H202" s="263"/>
      <c r="I202" s="263"/>
      <c r="J202" s="153" t="s">
        <v>187</v>
      </c>
      <c r="K202" s="154">
        <v>2</v>
      </c>
      <c r="L202" s="328"/>
      <c r="M202" s="220"/>
      <c r="N202" s="264">
        <f>ROUND(L202*K202,2)</f>
        <v>0</v>
      </c>
      <c r="O202" s="264"/>
      <c r="P202" s="264"/>
      <c r="Q202" s="264"/>
      <c r="R202" s="35"/>
      <c r="T202" s="155" t="s">
        <v>19</v>
      </c>
      <c r="U202" s="179" t="s">
        <v>41</v>
      </c>
      <c r="V202" s="180">
        <v>0.6</v>
      </c>
      <c r="W202" s="180">
        <f>V202*K202</f>
        <v>1.2</v>
      </c>
      <c r="X202" s="180">
        <v>0</v>
      </c>
      <c r="Y202" s="180">
        <f>X202*K202</f>
        <v>0</v>
      </c>
      <c r="Z202" s="180">
        <v>1.2999999999999999E-2</v>
      </c>
      <c r="AA202" s="181">
        <f>Z202*K202</f>
        <v>2.5999999999999999E-2</v>
      </c>
      <c r="AR202" s="20" t="s">
        <v>172</v>
      </c>
      <c r="AT202" s="20" t="s">
        <v>141</v>
      </c>
      <c r="AU202" s="20" t="s">
        <v>99</v>
      </c>
      <c r="AY202" s="20" t="s">
        <v>140</v>
      </c>
      <c r="BE202" s="158">
        <f>IF(U202="základní",N202,0)</f>
        <v>0</v>
      </c>
      <c r="BF202" s="158">
        <f>IF(U202="snížená",N202,0)</f>
        <v>0</v>
      </c>
      <c r="BG202" s="158">
        <f>IF(U202="zákl. přenesená",N202,0)</f>
        <v>0</v>
      </c>
      <c r="BH202" s="158">
        <f>IF(U202="sníž. přenesená",N202,0)</f>
        <v>0</v>
      </c>
      <c r="BI202" s="158">
        <f>IF(U202="nulová",N202,0)</f>
        <v>0</v>
      </c>
      <c r="BJ202" s="20" t="s">
        <v>83</v>
      </c>
      <c r="BK202" s="158">
        <f>ROUND(L202*K202,2)</f>
        <v>0</v>
      </c>
      <c r="BL202" s="20" t="s">
        <v>172</v>
      </c>
      <c r="BM202" s="20" t="s">
        <v>380</v>
      </c>
    </row>
    <row r="203" spans="2:65" s="1" customFormat="1" ht="6.95" customHeight="1" x14ac:dyDescent="0.3">
      <c r="B203" s="57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9"/>
    </row>
  </sheetData>
  <sheetProtection algorithmName="SHA-512" hashValue="TErM499Dm9fk/VFOj6xbhIogPZlcvoWWHz29H0gauaazSHH2JZMD8AOTh60eYa+vbonwSroc51IrhYTvjN11Kw==" saltValue="FVm8v3EKlnuNj1U990tLfw==" spinCount="100000" sheet="1" objects="1" scenarios="1"/>
  <mergeCells count="179">
    <mergeCell ref="F174:I174"/>
    <mergeCell ref="N174:Q174"/>
    <mergeCell ref="F154:I154"/>
    <mergeCell ref="N154:Q154"/>
    <mergeCell ref="F123:I123"/>
    <mergeCell ref="F124:I124"/>
    <mergeCell ref="F125:I125"/>
    <mergeCell ref="F126:I126"/>
    <mergeCell ref="F132:I132"/>
    <mergeCell ref="N123:Q123"/>
    <mergeCell ref="F129:I129"/>
    <mergeCell ref="F130:I130"/>
    <mergeCell ref="F131:I131"/>
    <mergeCell ref="F165:I165"/>
    <mergeCell ref="N165:Q165"/>
    <mergeCell ref="F166:I166"/>
    <mergeCell ref="F127:I127"/>
    <mergeCell ref="F128:I128"/>
    <mergeCell ref="F140:I140"/>
    <mergeCell ref="F141:I141"/>
    <mergeCell ref="F142:I142"/>
    <mergeCell ref="H1:K1"/>
    <mergeCell ref="C2:Q2"/>
    <mergeCell ref="S2:AC2"/>
    <mergeCell ref="C4:Q4"/>
    <mergeCell ref="F6:P6"/>
    <mergeCell ref="F7:P7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N101:Q101"/>
    <mergeCell ref="L103:Q103"/>
    <mergeCell ref="C109:Q109"/>
    <mergeCell ref="F111:P111"/>
    <mergeCell ref="F112:P112"/>
    <mergeCell ref="M114:P114"/>
    <mergeCell ref="N94:Q94"/>
    <mergeCell ref="N95:Q95"/>
    <mergeCell ref="N96:Q96"/>
    <mergeCell ref="N97:Q97"/>
    <mergeCell ref="N98:Q98"/>
    <mergeCell ref="N99:Q99"/>
    <mergeCell ref="N121:Q121"/>
    <mergeCell ref="N122:Q122"/>
    <mergeCell ref="F134:I134"/>
    <mergeCell ref="N134:Q134"/>
    <mergeCell ref="F135:I135"/>
    <mergeCell ref="M116:Q116"/>
    <mergeCell ref="M117:Q117"/>
    <mergeCell ref="F119:I119"/>
    <mergeCell ref="L119:M119"/>
    <mergeCell ref="N119:Q119"/>
    <mergeCell ref="N120:Q120"/>
    <mergeCell ref="F133:I133"/>
    <mergeCell ref="F139:I139"/>
    <mergeCell ref="F144:I144"/>
    <mergeCell ref="N144:Q144"/>
    <mergeCell ref="F145:I145"/>
    <mergeCell ref="F146:I146"/>
    <mergeCell ref="N146:Q146"/>
    <mergeCell ref="F136:I136"/>
    <mergeCell ref="N136:Q136"/>
    <mergeCell ref="F137:I137"/>
    <mergeCell ref="F138:I138"/>
    <mergeCell ref="N138:Q138"/>
    <mergeCell ref="F143:I143"/>
    <mergeCell ref="N143:Q143"/>
    <mergeCell ref="F151:I151"/>
    <mergeCell ref="N151:Q151"/>
    <mergeCell ref="N155:Q155"/>
    <mergeCell ref="F156:I156"/>
    <mergeCell ref="N156:Q156"/>
    <mergeCell ref="F147:I147"/>
    <mergeCell ref="F148:I148"/>
    <mergeCell ref="N148:Q148"/>
    <mergeCell ref="N149:Q149"/>
    <mergeCell ref="F150:I150"/>
    <mergeCell ref="N150:Q150"/>
    <mergeCell ref="F152:I152"/>
    <mergeCell ref="N152:Q152"/>
    <mergeCell ref="F153:I153"/>
    <mergeCell ref="N153:Q153"/>
    <mergeCell ref="F163:I163"/>
    <mergeCell ref="N163:Q163"/>
    <mergeCell ref="N162:Q162"/>
    <mergeCell ref="F157:I157"/>
    <mergeCell ref="N159:Q159"/>
    <mergeCell ref="F160:I160"/>
    <mergeCell ref="N160:Q160"/>
    <mergeCell ref="F161:I161"/>
    <mergeCell ref="N161:Q161"/>
    <mergeCell ref="F158:I158"/>
    <mergeCell ref="N158:Q158"/>
    <mergeCell ref="F170:I170"/>
    <mergeCell ref="F171:I171"/>
    <mergeCell ref="F172:I172"/>
    <mergeCell ref="N172:Q172"/>
    <mergeCell ref="F173:I173"/>
    <mergeCell ref="F164:I164"/>
    <mergeCell ref="F167:I167"/>
    <mergeCell ref="N167:Q167"/>
    <mergeCell ref="F168:I168"/>
    <mergeCell ref="F169:I169"/>
    <mergeCell ref="F179:I179"/>
    <mergeCell ref="N179:Q179"/>
    <mergeCell ref="N176:Q176"/>
    <mergeCell ref="F177:I177"/>
    <mergeCell ref="N177:Q177"/>
    <mergeCell ref="F178:I178"/>
    <mergeCell ref="N178:Q178"/>
    <mergeCell ref="F184:I184"/>
    <mergeCell ref="N184:Q184"/>
    <mergeCell ref="F185:I185"/>
    <mergeCell ref="N185:Q185"/>
    <mergeCell ref="N180:Q180"/>
    <mergeCell ref="N181:Q181"/>
    <mergeCell ref="F182:I182"/>
    <mergeCell ref="N182:Q182"/>
    <mergeCell ref="F183:I183"/>
    <mergeCell ref="N201:Q201"/>
    <mergeCell ref="F202:I202"/>
    <mergeCell ref="N202:Q202"/>
    <mergeCell ref="F186:I186"/>
    <mergeCell ref="F189:I189"/>
    <mergeCell ref="N189:Q189"/>
    <mergeCell ref="F190:I190"/>
    <mergeCell ref="N199:Q199"/>
    <mergeCell ref="F187:I187"/>
    <mergeCell ref="N187:Q187"/>
    <mergeCell ref="F188:I188"/>
    <mergeCell ref="F191:I191"/>
    <mergeCell ref="N191:Q191"/>
    <mergeCell ref="F192:I192"/>
    <mergeCell ref="F193:I193"/>
    <mergeCell ref="N193:Q193"/>
    <mergeCell ref="F200:I200"/>
    <mergeCell ref="N200:Q200"/>
    <mergeCell ref="F197:I197"/>
    <mergeCell ref="N197:Q197"/>
    <mergeCell ref="F198:I198"/>
    <mergeCell ref="F194:I194"/>
    <mergeCell ref="N195:Q195"/>
    <mergeCell ref="F196:I196"/>
    <mergeCell ref="N196:Q196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2"/>
  <sheetViews>
    <sheetView topLeftCell="A106" workbookViewId="0">
      <selection activeCell="L119" sqref="L119:M18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94</v>
      </c>
      <c r="G1" s="15"/>
      <c r="H1" s="304" t="s">
        <v>95</v>
      </c>
      <c r="I1" s="304"/>
      <c r="J1" s="304"/>
      <c r="K1" s="304"/>
      <c r="L1" s="15" t="s">
        <v>96</v>
      </c>
      <c r="M1" s="13"/>
      <c r="N1" s="13"/>
      <c r="O1" s="14" t="s">
        <v>97</v>
      </c>
      <c r="P1" s="13"/>
      <c r="Q1" s="13"/>
      <c r="R1" s="13"/>
      <c r="S1" s="15" t="s">
        <v>98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0" t="s">
        <v>90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 x14ac:dyDescent="0.3">
      <c r="B4" s="24"/>
      <c r="C4" s="246" t="s">
        <v>100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90" t="e">
        <f>#REF!</f>
        <v>#REF!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6"/>
      <c r="R6" s="25"/>
    </row>
    <row r="7" spans="1:66" s="1" customFormat="1" ht="32.85" customHeight="1" x14ac:dyDescent="0.3">
      <c r="B7" s="33"/>
      <c r="C7" s="34"/>
      <c r="D7" s="29" t="s">
        <v>101</v>
      </c>
      <c r="E7" s="34"/>
      <c r="F7" s="260" t="s">
        <v>381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92" t="e">
        <f>#REF!</f>
        <v>#REF!</v>
      </c>
      <c r="P9" s="292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59" t="s">
        <v>19</v>
      </c>
      <c r="P11" s="259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59" t="s">
        <v>19</v>
      </c>
      <c r="P12" s="259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59" t="s">
        <v>19</v>
      </c>
      <c r="P14" s="259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59" t="s">
        <v>19</v>
      </c>
      <c r="P15" s="259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59" t="s">
        <v>19</v>
      </c>
      <c r="P17" s="259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59" t="s">
        <v>19</v>
      </c>
      <c r="P18" s="259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59" t="s">
        <v>19</v>
      </c>
      <c r="P20" s="259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59" t="s">
        <v>19</v>
      </c>
      <c r="P21" s="259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54" t="s">
        <v>19</v>
      </c>
      <c r="F24" s="254"/>
      <c r="G24" s="254"/>
      <c r="H24" s="254"/>
      <c r="I24" s="254"/>
      <c r="J24" s="254"/>
      <c r="K24" s="254"/>
      <c r="L24" s="254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103</v>
      </c>
      <c r="E27" s="34"/>
      <c r="F27" s="34"/>
      <c r="G27" s="34"/>
      <c r="H27" s="34"/>
      <c r="I27" s="34"/>
      <c r="J27" s="34"/>
      <c r="K27" s="34"/>
      <c r="L27" s="34"/>
      <c r="M27" s="250">
        <f>N88</f>
        <v>0</v>
      </c>
      <c r="N27" s="250"/>
      <c r="O27" s="250"/>
      <c r="P27" s="250"/>
      <c r="Q27" s="34"/>
      <c r="R27" s="35"/>
    </row>
    <row r="28" spans="2:18" s="1" customFormat="1" ht="14.45" customHeight="1" x14ac:dyDescent="0.3">
      <c r="B28" s="33"/>
      <c r="C28" s="34"/>
      <c r="D28" s="32" t="s">
        <v>104</v>
      </c>
      <c r="E28" s="34"/>
      <c r="F28" s="34"/>
      <c r="G28" s="34"/>
      <c r="H28" s="34"/>
      <c r="I28" s="34"/>
      <c r="J28" s="34"/>
      <c r="K28" s="34"/>
      <c r="L28" s="34"/>
      <c r="M28" s="250">
        <f>N97</f>
        <v>0</v>
      </c>
      <c r="N28" s="250"/>
      <c r="O28" s="250"/>
      <c r="P28" s="250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39</v>
      </c>
      <c r="E30" s="34"/>
      <c r="F30" s="34"/>
      <c r="G30" s="34"/>
      <c r="H30" s="34"/>
      <c r="I30" s="34"/>
      <c r="J30" s="34"/>
      <c r="K30" s="34"/>
      <c r="L30" s="34"/>
      <c r="M30" s="303">
        <f>ROUND(M27+M28,2)</f>
        <v>0</v>
      </c>
      <c r="N30" s="289"/>
      <c r="O30" s="289"/>
      <c r="P30" s="289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40</v>
      </c>
      <c r="E32" s="40" t="s">
        <v>41</v>
      </c>
      <c r="F32" s="41">
        <v>0.21</v>
      </c>
      <c r="G32" s="112" t="s">
        <v>42</v>
      </c>
      <c r="H32" s="300">
        <f>ROUND((SUM(BE97:BE98)+SUM(BE116:BE181)), 2)</f>
        <v>0</v>
      </c>
      <c r="I32" s="289"/>
      <c r="J32" s="289"/>
      <c r="K32" s="34"/>
      <c r="L32" s="34"/>
      <c r="M32" s="300">
        <f>ROUND(ROUND((SUM(BE97:BE98)+SUM(BE116:BE181)), 2)*F32, 2)</f>
        <v>0</v>
      </c>
      <c r="N32" s="289"/>
      <c r="O32" s="289"/>
      <c r="P32" s="289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43</v>
      </c>
      <c r="F33" s="41">
        <v>0.15</v>
      </c>
      <c r="G33" s="112" t="s">
        <v>42</v>
      </c>
      <c r="H33" s="300">
        <f>ROUND((SUM(BF97:BF98)+SUM(BF116:BF181)), 2)</f>
        <v>0</v>
      </c>
      <c r="I33" s="289"/>
      <c r="J33" s="289"/>
      <c r="K33" s="34"/>
      <c r="L33" s="34"/>
      <c r="M33" s="300">
        <f>ROUND(ROUND((SUM(BF97:BF98)+SUM(BF116:BF181)), 2)*F33, 2)</f>
        <v>0</v>
      </c>
      <c r="N33" s="289"/>
      <c r="O33" s="289"/>
      <c r="P33" s="289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44</v>
      </c>
      <c r="F34" s="41">
        <v>0.21</v>
      </c>
      <c r="G34" s="112" t="s">
        <v>42</v>
      </c>
      <c r="H34" s="300">
        <f>ROUND((SUM(BG97:BG98)+SUM(BG116:BG181)), 2)</f>
        <v>0</v>
      </c>
      <c r="I34" s="289"/>
      <c r="J34" s="289"/>
      <c r="K34" s="34"/>
      <c r="L34" s="34"/>
      <c r="M34" s="300">
        <v>0</v>
      </c>
      <c r="N34" s="289"/>
      <c r="O34" s="289"/>
      <c r="P34" s="289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45</v>
      </c>
      <c r="F35" s="41">
        <v>0.15</v>
      </c>
      <c r="G35" s="112" t="s">
        <v>42</v>
      </c>
      <c r="H35" s="300">
        <f>ROUND((SUM(BH97:BH98)+SUM(BH116:BH181)), 2)</f>
        <v>0</v>
      </c>
      <c r="I35" s="289"/>
      <c r="J35" s="289"/>
      <c r="K35" s="34"/>
      <c r="L35" s="34"/>
      <c r="M35" s="300">
        <v>0</v>
      </c>
      <c r="N35" s="289"/>
      <c r="O35" s="289"/>
      <c r="P35" s="289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46</v>
      </c>
      <c r="F36" s="41">
        <v>0</v>
      </c>
      <c r="G36" s="112" t="s">
        <v>42</v>
      </c>
      <c r="H36" s="300">
        <f>ROUND((SUM(BI97:BI98)+SUM(BI116:BI181)), 2)</f>
        <v>0</v>
      </c>
      <c r="I36" s="289"/>
      <c r="J36" s="289"/>
      <c r="K36" s="34"/>
      <c r="L36" s="34"/>
      <c r="M36" s="300">
        <v>0</v>
      </c>
      <c r="N36" s="289"/>
      <c r="O36" s="289"/>
      <c r="P36" s="289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47</v>
      </c>
      <c r="E38" s="77"/>
      <c r="F38" s="77"/>
      <c r="G38" s="114" t="s">
        <v>48</v>
      </c>
      <c r="H38" s="115" t="s">
        <v>49</v>
      </c>
      <c r="I38" s="77"/>
      <c r="J38" s="77"/>
      <c r="K38" s="77"/>
      <c r="L38" s="301">
        <f>SUM(M30:M36)</f>
        <v>0</v>
      </c>
      <c r="M38" s="301"/>
      <c r="N38" s="301"/>
      <c r="O38" s="301"/>
      <c r="P38" s="302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50</v>
      </c>
      <c r="E50" s="49"/>
      <c r="F50" s="49"/>
      <c r="G50" s="49"/>
      <c r="H50" s="50"/>
      <c r="I50" s="34"/>
      <c r="J50" s="48" t="s">
        <v>51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52</v>
      </c>
      <c r="E59" s="54"/>
      <c r="F59" s="54"/>
      <c r="G59" s="55" t="s">
        <v>53</v>
      </c>
      <c r="H59" s="56"/>
      <c r="I59" s="34"/>
      <c r="J59" s="53" t="s">
        <v>52</v>
      </c>
      <c r="K59" s="54"/>
      <c r="L59" s="54"/>
      <c r="M59" s="54"/>
      <c r="N59" s="55" t="s">
        <v>53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54</v>
      </c>
      <c r="E61" s="49"/>
      <c r="F61" s="49"/>
      <c r="G61" s="49"/>
      <c r="H61" s="50"/>
      <c r="I61" s="34"/>
      <c r="J61" s="48" t="s">
        <v>55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52</v>
      </c>
      <c r="E70" s="54"/>
      <c r="F70" s="54"/>
      <c r="G70" s="55" t="s">
        <v>53</v>
      </c>
      <c r="H70" s="56"/>
      <c r="I70" s="34"/>
      <c r="J70" s="53" t="s">
        <v>52</v>
      </c>
      <c r="K70" s="54"/>
      <c r="L70" s="54"/>
      <c r="M70" s="54"/>
      <c r="N70" s="55" t="s">
        <v>53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6" t="s">
        <v>105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30" t="s">
        <v>17</v>
      </c>
      <c r="D78" s="34"/>
      <c r="E78" s="34"/>
      <c r="F78" s="290" t="e">
        <f>F6</f>
        <v>#REF!</v>
      </c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101</v>
      </c>
      <c r="D79" s="34"/>
      <c r="E79" s="34"/>
      <c r="F79" s="248" t="str">
        <f>F7</f>
        <v>2017082-KOVÁNEC - KOVÁNEC-LIKVIDACE VODNÍHO ZDROJE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92" t="e">
        <f>IF(O9="","",O9)</f>
        <v>#REF!</v>
      </c>
      <c r="N81" s="292"/>
      <c r="O81" s="292"/>
      <c r="P81" s="292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59" t="str">
        <f>E18</f>
        <v>ING.EVŽEN KOZÁK S.R.O.</v>
      </c>
      <c r="N83" s="259"/>
      <c r="O83" s="259"/>
      <c r="P83" s="259"/>
      <c r="Q83" s="259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59" t="str">
        <f>E21</f>
        <v>ING.EVŽEN KOZÁK</v>
      </c>
      <c r="N84" s="259"/>
      <c r="O84" s="259"/>
      <c r="P84" s="259"/>
      <c r="Q84" s="259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8" t="s">
        <v>106</v>
      </c>
      <c r="D86" s="299"/>
      <c r="E86" s="299"/>
      <c r="F86" s="299"/>
      <c r="G86" s="299"/>
      <c r="H86" s="108"/>
      <c r="I86" s="108"/>
      <c r="J86" s="108"/>
      <c r="K86" s="108"/>
      <c r="L86" s="108"/>
      <c r="M86" s="108"/>
      <c r="N86" s="298" t="s">
        <v>107</v>
      </c>
      <c r="O86" s="299"/>
      <c r="P86" s="299"/>
      <c r="Q86" s="299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108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26">
        <f>N116</f>
        <v>0</v>
      </c>
      <c r="O88" s="295"/>
      <c r="P88" s="295"/>
      <c r="Q88" s="295"/>
      <c r="R88" s="35"/>
      <c r="T88" s="119"/>
      <c r="U88" s="119"/>
      <c r="AU88" s="20" t="s">
        <v>109</v>
      </c>
    </row>
    <row r="89" spans="2:47" s="6" customFormat="1" ht="24.95" customHeight="1" x14ac:dyDescent="0.3">
      <c r="B89" s="121"/>
      <c r="C89" s="122"/>
      <c r="D89" s="123" t="s">
        <v>110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8">
        <f>N117</f>
        <v>0</v>
      </c>
      <c r="O89" s="297"/>
      <c r="P89" s="297"/>
      <c r="Q89" s="297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111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93">
        <f>N118</f>
        <v>0</v>
      </c>
      <c r="O90" s="294"/>
      <c r="P90" s="294"/>
      <c r="Q90" s="294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112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93">
        <f>N143</f>
        <v>0</v>
      </c>
      <c r="O91" s="294"/>
      <c r="P91" s="294"/>
      <c r="Q91" s="294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113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93">
        <f>N149</f>
        <v>0</v>
      </c>
      <c r="O92" s="294"/>
      <c r="P92" s="294"/>
      <c r="Q92" s="294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114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93">
        <f>N152</f>
        <v>0</v>
      </c>
      <c r="O93" s="294"/>
      <c r="P93" s="294"/>
      <c r="Q93" s="294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115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93">
        <f>N172</f>
        <v>0</v>
      </c>
      <c r="O94" s="294"/>
      <c r="P94" s="294"/>
      <c r="Q94" s="294"/>
      <c r="R94" s="129"/>
      <c r="T94" s="130"/>
      <c r="U94" s="130"/>
    </row>
    <row r="95" spans="2:47" s="7" customFormat="1" ht="19.899999999999999" customHeight="1" x14ac:dyDescent="0.3">
      <c r="B95" s="126"/>
      <c r="C95" s="127"/>
      <c r="D95" s="128" t="s">
        <v>116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93">
        <f>N178</f>
        <v>0</v>
      </c>
      <c r="O95" s="294"/>
      <c r="P95" s="294"/>
      <c r="Q95" s="294"/>
      <c r="R95" s="129"/>
      <c r="T95" s="130"/>
      <c r="U95" s="130"/>
    </row>
    <row r="96" spans="2:47" s="1" customFormat="1" ht="21.75" customHeight="1" x14ac:dyDescent="0.3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  <c r="T96" s="119"/>
      <c r="U96" s="119"/>
    </row>
    <row r="97" spans="2:21" s="1" customFormat="1" ht="29.25" customHeight="1" x14ac:dyDescent="0.3">
      <c r="B97" s="33"/>
      <c r="C97" s="120" t="s">
        <v>125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295">
        <v>0</v>
      </c>
      <c r="O97" s="296"/>
      <c r="P97" s="296"/>
      <c r="Q97" s="296"/>
      <c r="R97" s="35"/>
      <c r="T97" s="131"/>
      <c r="U97" s="132" t="s">
        <v>40</v>
      </c>
    </row>
    <row r="98" spans="2:21" s="1" customFormat="1" ht="18" customHeight="1" x14ac:dyDescent="0.3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  <c r="T98" s="119"/>
      <c r="U98" s="119"/>
    </row>
    <row r="99" spans="2:21" s="1" customFormat="1" ht="29.25" customHeight="1" x14ac:dyDescent="0.3">
      <c r="B99" s="33"/>
      <c r="C99" s="107" t="s">
        <v>93</v>
      </c>
      <c r="D99" s="108"/>
      <c r="E99" s="108"/>
      <c r="F99" s="108"/>
      <c r="G99" s="108"/>
      <c r="H99" s="108"/>
      <c r="I99" s="108"/>
      <c r="J99" s="108"/>
      <c r="K99" s="108"/>
      <c r="L99" s="222">
        <f>ROUND(SUM(N88+N97),2)</f>
        <v>0</v>
      </c>
      <c r="M99" s="222"/>
      <c r="N99" s="222"/>
      <c r="O99" s="222"/>
      <c r="P99" s="222"/>
      <c r="Q99" s="222"/>
      <c r="R99" s="35"/>
      <c r="T99" s="119"/>
      <c r="U99" s="119"/>
    </row>
    <row r="100" spans="2:21" s="1" customFormat="1" ht="6.95" customHeight="1" x14ac:dyDescent="0.3"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9"/>
      <c r="T100" s="119"/>
      <c r="U100" s="119"/>
    </row>
    <row r="104" spans="2:21" s="1" customFormat="1" ht="6.95" customHeight="1" x14ac:dyDescent="0.3"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</row>
    <row r="105" spans="2:21" s="1" customFormat="1" ht="36.950000000000003" customHeight="1" x14ac:dyDescent="0.3">
      <c r="B105" s="33"/>
      <c r="C105" s="246" t="s">
        <v>126</v>
      </c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35"/>
    </row>
    <row r="106" spans="2:21" s="1" customFormat="1" ht="6.95" customHeight="1" x14ac:dyDescent="0.3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</row>
    <row r="107" spans="2:21" s="1" customFormat="1" ht="30" customHeight="1" x14ac:dyDescent="0.3">
      <c r="B107" s="33"/>
      <c r="C107" s="30" t="s">
        <v>17</v>
      </c>
      <c r="D107" s="34"/>
      <c r="E107" s="34"/>
      <c r="F107" s="290" t="e">
        <f>F6</f>
        <v>#REF!</v>
      </c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34"/>
      <c r="R107" s="35"/>
    </row>
    <row r="108" spans="2:21" s="1" customFormat="1" ht="36.950000000000003" customHeight="1" x14ac:dyDescent="0.3">
      <c r="B108" s="33"/>
      <c r="C108" s="67" t="s">
        <v>101</v>
      </c>
      <c r="D108" s="34"/>
      <c r="E108" s="34"/>
      <c r="F108" s="248" t="str">
        <f>F7</f>
        <v>2017082-KOVÁNEC - KOVÁNEC-LIKVIDACE VODNÍHO ZDROJE</v>
      </c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34"/>
      <c r="R108" s="35"/>
    </row>
    <row r="109" spans="2:21" s="1" customFormat="1" ht="6.95" customHeight="1" x14ac:dyDescent="0.3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21" s="1" customFormat="1" ht="18" customHeight="1" x14ac:dyDescent="0.3">
      <c r="B110" s="33"/>
      <c r="C110" s="30" t="s">
        <v>21</v>
      </c>
      <c r="D110" s="34"/>
      <c r="E110" s="34"/>
      <c r="F110" s="28" t="str">
        <f>F9</f>
        <v xml:space="preserve"> </v>
      </c>
      <c r="G110" s="34"/>
      <c r="H110" s="34"/>
      <c r="I110" s="34"/>
      <c r="J110" s="34"/>
      <c r="K110" s="30" t="s">
        <v>23</v>
      </c>
      <c r="L110" s="34"/>
      <c r="M110" s="292" t="e">
        <f>IF(O9="","",O9)</f>
        <v>#REF!</v>
      </c>
      <c r="N110" s="292"/>
      <c r="O110" s="292"/>
      <c r="P110" s="292"/>
      <c r="Q110" s="34"/>
      <c r="R110" s="35"/>
    </row>
    <row r="111" spans="2:21" s="1" customFormat="1" ht="6.95" customHeight="1" x14ac:dyDescent="0.3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21" s="1" customFormat="1" ht="15" x14ac:dyDescent="0.3">
      <c r="B112" s="33"/>
      <c r="C112" s="30" t="s">
        <v>25</v>
      </c>
      <c r="D112" s="34"/>
      <c r="E112" s="34"/>
      <c r="F112" s="28" t="str">
        <f>E12</f>
        <v>VODOVODY A KANALIZACE MLADÁ BOLESLAV A.S.</v>
      </c>
      <c r="G112" s="34"/>
      <c r="H112" s="34"/>
      <c r="I112" s="34"/>
      <c r="J112" s="34"/>
      <c r="K112" s="30" t="s">
        <v>31</v>
      </c>
      <c r="L112" s="34"/>
      <c r="M112" s="259" t="str">
        <f>E18</f>
        <v>ING.EVŽEN KOZÁK S.R.O.</v>
      </c>
      <c r="N112" s="259"/>
      <c r="O112" s="259"/>
      <c r="P112" s="259"/>
      <c r="Q112" s="259"/>
      <c r="R112" s="35"/>
    </row>
    <row r="113" spans="2:65" s="1" customFormat="1" ht="14.45" customHeight="1" x14ac:dyDescent="0.3">
      <c r="B113" s="33"/>
      <c r="C113" s="30" t="s">
        <v>29</v>
      </c>
      <c r="D113" s="34"/>
      <c r="E113" s="34"/>
      <c r="F113" s="28" t="str">
        <f>IF(E15="","",E15)</f>
        <v>DLE VÝBĚROVÉHO ŘÍZENÍ</v>
      </c>
      <c r="G113" s="34"/>
      <c r="H113" s="34"/>
      <c r="I113" s="34"/>
      <c r="J113" s="34"/>
      <c r="K113" s="30" t="s">
        <v>34</v>
      </c>
      <c r="L113" s="34"/>
      <c r="M113" s="259" t="str">
        <f>E21</f>
        <v>ING.EVŽEN KOZÁK</v>
      </c>
      <c r="N113" s="259"/>
      <c r="O113" s="259"/>
      <c r="P113" s="259"/>
      <c r="Q113" s="259"/>
      <c r="R113" s="35"/>
    </row>
    <row r="114" spans="2:65" s="1" customFormat="1" ht="10.35" customHeight="1" x14ac:dyDescent="0.3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8" customFormat="1" ht="29.25" customHeight="1" x14ac:dyDescent="0.3">
      <c r="B115" s="133"/>
      <c r="C115" s="134" t="s">
        <v>127</v>
      </c>
      <c r="D115" s="135" t="s">
        <v>128</v>
      </c>
      <c r="E115" s="135" t="s">
        <v>58</v>
      </c>
      <c r="F115" s="283" t="s">
        <v>129</v>
      </c>
      <c r="G115" s="283"/>
      <c r="H115" s="283"/>
      <c r="I115" s="283"/>
      <c r="J115" s="135" t="s">
        <v>130</v>
      </c>
      <c r="K115" s="135" t="s">
        <v>131</v>
      </c>
      <c r="L115" s="283" t="s">
        <v>132</v>
      </c>
      <c r="M115" s="283"/>
      <c r="N115" s="283" t="s">
        <v>107</v>
      </c>
      <c r="O115" s="283"/>
      <c r="P115" s="283"/>
      <c r="Q115" s="284"/>
      <c r="R115" s="136"/>
      <c r="T115" s="78" t="s">
        <v>133</v>
      </c>
      <c r="U115" s="79" t="s">
        <v>40</v>
      </c>
      <c r="V115" s="79" t="s">
        <v>134</v>
      </c>
      <c r="W115" s="79" t="s">
        <v>135</v>
      </c>
      <c r="X115" s="79" t="s">
        <v>136</v>
      </c>
      <c r="Y115" s="79" t="s">
        <v>137</v>
      </c>
      <c r="Z115" s="79" t="s">
        <v>138</v>
      </c>
      <c r="AA115" s="80" t="s">
        <v>139</v>
      </c>
    </row>
    <row r="116" spans="2:65" s="1" customFormat="1" ht="29.25" customHeight="1" x14ac:dyDescent="0.35">
      <c r="B116" s="33"/>
      <c r="C116" s="82" t="s">
        <v>103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285">
        <f>BK116</f>
        <v>0</v>
      </c>
      <c r="O116" s="286"/>
      <c r="P116" s="286"/>
      <c r="Q116" s="286"/>
      <c r="R116" s="35"/>
      <c r="T116" s="81"/>
      <c r="U116" s="49"/>
      <c r="V116" s="49"/>
      <c r="W116" s="137">
        <f>W117</f>
        <v>114.95890000000001</v>
      </c>
      <c r="X116" s="49"/>
      <c r="Y116" s="137">
        <f>Y117</f>
        <v>39.198340680000001</v>
      </c>
      <c r="Z116" s="49"/>
      <c r="AA116" s="138">
        <f>AA117</f>
        <v>11.395200000000001</v>
      </c>
      <c r="AT116" s="20" t="s">
        <v>75</v>
      </c>
      <c r="AU116" s="20" t="s">
        <v>109</v>
      </c>
      <c r="BK116" s="139">
        <f>BK117</f>
        <v>0</v>
      </c>
    </row>
    <row r="117" spans="2:65" s="9" customFormat="1" ht="37.35" customHeight="1" x14ac:dyDescent="0.35">
      <c r="B117" s="140"/>
      <c r="C117" s="141"/>
      <c r="D117" s="142" t="s">
        <v>110</v>
      </c>
      <c r="E117" s="142"/>
      <c r="F117" s="142"/>
      <c r="G117" s="142"/>
      <c r="H117" s="142"/>
      <c r="I117" s="142"/>
      <c r="J117" s="142"/>
      <c r="K117" s="142"/>
      <c r="L117" s="142"/>
      <c r="M117" s="142"/>
      <c r="N117" s="287">
        <f>N118+N143+N149+N172+N178</f>
        <v>0</v>
      </c>
      <c r="O117" s="288"/>
      <c r="P117" s="288"/>
      <c r="Q117" s="288"/>
      <c r="R117" s="143"/>
      <c r="T117" s="144"/>
      <c r="U117" s="141"/>
      <c r="V117" s="141"/>
      <c r="W117" s="145">
        <f>W118+W143+W149+W152+W172+W178</f>
        <v>114.95890000000001</v>
      </c>
      <c r="X117" s="141"/>
      <c r="Y117" s="145">
        <f>Y118+Y143+Y149+Y152+Y172+Y178</f>
        <v>39.198340680000001</v>
      </c>
      <c r="Z117" s="141"/>
      <c r="AA117" s="146">
        <f>AA118+AA143+AA149+AA152+AA172+AA178</f>
        <v>11.395200000000001</v>
      </c>
      <c r="AR117" s="147" t="s">
        <v>83</v>
      </c>
      <c r="AT117" s="148" t="s">
        <v>75</v>
      </c>
      <c r="AU117" s="148" t="s">
        <v>76</v>
      </c>
      <c r="AY117" s="147" t="s">
        <v>140</v>
      </c>
      <c r="BK117" s="149">
        <f>BK118+BK143+BK149+BK152+BK172+BK178</f>
        <v>0</v>
      </c>
    </row>
    <row r="118" spans="2:65" s="9" customFormat="1" ht="19.899999999999999" customHeight="1" x14ac:dyDescent="0.3">
      <c r="B118" s="140"/>
      <c r="C118" s="141"/>
      <c r="D118" s="150" t="s">
        <v>111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269">
        <f>SUM(N119:N142)</f>
        <v>0</v>
      </c>
      <c r="O118" s="270"/>
      <c r="P118" s="270"/>
      <c r="Q118" s="270"/>
      <c r="R118" s="143"/>
      <c r="T118" s="144"/>
      <c r="U118" s="141"/>
      <c r="V118" s="141"/>
      <c r="W118" s="145">
        <f>SUM(W119:W142)</f>
        <v>36.765661000000001</v>
      </c>
      <c r="X118" s="141"/>
      <c r="Y118" s="145">
        <f>SUM(Y119:Y142)</f>
        <v>31.861799999999999</v>
      </c>
      <c r="Z118" s="141"/>
      <c r="AA118" s="146">
        <f>SUM(AA119:AA142)</f>
        <v>0</v>
      </c>
      <c r="AR118" s="147" t="s">
        <v>83</v>
      </c>
      <c r="AT118" s="148" t="s">
        <v>75</v>
      </c>
      <c r="AU118" s="148" t="s">
        <v>83</v>
      </c>
      <c r="AY118" s="147" t="s">
        <v>140</v>
      </c>
      <c r="BK118" s="149">
        <f>SUM(BK119:BK142)</f>
        <v>0</v>
      </c>
    </row>
    <row r="119" spans="2:65" s="1" customFormat="1" ht="25.5" customHeight="1" x14ac:dyDescent="0.3">
      <c r="B119" s="33"/>
      <c r="C119" s="151">
        <v>1</v>
      </c>
      <c r="D119" s="151" t="s">
        <v>141</v>
      </c>
      <c r="E119" s="152" t="s">
        <v>273</v>
      </c>
      <c r="F119" s="263" t="s">
        <v>289</v>
      </c>
      <c r="G119" s="263"/>
      <c r="H119" s="263"/>
      <c r="I119" s="263"/>
      <c r="J119" s="153" t="s">
        <v>144</v>
      </c>
      <c r="K119" s="154">
        <v>3.7130000000000001</v>
      </c>
      <c r="L119" s="327"/>
      <c r="M119" s="327"/>
      <c r="N119" s="264">
        <f>ROUND(L119*K119,2)</f>
        <v>0</v>
      </c>
      <c r="O119" s="264"/>
      <c r="P119" s="264"/>
      <c r="Q119" s="264"/>
      <c r="R119" s="35"/>
      <c r="T119" s="155" t="s">
        <v>19</v>
      </c>
      <c r="U119" s="42" t="s">
        <v>41</v>
      </c>
      <c r="V119" s="156">
        <v>6.0620000000000003</v>
      </c>
      <c r="W119" s="156">
        <f>V119*K119</f>
        <v>22.508206000000001</v>
      </c>
      <c r="X119" s="156">
        <v>0</v>
      </c>
      <c r="Y119" s="156">
        <f>X119*K119</f>
        <v>0</v>
      </c>
      <c r="Z119" s="156">
        <v>0</v>
      </c>
      <c r="AA119" s="157">
        <f>Z119*K119</f>
        <v>0</v>
      </c>
      <c r="AR119" s="20" t="s">
        <v>145</v>
      </c>
      <c r="AT119" s="20" t="s">
        <v>141</v>
      </c>
      <c r="AU119" s="20" t="s">
        <v>99</v>
      </c>
      <c r="AY119" s="20" t="s">
        <v>140</v>
      </c>
      <c r="BE119" s="158">
        <f>IF(U119="základní",N119,0)</f>
        <v>0</v>
      </c>
      <c r="BF119" s="158">
        <f>IF(U119="snížená",N119,0)</f>
        <v>0</v>
      </c>
      <c r="BG119" s="158">
        <f>IF(U119="zákl. přenesená",N119,0)</f>
        <v>0</v>
      </c>
      <c r="BH119" s="158">
        <f>IF(U119="sníž. přenesená",N119,0)</f>
        <v>0</v>
      </c>
      <c r="BI119" s="158">
        <f>IF(U119="nulová",N119,0)</f>
        <v>0</v>
      </c>
      <c r="BJ119" s="20" t="s">
        <v>83</v>
      </c>
      <c r="BK119" s="158">
        <f>ROUND(L119*K119,2)</f>
        <v>0</v>
      </c>
      <c r="BL119" s="20" t="s">
        <v>145</v>
      </c>
      <c r="BM119" s="20" t="s">
        <v>382</v>
      </c>
    </row>
    <row r="120" spans="2:65" s="10" customFormat="1" ht="16.5" customHeight="1" x14ac:dyDescent="0.3">
      <c r="B120" s="159"/>
      <c r="C120" s="160"/>
      <c r="D120" s="160"/>
      <c r="E120" s="161" t="s">
        <v>19</v>
      </c>
      <c r="F120" s="267" t="s">
        <v>274</v>
      </c>
      <c r="G120" s="268"/>
      <c r="H120" s="268"/>
      <c r="I120" s="268"/>
      <c r="J120" s="160"/>
      <c r="K120" s="162">
        <v>3.7130000000000001</v>
      </c>
      <c r="L120" s="329"/>
      <c r="M120" s="329"/>
      <c r="N120" s="160"/>
      <c r="O120" s="160"/>
      <c r="P120" s="160"/>
      <c r="Q120" s="160"/>
      <c r="R120" s="163"/>
      <c r="T120" s="164"/>
      <c r="U120" s="160"/>
      <c r="V120" s="160"/>
      <c r="W120" s="160"/>
      <c r="X120" s="160"/>
      <c r="Y120" s="160"/>
      <c r="Z120" s="160"/>
      <c r="AA120" s="165"/>
      <c r="AT120" s="166" t="s">
        <v>148</v>
      </c>
      <c r="AU120" s="166" t="s">
        <v>99</v>
      </c>
      <c r="AV120" s="10" t="s">
        <v>99</v>
      </c>
      <c r="AW120" s="10" t="s">
        <v>33</v>
      </c>
      <c r="AX120" s="10" t="s">
        <v>83</v>
      </c>
      <c r="AY120" s="166" t="s">
        <v>140</v>
      </c>
    </row>
    <row r="121" spans="2:65" s="1" customFormat="1" ht="38.25" customHeight="1" x14ac:dyDescent="0.3">
      <c r="B121" s="33"/>
      <c r="C121" s="151">
        <v>2</v>
      </c>
      <c r="D121" s="151" t="s">
        <v>141</v>
      </c>
      <c r="E121" s="152" t="s">
        <v>275</v>
      </c>
      <c r="F121" s="263" t="s">
        <v>276</v>
      </c>
      <c r="G121" s="263"/>
      <c r="H121" s="263"/>
      <c r="I121" s="263"/>
      <c r="J121" s="153" t="s">
        <v>144</v>
      </c>
      <c r="K121" s="154">
        <v>6.72</v>
      </c>
      <c r="L121" s="327"/>
      <c r="M121" s="327"/>
      <c r="N121" s="264">
        <f>ROUND(L121*K121,2)</f>
        <v>0</v>
      </c>
      <c r="O121" s="264"/>
      <c r="P121" s="264"/>
      <c r="Q121" s="264"/>
      <c r="R121" s="35"/>
      <c r="T121" s="155" t="s">
        <v>19</v>
      </c>
      <c r="U121" s="42" t="s">
        <v>41</v>
      </c>
      <c r="V121" s="156">
        <v>8.3000000000000004E-2</v>
      </c>
      <c r="W121" s="156">
        <f>V121*K121</f>
        <v>0.55776000000000003</v>
      </c>
      <c r="X121" s="156">
        <v>0</v>
      </c>
      <c r="Y121" s="156">
        <f>X121*K121</f>
        <v>0</v>
      </c>
      <c r="Z121" s="156">
        <v>0</v>
      </c>
      <c r="AA121" s="157">
        <f>Z121*K121</f>
        <v>0</v>
      </c>
      <c r="AR121" s="20" t="s">
        <v>145</v>
      </c>
      <c r="AT121" s="20" t="s">
        <v>141</v>
      </c>
      <c r="AU121" s="20" t="s">
        <v>99</v>
      </c>
      <c r="AY121" s="20" t="s">
        <v>140</v>
      </c>
      <c r="BE121" s="158">
        <f>IF(U121="základní",N121,0)</f>
        <v>0</v>
      </c>
      <c r="BF121" s="158">
        <f>IF(U121="snížená",N121,0)</f>
        <v>0</v>
      </c>
      <c r="BG121" s="158">
        <f>IF(U121="zákl. přenesená",N121,0)</f>
        <v>0</v>
      </c>
      <c r="BH121" s="158">
        <f>IF(U121="sníž. přenesená",N121,0)</f>
        <v>0</v>
      </c>
      <c r="BI121" s="158">
        <f>IF(U121="nulová",N121,0)</f>
        <v>0</v>
      </c>
      <c r="BJ121" s="20" t="s">
        <v>83</v>
      </c>
      <c r="BK121" s="158">
        <f>ROUND(L121*K121,2)</f>
        <v>0</v>
      </c>
      <c r="BL121" s="20" t="s">
        <v>145</v>
      </c>
      <c r="BM121" s="20" t="s">
        <v>383</v>
      </c>
    </row>
    <row r="122" spans="2:65" s="10" customFormat="1" ht="16.5" customHeight="1" x14ac:dyDescent="0.3">
      <c r="B122" s="159"/>
      <c r="C122" s="160"/>
      <c r="D122" s="160"/>
      <c r="E122" s="161" t="s">
        <v>19</v>
      </c>
      <c r="F122" s="267" t="s">
        <v>384</v>
      </c>
      <c r="G122" s="268"/>
      <c r="H122" s="268"/>
      <c r="I122" s="268"/>
      <c r="J122" s="160"/>
      <c r="K122" s="162">
        <v>6.72</v>
      </c>
      <c r="L122" s="329"/>
      <c r="M122" s="329"/>
      <c r="N122" s="160"/>
      <c r="O122" s="160"/>
      <c r="P122" s="160"/>
      <c r="Q122" s="160"/>
      <c r="R122" s="163"/>
      <c r="T122" s="164"/>
      <c r="U122" s="160"/>
      <c r="V122" s="160"/>
      <c r="W122" s="160"/>
      <c r="X122" s="160"/>
      <c r="Y122" s="160"/>
      <c r="Z122" s="160"/>
      <c r="AA122" s="165"/>
      <c r="AT122" s="166" t="s">
        <v>148</v>
      </c>
      <c r="AU122" s="166" t="s">
        <v>99</v>
      </c>
      <c r="AV122" s="10" t="s">
        <v>99</v>
      </c>
      <c r="AW122" s="10" t="s">
        <v>33</v>
      </c>
      <c r="AX122" s="10" t="s">
        <v>83</v>
      </c>
      <c r="AY122" s="166" t="s">
        <v>140</v>
      </c>
    </row>
    <row r="123" spans="2:65" s="1" customFormat="1" ht="51" customHeight="1" x14ac:dyDescent="0.3">
      <c r="B123" s="33"/>
      <c r="C123" s="151">
        <v>3</v>
      </c>
      <c r="D123" s="151" t="s">
        <v>141</v>
      </c>
      <c r="E123" s="152" t="s">
        <v>277</v>
      </c>
      <c r="F123" s="263" t="s">
        <v>278</v>
      </c>
      <c r="G123" s="263"/>
      <c r="H123" s="263"/>
      <c r="I123" s="263"/>
      <c r="J123" s="153" t="s">
        <v>144</v>
      </c>
      <c r="K123" s="154">
        <f>K125</f>
        <v>67.2</v>
      </c>
      <c r="L123" s="327"/>
      <c r="M123" s="327"/>
      <c r="N123" s="264">
        <f>ROUND(L123*K123,2)</f>
        <v>0</v>
      </c>
      <c r="O123" s="264"/>
      <c r="P123" s="264"/>
      <c r="Q123" s="264"/>
      <c r="R123" s="35"/>
      <c r="T123" s="155" t="s">
        <v>19</v>
      </c>
      <c r="U123" s="42" t="s">
        <v>41</v>
      </c>
      <c r="V123" s="156">
        <v>4.0000000000000001E-3</v>
      </c>
      <c r="W123" s="156">
        <f>V123*K123</f>
        <v>0.26880000000000004</v>
      </c>
      <c r="X123" s="156">
        <v>0</v>
      </c>
      <c r="Y123" s="156">
        <f>X123*K123</f>
        <v>0</v>
      </c>
      <c r="Z123" s="156">
        <v>0</v>
      </c>
      <c r="AA123" s="157">
        <f>Z123*K123</f>
        <v>0</v>
      </c>
      <c r="AR123" s="20" t="s">
        <v>145</v>
      </c>
      <c r="AT123" s="20" t="s">
        <v>141</v>
      </c>
      <c r="AU123" s="20" t="s">
        <v>99</v>
      </c>
      <c r="AY123" s="20" t="s">
        <v>140</v>
      </c>
      <c r="BE123" s="158">
        <f>IF(U123="základní",N123,0)</f>
        <v>0</v>
      </c>
      <c r="BF123" s="158">
        <f>IF(U123="snížená",N123,0)</f>
        <v>0</v>
      </c>
      <c r="BG123" s="158">
        <f>IF(U123="zákl. přenesená",N123,0)</f>
        <v>0</v>
      </c>
      <c r="BH123" s="158">
        <f>IF(U123="sníž. přenesená",N123,0)</f>
        <v>0</v>
      </c>
      <c r="BI123" s="158">
        <f>IF(U123="nulová",N123,0)</f>
        <v>0</v>
      </c>
      <c r="BJ123" s="20" t="s">
        <v>83</v>
      </c>
      <c r="BK123" s="158">
        <f>ROUND(L123*K123,2)</f>
        <v>0</v>
      </c>
      <c r="BL123" s="20" t="s">
        <v>145</v>
      </c>
      <c r="BM123" s="20" t="s">
        <v>385</v>
      </c>
    </row>
    <row r="124" spans="2:65" s="10" customFormat="1" ht="16.5" customHeight="1" x14ac:dyDescent="0.3">
      <c r="B124" s="159"/>
      <c r="C124" s="160"/>
      <c r="D124" s="160"/>
      <c r="E124" s="161" t="s">
        <v>19</v>
      </c>
      <c r="F124" s="267" t="s">
        <v>384</v>
      </c>
      <c r="G124" s="268"/>
      <c r="H124" s="268"/>
      <c r="I124" s="268"/>
      <c r="J124" s="160"/>
      <c r="K124" s="162">
        <v>6.72</v>
      </c>
      <c r="L124" s="329"/>
      <c r="M124" s="329"/>
      <c r="N124" s="160"/>
      <c r="O124" s="160"/>
      <c r="P124" s="160"/>
      <c r="Q124" s="160"/>
      <c r="R124" s="163"/>
      <c r="T124" s="164"/>
      <c r="U124" s="160"/>
      <c r="V124" s="160"/>
      <c r="W124" s="160"/>
      <c r="X124" s="160"/>
      <c r="Y124" s="160"/>
      <c r="Z124" s="160"/>
      <c r="AA124" s="165"/>
      <c r="AT124" s="166" t="s">
        <v>148</v>
      </c>
      <c r="AU124" s="166" t="s">
        <v>99</v>
      </c>
      <c r="AV124" s="10" t="s">
        <v>99</v>
      </c>
      <c r="AW124" s="10" t="s">
        <v>33</v>
      </c>
      <c r="AX124" s="10" t="s">
        <v>76</v>
      </c>
      <c r="AY124" s="166" t="s">
        <v>140</v>
      </c>
    </row>
    <row r="125" spans="2:65" s="10" customFormat="1" ht="25.5" customHeight="1" x14ac:dyDescent="0.3">
      <c r="B125" s="159"/>
      <c r="C125" s="160"/>
      <c r="D125" s="160"/>
      <c r="E125" s="161" t="s">
        <v>19</v>
      </c>
      <c r="F125" s="279" t="s">
        <v>511</v>
      </c>
      <c r="G125" s="280"/>
      <c r="H125" s="280"/>
      <c r="I125" s="280"/>
      <c r="J125" s="160"/>
      <c r="K125" s="162">
        <f>K124*10</f>
        <v>67.2</v>
      </c>
      <c r="L125" s="329"/>
      <c r="M125" s="329"/>
      <c r="N125" s="160"/>
      <c r="O125" s="160"/>
      <c r="P125" s="160"/>
      <c r="Q125" s="160"/>
      <c r="R125" s="163"/>
      <c r="T125" s="164"/>
      <c r="U125" s="160"/>
      <c r="V125" s="160"/>
      <c r="W125" s="160"/>
      <c r="X125" s="160"/>
      <c r="Y125" s="160"/>
      <c r="Z125" s="160"/>
      <c r="AA125" s="165"/>
      <c r="AT125" s="166" t="s">
        <v>148</v>
      </c>
      <c r="AU125" s="166" t="s">
        <v>99</v>
      </c>
      <c r="AV125" s="10" t="s">
        <v>99</v>
      </c>
      <c r="AW125" s="10" t="s">
        <v>33</v>
      </c>
      <c r="AX125" s="10" t="s">
        <v>83</v>
      </c>
      <c r="AY125" s="166" t="s">
        <v>140</v>
      </c>
    </row>
    <row r="126" spans="2:65" s="10" customFormat="1" ht="16.5" customHeight="1" x14ac:dyDescent="0.3">
      <c r="B126" s="159"/>
      <c r="C126" s="192">
        <v>4</v>
      </c>
      <c r="D126" s="193"/>
      <c r="E126" s="194">
        <v>167101101</v>
      </c>
      <c r="F126" s="308" t="s">
        <v>510</v>
      </c>
      <c r="G126" s="308"/>
      <c r="H126" s="308"/>
      <c r="I126" s="308"/>
      <c r="J126" s="153" t="s">
        <v>144</v>
      </c>
      <c r="K126" s="154">
        <f>K119</f>
        <v>3.7130000000000001</v>
      </c>
      <c r="L126" s="327"/>
      <c r="M126" s="327"/>
      <c r="N126" s="264">
        <f>ROUND(L126*K126,2)</f>
        <v>0</v>
      </c>
      <c r="O126" s="264"/>
      <c r="P126" s="264"/>
      <c r="Q126" s="264"/>
      <c r="R126" s="163"/>
      <c r="T126" s="164"/>
      <c r="U126" s="190"/>
      <c r="V126" s="190"/>
      <c r="W126" s="190"/>
      <c r="X126" s="190"/>
      <c r="Y126" s="190"/>
      <c r="Z126" s="190"/>
      <c r="AA126" s="165"/>
      <c r="AT126" s="166"/>
      <c r="AU126" s="166"/>
      <c r="AY126" s="166"/>
    </row>
    <row r="127" spans="2:65" s="1" customFormat="1" ht="25.5" customHeight="1" x14ac:dyDescent="0.3">
      <c r="B127" s="33"/>
      <c r="C127" s="151">
        <v>5</v>
      </c>
      <c r="D127" s="151" t="s">
        <v>141</v>
      </c>
      <c r="E127" s="152" t="s">
        <v>142</v>
      </c>
      <c r="F127" s="263" t="s">
        <v>143</v>
      </c>
      <c r="G127" s="263"/>
      <c r="H127" s="263"/>
      <c r="I127" s="263"/>
      <c r="J127" s="153" t="s">
        <v>144</v>
      </c>
      <c r="K127" s="154">
        <f>K133</f>
        <v>22.65</v>
      </c>
      <c r="L127" s="327"/>
      <c r="M127" s="327"/>
      <c r="N127" s="264">
        <f>ROUND(L127*K127,2)</f>
        <v>0</v>
      </c>
      <c r="O127" s="264"/>
      <c r="P127" s="264"/>
      <c r="Q127" s="264"/>
      <c r="R127" s="35"/>
      <c r="T127" s="155" t="s">
        <v>19</v>
      </c>
      <c r="U127" s="42" t="s">
        <v>41</v>
      </c>
      <c r="V127" s="156">
        <v>0.29899999999999999</v>
      </c>
      <c r="W127" s="156">
        <f>V127*K127</f>
        <v>6.7723499999999994</v>
      </c>
      <c r="X127" s="156">
        <v>0</v>
      </c>
      <c r="Y127" s="156">
        <f>X127*K127</f>
        <v>0</v>
      </c>
      <c r="Z127" s="156">
        <v>0</v>
      </c>
      <c r="AA127" s="157">
        <f>Z127*K127</f>
        <v>0</v>
      </c>
      <c r="AR127" s="20" t="s">
        <v>145</v>
      </c>
      <c r="AT127" s="20" t="s">
        <v>141</v>
      </c>
      <c r="AU127" s="20" t="s">
        <v>99</v>
      </c>
      <c r="AY127" s="20" t="s">
        <v>140</v>
      </c>
      <c r="BE127" s="158">
        <f>IF(U127="základní",N127,0)</f>
        <v>0</v>
      </c>
      <c r="BF127" s="158">
        <f>IF(U127="snížená",N127,0)</f>
        <v>0</v>
      </c>
      <c r="BG127" s="158">
        <f>IF(U127="zákl. přenesená",N127,0)</f>
        <v>0</v>
      </c>
      <c r="BH127" s="158">
        <f>IF(U127="sníž. přenesená",N127,0)</f>
        <v>0</v>
      </c>
      <c r="BI127" s="158">
        <f>IF(U127="nulová",N127,0)</f>
        <v>0</v>
      </c>
      <c r="BJ127" s="20" t="s">
        <v>83</v>
      </c>
      <c r="BK127" s="158">
        <f>ROUND(L127*K127,2)</f>
        <v>0</v>
      </c>
      <c r="BL127" s="20" t="s">
        <v>145</v>
      </c>
      <c r="BM127" s="20" t="s">
        <v>386</v>
      </c>
    </row>
    <row r="128" spans="2:65" s="10" customFormat="1" ht="16.5" customHeight="1" x14ac:dyDescent="0.3">
      <c r="B128" s="159"/>
      <c r="C128" s="160"/>
      <c r="D128" s="160"/>
      <c r="E128" s="161" t="s">
        <v>19</v>
      </c>
      <c r="F128" s="267" t="s">
        <v>384</v>
      </c>
      <c r="G128" s="268"/>
      <c r="H128" s="268"/>
      <c r="I128" s="268"/>
      <c r="J128" s="160"/>
      <c r="K128" s="162">
        <v>6.72</v>
      </c>
      <c r="L128" s="329"/>
      <c r="M128" s="329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148</v>
      </c>
      <c r="AU128" s="166" t="s">
        <v>99</v>
      </c>
      <c r="AV128" s="10" t="s">
        <v>99</v>
      </c>
      <c r="AW128" s="10" t="s">
        <v>33</v>
      </c>
      <c r="AX128" s="10" t="s">
        <v>83</v>
      </c>
      <c r="AY128" s="166" t="s">
        <v>140</v>
      </c>
    </row>
    <row r="129" spans="2:65" s="10" customFormat="1" ht="25.5" customHeight="1" x14ac:dyDescent="0.3">
      <c r="B129" s="159"/>
      <c r="C129" s="160"/>
      <c r="D129" s="160"/>
      <c r="E129" s="161" t="s">
        <v>19</v>
      </c>
      <c r="F129" s="267" t="s">
        <v>388</v>
      </c>
      <c r="G129" s="268"/>
      <c r="H129" s="268"/>
      <c r="I129" s="268"/>
      <c r="J129" s="160"/>
      <c r="K129" s="162">
        <v>8.8539999999999992</v>
      </c>
      <c r="L129" s="329"/>
      <c r="M129" s="329"/>
      <c r="N129" s="160"/>
      <c r="O129" s="160"/>
      <c r="P129" s="160"/>
      <c r="Q129" s="160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148</v>
      </c>
      <c r="AU129" s="166" t="s">
        <v>99</v>
      </c>
      <c r="AV129" s="10" t="s">
        <v>99</v>
      </c>
      <c r="AW129" s="10" t="s">
        <v>33</v>
      </c>
      <c r="AX129" s="10" t="s">
        <v>76</v>
      </c>
      <c r="AY129" s="166" t="s">
        <v>140</v>
      </c>
    </row>
    <row r="130" spans="2:65" s="10" customFormat="1" ht="25.5" customHeight="1" x14ac:dyDescent="0.3">
      <c r="B130" s="159"/>
      <c r="C130" s="160"/>
      <c r="D130" s="160"/>
      <c r="E130" s="161" t="s">
        <v>19</v>
      </c>
      <c r="F130" s="279" t="s">
        <v>389</v>
      </c>
      <c r="G130" s="280"/>
      <c r="H130" s="280"/>
      <c r="I130" s="280"/>
      <c r="J130" s="160"/>
      <c r="K130" s="162">
        <v>1.53</v>
      </c>
      <c r="L130" s="329"/>
      <c r="M130" s="329"/>
      <c r="N130" s="160"/>
      <c r="O130" s="160"/>
      <c r="P130" s="160"/>
      <c r="Q130" s="160"/>
      <c r="R130" s="163"/>
      <c r="T130" s="164"/>
      <c r="U130" s="160"/>
      <c r="V130" s="160"/>
      <c r="W130" s="160"/>
      <c r="X130" s="160"/>
      <c r="Y130" s="160"/>
      <c r="Z130" s="160"/>
      <c r="AA130" s="165"/>
      <c r="AT130" s="166" t="s">
        <v>148</v>
      </c>
      <c r="AU130" s="166" t="s">
        <v>99</v>
      </c>
      <c r="AV130" s="10" t="s">
        <v>99</v>
      </c>
      <c r="AW130" s="10" t="s">
        <v>33</v>
      </c>
      <c r="AX130" s="10" t="s">
        <v>76</v>
      </c>
      <c r="AY130" s="166" t="s">
        <v>140</v>
      </c>
    </row>
    <row r="131" spans="2:65" s="10" customFormat="1" ht="25.5" customHeight="1" x14ac:dyDescent="0.3">
      <c r="B131" s="159"/>
      <c r="C131" s="160"/>
      <c r="D131" s="160"/>
      <c r="E131" s="161" t="s">
        <v>19</v>
      </c>
      <c r="F131" s="279" t="s">
        <v>390</v>
      </c>
      <c r="G131" s="280"/>
      <c r="H131" s="280"/>
      <c r="I131" s="280"/>
      <c r="J131" s="160"/>
      <c r="K131" s="162">
        <v>0.66300000000000003</v>
      </c>
      <c r="L131" s="329"/>
      <c r="M131" s="329"/>
      <c r="N131" s="160"/>
      <c r="O131" s="160"/>
      <c r="P131" s="160"/>
      <c r="Q131" s="160"/>
      <c r="R131" s="163"/>
      <c r="T131" s="164"/>
      <c r="U131" s="160"/>
      <c r="V131" s="160"/>
      <c r="W131" s="160"/>
      <c r="X131" s="160"/>
      <c r="Y131" s="160"/>
      <c r="Z131" s="160"/>
      <c r="AA131" s="165"/>
      <c r="AT131" s="166" t="s">
        <v>148</v>
      </c>
      <c r="AU131" s="166" t="s">
        <v>99</v>
      </c>
      <c r="AV131" s="10" t="s">
        <v>99</v>
      </c>
      <c r="AW131" s="10" t="s">
        <v>33</v>
      </c>
      <c r="AX131" s="10" t="s">
        <v>76</v>
      </c>
      <c r="AY131" s="166" t="s">
        <v>140</v>
      </c>
    </row>
    <row r="132" spans="2:65" s="10" customFormat="1" ht="25.5" customHeight="1" x14ac:dyDescent="0.3">
      <c r="B132" s="159"/>
      <c r="C132" s="160"/>
      <c r="D132" s="160"/>
      <c r="E132" s="161" t="s">
        <v>19</v>
      </c>
      <c r="F132" s="279" t="s">
        <v>391</v>
      </c>
      <c r="G132" s="280"/>
      <c r="H132" s="280"/>
      <c r="I132" s="280"/>
      <c r="J132" s="160"/>
      <c r="K132" s="162">
        <v>4.883</v>
      </c>
      <c r="L132" s="329"/>
      <c r="M132" s="329"/>
      <c r="N132" s="160"/>
      <c r="O132" s="160"/>
      <c r="P132" s="160"/>
      <c r="Q132" s="160"/>
      <c r="R132" s="163"/>
      <c r="T132" s="164"/>
      <c r="U132" s="160"/>
      <c r="V132" s="160"/>
      <c r="W132" s="160"/>
      <c r="X132" s="160"/>
      <c r="Y132" s="160"/>
      <c r="Z132" s="160"/>
      <c r="AA132" s="165"/>
      <c r="AT132" s="166" t="s">
        <v>148</v>
      </c>
      <c r="AU132" s="166" t="s">
        <v>99</v>
      </c>
      <c r="AV132" s="10" t="s">
        <v>99</v>
      </c>
      <c r="AW132" s="10" t="s">
        <v>33</v>
      </c>
      <c r="AX132" s="10" t="s">
        <v>76</v>
      </c>
      <c r="AY132" s="166" t="s">
        <v>140</v>
      </c>
    </row>
    <row r="133" spans="2:65" s="11" customFormat="1" ht="16.5" customHeight="1" x14ac:dyDescent="0.3">
      <c r="B133" s="167"/>
      <c r="C133" s="168"/>
      <c r="D133" s="168"/>
      <c r="E133" s="169" t="s">
        <v>19</v>
      </c>
      <c r="F133" s="281" t="s">
        <v>547</v>
      </c>
      <c r="G133" s="282"/>
      <c r="H133" s="282"/>
      <c r="I133" s="282"/>
      <c r="J133" s="168"/>
      <c r="K133" s="170">
        <f>SUM(K128:K132)</f>
        <v>22.65</v>
      </c>
      <c r="L133" s="330"/>
      <c r="M133" s="330"/>
      <c r="N133" s="168"/>
      <c r="O133" s="168"/>
      <c r="P133" s="168"/>
      <c r="Q133" s="168"/>
      <c r="R133" s="171"/>
      <c r="T133" s="172"/>
      <c r="U133" s="168"/>
      <c r="V133" s="168"/>
      <c r="W133" s="168"/>
      <c r="X133" s="168"/>
      <c r="Y133" s="168"/>
      <c r="Z133" s="168"/>
      <c r="AA133" s="173"/>
      <c r="AT133" s="174" t="s">
        <v>148</v>
      </c>
      <c r="AU133" s="174" t="s">
        <v>99</v>
      </c>
      <c r="AV133" s="11" t="s">
        <v>145</v>
      </c>
      <c r="AW133" s="11" t="s">
        <v>33</v>
      </c>
      <c r="AX133" s="11" t="s">
        <v>83</v>
      </c>
      <c r="AY133" s="174" t="s">
        <v>140</v>
      </c>
    </row>
    <row r="134" spans="2:65" s="1" customFormat="1" ht="16.5" customHeight="1" x14ac:dyDescent="0.3">
      <c r="B134" s="33"/>
      <c r="C134" s="175">
        <v>6</v>
      </c>
      <c r="D134" s="175" t="s">
        <v>152</v>
      </c>
      <c r="E134" s="176" t="s">
        <v>159</v>
      </c>
      <c r="F134" s="265" t="s">
        <v>160</v>
      </c>
      <c r="G134" s="265"/>
      <c r="H134" s="265"/>
      <c r="I134" s="265"/>
      <c r="J134" s="177" t="s">
        <v>155</v>
      </c>
      <c r="K134" s="178">
        <f>K135</f>
        <v>31.86</v>
      </c>
      <c r="L134" s="337"/>
      <c r="M134" s="337"/>
      <c r="N134" s="266">
        <f>ROUND(L134*K134,2)</f>
        <v>0</v>
      </c>
      <c r="O134" s="264"/>
      <c r="P134" s="264"/>
      <c r="Q134" s="264"/>
      <c r="R134" s="35"/>
      <c r="T134" s="155" t="s">
        <v>19</v>
      </c>
      <c r="U134" s="42" t="s">
        <v>41</v>
      </c>
      <c r="V134" s="156">
        <v>0</v>
      </c>
      <c r="W134" s="156">
        <f>V134*K134</f>
        <v>0</v>
      </c>
      <c r="X134" s="156">
        <v>1</v>
      </c>
      <c r="Y134" s="156">
        <f>X134*K134</f>
        <v>31.86</v>
      </c>
      <c r="Z134" s="156">
        <v>0</v>
      </c>
      <c r="AA134" s="157">
        <f>Z134*K134</f>
        <v>0</v>
      </c>
      <c r="AR134" s="20" t="s">
        <v>156</v>
      </c>
      <c r="AT134" s="20" t="s">
        <v>152</v>
      </c>
      <c r="AU134" s="20" t="s">
        <v>99</v>
      </c>
      <c r="AY134" s="20" t="s">
        <v>140</v>
      </c>
      <c r="BE134" s="158">
        <f>IF(U134="základní",N134,0)</f>
        <v>0</v>
      </c>
      <c r="BF134" s="158">
        <f>IF(U134="snížená",N134,0)</f>
        <v>0</v>
      </c>
      <c r="BG134" s="158">
        <f>IF(U134="zákl. přenesená",N134,0)</f>
        <v>0</v>
      </c>
      <c r="BH134" s="158">
        <f>IF(U134="sníž. přenesená",N134,0)</f>
        <v>0</v>
      </c>
      <c r="BI134" s="158">
        <f>IF(U134="nulová",N134,0)</f>
        <v>0</v>
      </c>
      <c r="BJ134" s="20" t="s">
        <v>83</v>
      </c>
      <c r="BK134" s="158">
        <f>ROUND(L134*K134,2)</f>
        <v>0</v>
      </c>
      <c r="BL134" s="20" t="s">
        <v>145</v>
      </c>
      <c r="BM134" s="20" t="s">
        <v>387</v>
      </c>
    </row>
    <row r="135" spans="2:65" s="10" customFormat="1" ht="25.5" customHeight="1" x14ac:dyDescent="0.3">
      <c r="B135" s="159"/>
      <c r="C135" s="203"/>
      <c r="D135" s="203"/>
      <c r="E135" s="161" t="s">
        <v>19</v>
      </c>
      <c r="F135" s="279" t="s">
        <v>546</v>
      </c>
      <c r="G135" s="280"/>
      <c r="H135" s="280"/>
      <c r="I135" s="280"/>
      <c r="J135" s="203"/>
      <c r="K135" s="162">
        <f>15.93*2</f>
        <v>31.86</v>
      </c>
      <c r="L135" s="329"/>
      <c r="M135" s="329"/>
      <c r="N135" s="203"/>
      <c r="O135" s="203"/>
      <c r="P135" s="203"/>
      <c r="Q135" s="203"/>
      <c r="R135" s="163"/>
      <c r="T135" s="164"/>
      <c r="U135" s="203"/>
      <c r="V135" s="203"/>
      <c r="W135" s="203"/>
      <c r="X135" s="203"/>
      <c r="Y135" s="203"/>
      <c r="Z135" s="203"/>
      <c r="AA135" s="165"/>
      <c r="AT135" s="166" t="s">
        <v>148</v>
      </c>
      <c r="AU135" s="166" t="s">
        <v>99</v>
      </c>
      <c r="AV135" s="10" t="s">
        <v>99</v>
      </c>
      <c r="AW135" s="10" t="s">
        <v>33</v>
      </c>
      <c r="AX135" s="10" t="s">
        <v>83</v>
      </c>
      <c r="AY135" s="166" t="s">
        <v>140</v>
      </c>
    </row>
    <row r="136" spans="2:65" s="1" customFormat="1" ht="38.25" customHeight="1" x14ac:dyDescent="0.3">
      <c r="B136" s="33"/>
      <c r="C136" s="151">
        <v>7</v>
      </c>
      <c r="D136" s="151" t="s">
        <v>141</v>
      </c>
      <c r="E136" s="152" t="s">
        <v>279</v>
      </c>
      <c r="F136" s="263" t="s">
        <v>280</v>
      </c>
      <c r="G136" s="263"/>
      <c r="H136" s="263"/>
      <c r="I136" s="263"/>
      <c r="J136" s="153" t="s">
        <v>144</v>
      </c>
      <c r="K136" s="154">
        <v>3.7130000000000001</v>
      </c>
      <c r="L136" s="327"/>
      <c r="M136" s="327"/>
      <c r="N136" s="264">
        <f>ROUND(L136*K136,2)</f>
        <v>0</v>
      </c>
      <c r="O136" s="264"/>
      <c r="P136" s="264"/>
      <c r="Q136" s="264"/>
      <c r="R136" s="35"/>
      <c r="T136" s="155" t="s">
        <v>19</v>
      </c>
      <c r="U136" s="42" t="s">
        <v>41</v>
      </c>
      <c r="V136" s="156">
        <v>0.46500000000000002</v>
      </c>
      <c r="W136" s="156">
        <f>V136*K136</f>
        <v>1.7265450000000002</v>
      </c>
      <c r="X136" s="156">
        <v>0</v>
      </c>
      <c r="Y136" s="156">
        <f>X136*K136</f>
        <v>0</v>
      </c>
      <c r="Z136" s="156">
        <v>0</v>
      </c>
      <c r="AA136" s="157">
        <f>Z136*K136</f>
        <v>0</v>
      </c>
      <c r="AR136" s="20" t="s">
        <v>145</v>
      </c>
      <c r="AT136" s="20" t="s">
        <v>141</v>
      </c>
      <c r="AU136" s="20" t="s">
        <v>99</v>
      </c>
      <c r="AY136" s="20" t="s">
        <v>140</v>
      </c>
      <c r="BE136" s="158">
        <f>IF(U136="základní",N136,0)</f>
        <v>0</v>
      </c>
      <c r="BF136" s="158">
        <f>IF(U136="snížená",N136,0)</f>
        <v>0</v>
      </c>
      <c r="BG136" s="158">
        <f>IF(U136="zákl. přenesená",N136,0)</f>
        <v>0</v>
      </c>
      <c r="BH136" s="158">
        <f>IF(U136="sníž. přenesená",N136,0)</f>
        <v>0</v>
      </c>
      <c r="BI136" s="158">
        <f>IF(U136="nulová",N136,0)</f>
        <v>0</v>
      </c>
      <c r="BJ136" s="20" t="s">
        <v>83</v>
      </c>
      <c r="BK136" s="158">
        <f>ROUND(L136*K136,2)</f>
        <v>0</v>
      </c>
      <c r="BL136" s="20" t="s">
        <v>145</v>
      </c>
      <c r="BM136" s="20" t="s">
        <v>392</v>
      </c>
    </row>
    <row r="137" spans="2:65" s="10" customFormat="1" ht="25.5" customHeight="1" x14ac:dyDescent="0.3">
      <c r="B137" s="159"/>
      <c r="C137" s="160"/>
      <c r="D137" s="160"/>
      <c r="E137" s="161" t="s">
        <v>19</v>
      </c>
      <c r="F137" s="267" t="s">
        <v>393</v>
      </c>
      <c r="G137" s="268"/>
      <c r="H137" s="268"/>
      <c r="I137" s="268"/>
      <c r="J137" s="160"/>
      <c r="K137" s="162">
        <v>3.7130000000000001</v>
      </c>
      <c r="L137" s="329"/>
      <c r="M137" s="329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148</v>
      </c>
      <c r="AU137" s="166" t="s">
        <v>99</v>
      </c>
      <c r="AV137" s="10" t="s">
        <v>99</v>
      </c>
      <c r="AW137" s="10" t="s">
        <v>33</v>
      </c>
      <c r="AX137" s="10" t="s">
        <v>83</v>
      </c>
      <c r="AY137" s="166" t="s">
        <v>140</v>
      </c>
    </row>
    <row r="138" spans="2:65" s="1" customFormat="1" ht="38.25" customHeight="1" x14ac:dyDescent="0.3">
      <c r="B138" s="33"/>
      <c r="C138" s="151">
        <v>8</v>
      </c>
      <c r="D138" s="151" t="s">
        <v>141</v>
      </c>
      <c r="E138" s="152" t="s">
        <v>163</v>
      </c>
      <c r="F138" s="263" t="s">
        <v>164</v>
      </c>
      <c r="G138" s="263"/>
      <c r="H138" s="263"/>
      <c r="I138" s="263"/>
      <c r="J138" s="153" t="s">
        <v>165</v>
      </c>
      <c r="K138" s="154">
        <v>36</v>
      </c>
      <c r="L138" s="327"/>
      <c r="M138" s="327"/>
      <c r="N138" s="264">
        <f>ROUND(L138*K138,2)</f>
        <v>0</v>
      </c>
      <c r="O138" s="264"/>
      <c r="P138" s="264"/>
      <c r="Q138" s="264"/>
      <c r="R138" s="35"/>
      <c r="T138" s="155" t="s">
        <v>19</v>
      </c>
      <c r="U138" s="42" t="s">
        <v>41</v>
      </c>
      <c r="V138" s="156">
        <v>0.13</v>
      </c>
      <c r="W138" s="156">
        <f>V138*K138</f>
        <v>4.68</v>
      </c>
      <c r="X138" s="156">
        <v>0</v>
      </c>
      <c r="Y138" s="156">
        <f>X138*K138</f>
        <v>0</v>
      </c>
      <c r="Z138" s="156">
        <v>0</v>
      </c>
      <c r="AA138" s="157">
        <f>Z138*K138</f>
        <v>0</v>
      </c>
      <c r="AR138" s="20" t="s">
        <v>145</v>
      </c>
      <c r="AT138" s="20" t="s">
        <v>141</v>
      </c>
      <c r="AU138" s="20" t="s">
        <v>99</v>
      </c>
      <c r="AY138" s="20" t="s">
        <v>140</v>
      </c>
      <c r="BE138" s="158">
        <f>IF(U138="základní",N138,0)</f>
        <v>0</v>
      </c>
      <c r="BF138" s="158">
        <f>IF(U138="snížená",N138,0)</f>
        <v>0</v>
      </c>
      <c r="BG138" s="158">
        <f>IF(U138="zákl. přenesená",N138,0)</f>
        <v>0</v>
      </c>
      <c r="BH138" s="158">
        <f>IF(U138="sníž. přenesená",N138,0)</f>
        <v>0</v>
      </c>
      <c r="BI138" s="158">
        <f>IF(U138="nulová",N138,0)</f>
        <v>0</v>
      </c>
      <c r="BJ138" s="20" t="s">
        <v>83</v>
      </c>
      <c r="BK138" s="158">
        <f>ROUND(L138*K138,2)</f>
        <v>0</v>
      </c>
      <c r="BL138" s="20" t="s">
        <v>145</v>
      </c>
      <c r="BM138" s="20" t="s">
        <v>394</v>
      </c>
    </row>
    <row r="139" spans="2:65" s="10" customFormat="1" ht="16.5" customHeight="1" x14ac:dyDescent="0.3">
      <c r="B139" s="159"/>
      <c r="C139" s="160"/>
      <c r="D139" s="160"/>
      <c r="E139" s="161" t="s">
        <v>19</v>
      </c>
      <c r="F139" s="267" t="s">
        <v>395</v>
      </c>
      <c r="G139" s="268"/>
      <c r="H139" s="268"/>
      <c r="I139" s="268"/>
      <c r="J139" s="160"/>
      <c r="K139" s="162">
        <v>36</v>
      </c>
      <c r="L139" s="329"/>
      <c r="M139" s="329"/>
      <c r="N139" s="160"/>
      <c r="O139" s="160"/>
      <c r="P139" s="160"/>
      <c r="Q139" s="160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148</v>
      </c>
      <c r="AU139" s="166" t="s">
        <v>99</v>
      </c>
      <c r="AV139" s="10" t="s">
        <v>99</v>
      </c>
      <c r="AW139" s="10" t="s">
        <v>33</v>
      </c>
      <c r="AX139" s="10" t="s">
        <v>83</v>
      </c>
      <c r="AY139" s="166" t="s">
        <v>140</v>
      </c>
    </row>
    <row r="140" spans="2:65" s="1" customFormat="1" ht="25.5" customHeight="1" x14ac:dyDescent="0.3">
      <c r="B140" s="33"/>
      <c r="C140" s="151">
        <v>9</v>
      </c>
      <c r="D140" s="151" t="s">
        <v>141</v>
      </c>
      <c r="E140" s="152" t="s">
        <v>169</v>
      </c>
      <c r="F140" s="263" t="s">
        <v>170</v>
      </c>
      <c r="G140" s="263"/>
      <c r="H140" s="263"/>
      <c r="I140" s="263"/>
      <c r="J140" s="153" t="s">
        <v>165</v>
      </c>
      <c r="K140" s="154">
        <v>36</v>
      </c>
      <c r="L140" s="327"/>
      <c r="M140" s="327"/>
      <c r="N140" s="264">
        <f>ROUND(L140*K140,2)</f>
        <v>0</v>
      </c>
      <c r="O140" s="264"/>
      <c r="P140" s="264"/>
      <c r="Q140" s="264"/>
      <c r="R140" s="35"/>
      <c r="T140" s="155" t="s">
        <v>19</v>
      </c>
      <c r="U140" s="42" t="s">
        <v>41</v>
      </c>
      <c r="V140" s="156">
        <v>7.0000000000000001E-3</v>
      </c>
      <c r="W140" s="156">
        <f>V140*K140</f>
        <v>0.252</v>
      </c>
      <c r="X140" s="156">
        <v>0</v>
      </c>
      <c r="Y140" s="156">
        <f>X140*K140</f>
        <v>0</v>
      </c>
      <c r="Z140" s="156">
        <v>0</v>
      </c>
      <c r="AA140" s="157">
        <f>Z140*K140</f>
        <v>0</v>
      </c>
      <c r="AR140" s="20" t="s">
        <v>145</v>
      </c>
      <c r="AT140" s="20" t="s">
        <v>141</v>
      </c>
      <c r="AU140" s="20" t="s">
        <v>99</v>
      </c>
      <c r="AY140" s="20" t="s">
        <v>140</v>
      </c>
      <c r="BE140" s="158">
        <f>IF(U140="základní",N140,0)</f>
        <v>0</v>
      </c>
      <c r="BF140" s="158">
        <f>IF(U140="snížená",N140,0)</f>
        <v>0</v>
      </c>
      <c r="BG140" s="158">
        <f>IF(U140="zákl. přenesená",N140,0)</f>
        <v>0</v>
      </c>
      <c r="BH140" s="158">
        <f>IF(U140="sníž. přenesená",N140,0)</f>
        <v>0</v>
      </c>
      <c r="BI140" s="158">
        <f>IF(U140="nulová",N140,0)</f>
        <v>0</v>
      </c>
      <c r="BJ140" s="20" t="s">
        <v>83</v>
      </c>
      <c r="BK140" s="158">
        <f>ROUND(L140*K140,2)</f>
        <v>0</v>
      </c>
      <c r="BL140" s="20" t="s">
        <v>145</v>
      </c>
      <c r="BM140" s="20" t="s">
        <v>396</v>
      </c>
    </row>
    <row r="141" spans="2:65" s="10" customFormat="1" ht="16.5" customHeight="1" x14ac:dyDescent="0.3">
      <c r="B141" s="159"/>
      <c r="C141" s="160"/>
      <c r="D141" s="160"/>
      <c r="E141" s="161" t="s">
        <v>19</v>
      </c>
      <c r="F141" s="267" t="s">
        <v>395</v>
      </c>
      <c r="G141" s="268"/>
      <c r="H141" s="268"/>
      <c r="I141" s="268"/>
      <c r="J141" s="160"/>
      <c r="K141" s="162">
        <v>36</v>
      </c>
      <c r="L141" s="329"/>
      <c r="M141" s="329"/>
      <c r="N141" s="160"/>
      <c r="O141" s="160"/>
      <c r="P141" s="160"/>
      <c r="Q141" s="160"/>
      <c r="R141" s="163"/>
      <c r="T141" s="164"/>
      <c r="U141" s="160"/>
      <c r="V141" s="160"/>
      <c r="W141" s="160"/>
      <c r="X141" s="160"/>
      <c r="Y141" s="160"/>
      <c r="Z141" s="160"/>
      <c r="AA141" s="165"/>
      <c r="AT141" s="166" t="s">
        <v>148</v>
      </c>
      <c r="AU141" s="166" t="s">
        <v>99</v>
      </c>
      <c r="AV141" s="10" t="s">
        <v>99</v>
      </c>
      <c r="AW141" s="10" t="s">
        <v>33</v>
      </c>
      <c r="AX141" s="10" t="s">
        <v>83</v>
      </c>
      <c r="AY141" s="166" t="s">
        <v>140</v>
      </c>
    </row>
    <row r="142" spans="2:65" s="1" customFormat="1" ht="16.5" customHeight="1" x14ac:dyDescent="0.3">
      <c r="B142" s="33"/>
      <c r="C142" s="175">
        <v>10</v>
      </c>
      <c r="D142" s="175" t="s">
        <v>152</v>
      </c>
      <c r="E142" s="176" t="s">
        <v>173</v>
      </c>
      <c r="F142" s="265" t="s">
        <v>174</v>
      </c>
      <c r="G142" s="265"/>
      <c r="H142" s="265"/>
      <c r="I142" s="265"/>
      <c r="J142" s="177" t="s">
        <v>175</v>
      </c>
      <c r="K142" s="178">
        <v>1.8</v>
      </c>
      <c r="L142" s="337"/>
      <c r="M142" s="337"/>
      <c r="N142" s="266">
        <f>ROUND(L142*K142,2)</f>
        <v>0</v>
      </c>
      <c r="O142" s="264"/>
      <c r="P142" s="264"/>
      <c r="Q142" s="264"/>
      <c r="R142" s="35"/>
      <c r="T142" s="155" t="s">
        <v>19</v>
      </c>
      <c r="U142" s="42" t="s">
        <v>41</v>
      </c>
      <c r="V142" s="156">
        <v>0</v>
      </c>
      <c r="W142" s="156">
        <f>V142*K142</f>
        <v>0</v>
      </c>
      <c r="X142" s="156">
        <v>1E-3</v>
      </c>
      <c r="Y142" s="156">
        <f>X142*K142</f>
        <v>1.8000000000000002E-3</v>
      </c>
      <c r="Z142" s="156">
        <v>0</v>
      </c>
      <c r="AA142" s="157">
        <f>Z142*K142</f>
        <v>0</v>
      </c>
      <c r="AR142" s="20" t="s">
        <v>156</v>
      </c>
      <c r="AT142" s="20" t="s">
        <v>152</v>
      </c>
      <c r="AU142" s="20" t="s">
        <v>99</v>
      </c>
      <c r="AY142" s="20" t="s">
        <v>140</v>
      </c>
      <c r="BE142" s="158">
        <f>IF(U142="základní",N142,0)</f>
        <v>0</v>
      </c>
      <c r="BF142" s="158">
        <f>IF(U142="snížená",N142,0)</f>
        <v>0</v>
      </c>
      <c r="BG142" s="158">
        <f>IF(U142="zákl. přenesená",N142,0)</f>
        <v>0</v>
      </c>
      <c r="BH142" s="158">
        <f>IF(U142="sníž. přenesená",N142,0)</f>
        <v>0</v>
      </c>
      <c r="BI142" s="158">
        <f>IF(U142="nulová",N142,0)</f>
        <v>0</v>
      </c>
      <c r="BJ142" s="20" t="s">
        <v>83</v>
      </c>
      <c r="BK142" s="158">
        <f>ROUND(L142*K142,2)</f>
        <v>0</v>
      </c>
      <c r="BL142" s="20" t="s">
        <v>145</v>
      </c>
      <c r="BM142" s="20" t="s">
        <v>397</v>
      </c>
    </row>
    <row r="143" spans="2:65" s="9" customFormat="1" ht="29.85" customHeight="1" x14ac:dyDescent="0.3">
      <c r="B143" s="140"/>
      <c r="C143" s="141"/>
      <c r="D143" s="150" t="s">
        <v>112</v>
      </c>
      <c r="E143" s="150"/>
      <c r="F143" s="150"/>
      <c r="G143" s="150"/>
      <c r="H143" s="150"/>
      <c r="I143" s="150"/>
      <c r="J143" s="150"/>
      <c r="K143" s="150"/>
      <c r="L143" s="332"/>
      <c r="M143" s="332"/>
      <c r="N143" s="261">
        <f>SUM(N144:N148)</f>
        <v>0</v>
      </c>
      <c r="O143" s="262"/>
      <c r="P143" s="262"/>
      <c r="Q143" s="262"/>
      <c r="R143" s="143"/>
      <c r="T143" s="144"/>
      <c r="U143" s="141"/>
      <c r="V143" s="141"/>
      <c r="W143" s="145">
        <f>SUM(W144:W148)</f>
        <v>1.4915879999999999</v>
      </c>
      <c r="X143" s="141"/>
      <c r="Y143" s="145">
        <f>SUM(Y144:Y148)</f>
        <v>6.0371618799999993</v>
      </c>
      <c r="Z143" s="141"/>
      <c r="AA143" s="146">
        <f>SUM(AA144:AA148)</f>
        <v>0</v>
      </c>
      <c r="AR143" s="147" t="s">
        <v>83</v>
      </c>
      <c r="AT143" s="148" t="s">
        <v>75</v>
      </c>
      <c r="AU143" s="148" t="s">
        <v>83</v>
      </c>
      <c r="AY143" s="147" t="s">
        <v>140</v>
      </c>
      <c r="BK143" s="149">
        <f>SUM(BK144:BK148)</f>
        <v>0</v>
      </c>
    </row>
    <row r="144" spans="2:65" s="1" customFormat="1" ht="16.5" customHeight="1" x14ac:dyDescent="0.3">
      <c r="B144" s="33"/>
      <c r="C144" s="151">
        <v>11</v>
      </c>
      <c r="D144" s="151" t="s">
        <v>141</v>
      </c>
      <c r="E144" s="152" t="s">
        <v>177</v>
      </c>
      <c r="F144" s="263" t="s">
        <v>178</v>
      </c>
      <c r="G144" s="263"/>
      <c r="H144" s="263"/>
      <c r="I144" s="263"/>
      <c r="J144" s="153" t="s">
        <v>144</v>
      </c>
      <c r="K144" s="154">
        <v>2.1320000000000001</v>
      </c>
      <c r="L144" s="327"/>
      <c r="M144" s="327"/>
      <c r="N144" s="264">
        <f>ROUND(L144*K144,2)</f>
        <v>0</v>
      </c>
      <c r="O144" s="264"/>
      <c r="P144" s="264"/>
      <c r="Q144" s="264"/>
      <c r="R144" s="35"/>
      <c r="T144" s="155" t="s">
        <v>19</v>
      </c>
      <c r="U144" s="42" t="s">
        <v>41</v>
      </c>
      <c r="V144" s="156">
        <v>0.58399999999999996</v>
      </c>
      <c r="W144" s="156">
        <f>V144*K144</f>
        <v>1.245088</v>
      </c>
      <c r="X144" s="156">
        <v>2.2563399999999998</v>
      </c>
      <c r="Y144" s="156">
        <f>X144*K144</f>
        <v>4.8105168799999998</v>
      </c>
      <c r="Z144" s="156">
        <v>0</v>
      </c>
      <c r="AA144" s="157">
        <f>Z144*K144</f>
        <v>0</v>
      </c>
      <c r="AR144" s="20" t="s">
        <v>145</v>
      </c>
      <c r="AT144" s="20" t="s">
        <v>141</v>
      </c>
      <c r="AU144" s="20" t="s">
        <v>99</v>
      </c>
      <c r="AY144" s="20" t="s">
        <v>140</v>
      </c>
      <c r="BE144" s="158">
        <f>IF(U144="základní",N144,0)</f>
        <v>0</v>
      </c>
      <c r="BF144" s="158">
        <f>IF(U144="snížená",N144,0)</f>
        <v>0</v>
      </c>
      <c r="BG144" s="158">
        <f>IF(U144="zákl. přenesená",N144,0)</f>
        <v>0</v>
      </c>
      <c r="BH144" s="158">
        <f>IF(U144="sníž. přenesená",N144,0)</f>
        <v>0</v>
      </c>
      <c r="BI144" s="158">
        <f>IF(U144="nulová",N144,0)</f>
        <v>0</v>
      </c>
      <c r="BJ144" s="20" t="s">
        <v>83</v>
      </c>
      <c r="BK144" s="158">
        <f>ROUND(L144*K144,2)</f>
        <v>0</v>
      </c>
      <c r="BL144" s="20" t="s">
        <v>145</v>
      </c>
      <c r="BM144" s="20" t="s">
        <v>398</v>
      </c>
    </row>
    <row r="145" spans="2:65" s="10" customFormat="1" ht="25.5" customHeight="1" x14ac:dyDescent="0.3">
      <c r="B145" s="159"/>
      <c r="C145" s="160"/>
      <c r="D145" s="160"/>
      <c r="E145" s="161" t="s">
        <v>19</v>
      </c>
      <c r="F145" s="267" t="s">
        <v>399</v>
      </c>
      <c r="G145" s="268"/>
      <c r="H145" s="268"/>
      <c r="I145" s="268"/>
      <c r="J145" s="160"/>
      <c r="K145" s="162">
        <v>1.6279999999999999</v>
      </c>
      <c r="L145" s="329"/>
      <c r="M145" s="329"/>
      <c r="N145" s="160"/>
      <c r="O145" s="160"/>
      <c r="P145" s="160"/>
      <c r="Q145" s="160"/>
      <c r="R145" s="163"/>
      <c r="T145" s="164"/>
      <c r="U145" s="160"/>
      <c r="V145" s="160"/>
      <c r="W145" s="160"/>
      <c r="X145" s="160"/>
      <c r="Y145" s="160"/>
      <c r="Z145" s="160"/>
      <c r="AA145" s="165"/>
      <c r="AT145" s="166" t="s">
        <v>148</v>
      </c>
      <c r="AU145" s="166" t="s">
        <v>99</v>
      </c>
      <c r="AV145" s="10" t="s">
        <v>99</v>
      </c>
      <c r="AW145" s="10" t="s">
        <v>33</v>
      </c>
      <c r="AX145" s="10" t="s">
        <v>76</v>
      </c>
      <c r="AY145" s="166" t="s">
        <v>140</v>
      </c>
    </row>
    <row r="146" spans="2:65" s="10" customFormat="1" ht="16.5" customHeight="1" x14ac:dyDescent="0.3">
      <c r="B146" s="159"/>
      <c r="C146" s="160"/>
      <c r="D146" s="160"/>
      <c r="E146" s="161" t="s">
        <v>19</v>
      </c>
      <c r="F146" s="279" t="s">
        <v>400</v>
      </c>
      <c r="G146" s="280"/>
      <c r="H146" s="280"/>
      <c r="I146" s="280"/>
      <c r="J146" s="160"/>
      <c r="K146" s="162">
        <v>0.504</v>
      </c>
      <c r="L146" s="329"/>
      <c r="M146" s="329"/>
      <c r="N146" s="160"/>
      <c r="O146" s="160"/>
      <c r="P146" s="160"/>
      <c r="Q146" s="160"/>
      <c r="R146" s="163"/>
      <c r="T146" s="164"/>
      <c r="U146" s="160"/>
      <c r="V146" s="160"/>
      <c r="W146" s="160"/>
      <c r="X146" s="160"/>
      <c r="Y146" s="160"/>
      <c r="Z146" s="160"/>
      <c r="AA146" s="165"/>
      <c r="AT146" s="166" t="s">
        <v>148</v>
      </c>
      <c r="AU146" s="166" t="s">
        <v>99</v>
      </c>
      <c r="AV146" s="10" t="s">
        <v>99</v>
      </c>
      <c r="AW146" s="10" t="s">
        <v>33</v>
      </c>
      <c r="AX146" s="10" t="s">
        <v>76</v>
      </c>
      <c r="AY146" s="166" t="s">
        <v>140</v>
      </c>
    </row>
    <row r="147" spans="2:65" s="11" customFormat="1" ht="16.5" customHeight="1" x14ac:dyDescent="0.3">
      <c r="B147" s="167"/>
      <c r="C147" s="168"/>
      <c r="D147" s="168"/>
      <c r="E147" s="169" t="s">
        <v>19</v>
      </c>
      <c r="F147" s="281" t="s">
        <v>151</v>
      </c>
      <c r="G147" s="282"/>
      <c r="H147" s="282"/>
      <c r="I147" s="282"/>
      <c r="J147" s="168"/>
      <c r="K147" s="170">
        <v>2.1320000000000001</v>
      </c>
      <c r="L147" s="330"/>
      <c r="M147" s="330"/>
      <c r="N147" s="168"/>
      <c r="O147" s="168"/>
      <c r="P147" s="168"/>
      <c r="Q147" s="168"/>
      <c r="R147" s="171"/>
      <c r="T147" s="172"/>
      <c r="U147" s="168"/>
      <c r="V147" s="168"/>
      <c r="W147" s="168"/>
      <c r="X147" s="168"/>
      <c r="Y147" s="168"/>
      <c r="Z147" s="168"/>
      <c r="AA147" s="173"/>
      <c r="AT147" s="174" t="s">
        <v>148</v>
      </c>
      <c r="AU147" s="174" t="s">
        <v>99</v>
      </c>
      <c r="AV147" s="11" t="s">
        <v>145</v>
      </c>
      <c r="AW147" s="11" t="s">
        <v>33</v>
      </c>
      <c r="AX147" s="11" t="s">
        <v>83</v>
      </c>
      <c r="AY147" s="174" t="s">
        <v>140</v>
      </c>
    </row>
    <row r="148" spans="2:65" s="1" customFormat="1" ht="25.5" customHeight="1" x14ac:dyDescent="0.3">
      <c r="B148" s="33"/>
      <c r="C148" s="151">
        <v>12</v>
      </c>
      <c r="D148" s="151" t="s">
        <v>141</v>
      </c>
      <c r="E148" s="152" t="s">
        <v>401</v>
      </c>
      <c r="F148" s="263" t="s">
        <v>402</v>
      </c>
      <c r="G148" s="263"/>
      <c r="H148" s="263"/>
      <c r="I148" s="263"/>
      <c r="J148" s="153" t="s">
        <v>144</v>
      </c>
      <c r="K148" s="154">
        <v>0.5</v>
      </c>
      <c r="L148" s="327"/>
      <c r="M148" s="327"/>
      <c r="N148" s="264">
        <f>ROUND(L148*K148,2)</f>
        <v>0</v>
      </c>
      <c r="O148" s="264"/>
      <c r="P148" s="264"/>
      <c r="Q148" s="264"/>
      <c r="R148" s="35"/>
      <c r="T148" s="155" t="s">
        <v>19</v>
      </c>
      <c r="U148" s="42" t="s">
        <v>41</v>
      </c>
      <c r="V148" s="156">
        <v>0.49299999999999999</v>
      </c>
      <c r="W148" s="156">
        <f>V148*K148</f>
        <v>0.2465</v>
      </c>
      <c r="X148" s="156">
        <v>2.45329</v>
      </c>
      <c r="Y148" s="156">
        <f>X148*K148</f>
        <v>1.226645</v>
      </c>
      <c r="Z148" s="156">
        <v>0</v>
      </c>
      <c r="AA148" s="157">
        <f>Z148*K148</f>
        <v>0</v>
      </c>
      <c r="AR148" s="20" t="s">
        <v>145</v>
      </c>
      <c r="AT148" s="20" t="s">
        <v>141</v>
      </c>
      <c r="AU148" s="20" t="s">
        <v>99</v>
      </c>
      <c r="AY148" s="20" t="s">
        <v>140</v>
      </c>
      <c r="BE148" s="158">
        <f>IF(U148="základní",N148,0)</f>
        <v>0</v>
      </c>
      <c r="BF148" s="158">
        <f>IF(U148="snížená",N148,0)</f>
        <v>0</v>
      </c>
      <c r="BG148" s="158">
        <f>IF(U148="zákl. přenesená",N148,0)</f>
        <v>0</v>
      </c>
      <c r="BH148" s="158">
        <f>IF(U148="sníž. přenesená",N148,0)</f>
        <v>0</v>
      </c>
      <c r="BI148" s="158">
        <f>IF(U148="nulová",N148,0)</f>
        <v>0</v>
      </c>
      <c r="BJ148" s="20" t="s">
        <v>83</v>
      </c>
      <c r="BK148" s="158">
        <f>ROUND(L148*K148,2)</f>
        <v>0</v>
      </c>
      <c r="BL148" s="20" t="s">
        <v>145</v>
      </c>
      <c r="BM148" s="20" t="s">
        <v>403</v>
      </c>
    </row>
    <row r="149" spans="2:65" s="9" customFormat="1" ht="29.85" customHeight="1" x14ac:dyDescent="0.3">
      <c r="B149" s="140"/>
      <c r="C149" s="141"/>
      <c r="D149" s="150" t="s">
        <v>113</v>
      </c>
      <c r="E149" s="150"/>
      <c r="F149" s="150"/>
      <c r="G149" s="150"/>
      <c r="H149" s="150"/>
      <c r="I149" s="150"/>
      <c r="J149" s="150"/>
      <c r="K149" s="150"/>
      <c r="L149" s="332"/>
      <c r="M149" s="332"/>
      <c r="N149" s="261">
        <f>N150</f>
        <v>0</v>
      </c>
      <c r="O149" s="262"/>
      <c r="P149" s="262"/>
      <c r="Q149" s="262"/>
      <c r="R149" s="143"/>
      <c r="T149" s="144"/>
      <c r="U149" s="141"/>
      <c r="V149" s="141"/>
      <c r="W149" s="145">
        <f>SUM(W150:W151)</f>
        <v>1.1441250000000001</v>
      </c>
      <c r="X149" s="141"/>
      <c r="Y149" s="145">
        <f>SUM(Y150:Y151)</f>
        <v>0</v>
      </c>
      <c r="Z149" s="141"/>
      <c r="AA149" s="146">
        <f>SUM(AA150:AA151)</f>
        <v>0</v>
      </c>
      <c r="AR149" s="147" t="s">
        <v>83</v>
      </c>
      <c r="AT149" s="148" t="s">
        <v>75</v>
      </c>
      <c r="AU149" s="148" t="s">
        <v>83</v>
      </c>
      <c r="AY149" s="147" t="s">
        <v>140</v>
      </c>
      <c r="BK149" s="149">
        <f>SUM(BK150:BK151)</f>
        <v>0</v>
      </c>
    </row>
    <row r="150" spans="2:65" s="1" customFormat="1" ht="25.5" customHeight="1" x14ac:dyDescent="0.3">
      <c r="B150" s="33"/>
      <c r="C150" s="151">
        <v>13</v>
      </c>
      <c r="D150" s="151" t="s">
        <v>141</v>
      </c>
      <c r="E150" s="152" t="s">
        <v>282</v>
      </c>
      <c r="F150" s="263" t="s">
        <v>308</v>
      </c>
      <c r="G150" s="263"/>
      <c r="H150" s="263"/>
      <c r="I150" s="263"/>
      <c r="J150" s="153" t="s">
        <v>144</v>
      </c>
      <c r="K150" s="154">
        <v>0.67500000000000004</v>
      </c>
      <c r="L150" s="327"/>
      <c r="M150" s="327"/>
      <c r="N150" s="264">
        <f>ROUND(L150*K150,2)</f>
        <v>0</v>
      </c>
      <c r="O150" s="264"/>
      <c r="P150" s="264"/>
      <c r="Q150" s="264"/>
      <c r="R150" s="35"/>
      <c r="T150" s="155" t="s">
        <v>19</v>
      </c>
      <c r="U150" s="42" t="s">
        <v>41</v>
      </c>
      <c r="V150" s="156">
        <v>1.6950000000000001</v>
      </c>
      <c r="W150" s="156">
        <f>V150*K150</f>
        <v>1.1441250000000001</v>
      </c>
      <c r="X150" s="156">
        <v>0</v>
      </c>
      <c r="Y150" s="156">
        <f>X150*K150</f>
        <v>0</v>
      </c>
      <c r="Z150" s="156">
        <v>0</v>
      </c>
      <c r="AA150" s="157">
        <f>Z150*K150</f>
        <v>0</v>
      </c>
      <c r="AR150" s="20" t="s">
        <v>145</v>
      </c>
      <c r="AT150" s="20" t="s">
        <v>141</v>
      </c>
      <c r="AU150" s="20" t="s">
        <v>99</v>
      </c>
      <c r="AY150" s="20" t="s">
        <v>140</v>
      </c>
      <c r="BE150" s="158">
        <f>IF(U150="základní",N150,0)</f>
        <v>0</v>
      </c>
      <c r="BF150" s="158">
        <f>IF(U150="snížená",N150,0)</f>
        <v>0</v>
      </c>
      <c r="BG150" s="158">
        <f>IF(U150="zákl. přenesená",N150,0)</f>
        <v>0</v>
      </c>
      <c r="BH150" s="158">
        <f>IF(U150="sníž. přenesená",N150,0)</f>
        <v>0</v>
      </c>
      <c r="BI150" s="158">
        <f>IF(U150="nulová",N150,0)</f>
        <v>0</v>
      </c>
      <c r="BJ150" s="20" t="s">
        <v>83</v>
      </c>
      <c r="BK150" s="158">
        <f>ROUND(L150*K150,2)</f>
        <v>0</v>
      </c>
      <c r="BL150" s="20" t="s">
        <v>145</v>
      </c>
      <c r="BM150" s="20" t="s">
        <v>404</v>
      </c>
    </row>
    <row r="151" spans="2:65" s="10" customFormat="1" ht="16.5" customHeight="1" x14ac:dyDescent="0.3">
      <c r="B151" s="159"/>
      <c r="C151" s="160"/>
      <c r="D151" s="160"/>
      <c r="E151" s="161" t="s">
        <v>19</v>
      </c>
      <c r="F151" s="267" t="s">
        <v>405</v>
      </c>
      <c r="G151" s="268"/>
      <c r="H151" s="268"/>
      <c r="I151" s="268"/>
      <c r="J151" s="160"/>
      <c r="K151" s="162">
        <v>0.67500000000000004</v>
      </c>
      <c r="L151" s="329"/>
      <c r="M151" s="329"/>
      <c r="N151" s="160"/>
      <c r="O151" s="160"/>
      <c r="P151" s="160"/>
      <c r="Q151" s="160"/>
      <c r="R151" s="163"/>
      <c r="T151" s="164"/>
      <c r="U151" s="160"/>
      <c r="V151" s="160"/>
      <c r="W151" s="160"/>
      <c r="X151" s="160"/>
      <c r="Y151" s="160"/>
      <c r="Z151" s="160"/>
      <c r="AA151" s="165"/>
      <c r="AT151" s="166" t="s">
        <v>148</v>
      </c>
      <c r="AU151" s="166" t="s">
        <v>99</v>
      </c>
      <c r="AV151" s="10" t="s">
        <v>99</v>
      </c>
      <c r="AW151" s="10" t="s">
        <v>33</v>
      </c>
      <c r="AX151" s="10" t="s">
        <v>83</v>
      </c>
      <c r="AY151" s="166" t="s">
        <v>140</v>
      </c>
    </row>
    <row r="152" spans="2:65" s="9" customFormat="1" ht="29.85" customHeight="1" x14ac:dyDescent="0.3">
      <c r="B152" s="140"/>
      <c r="C152" s="141"/>
      <c r="D152" s="150" t="s">
        <v>114</v>
      </c>
      <c r="E152" s="150"/>
      <c r="F152" s="150"/>
      <c r="G152" s="150"/>
      <c r="H152" s="150"/>
      <c r="I152" s="150"/>
      <c r="J152" s="150"/>
      <c r="K152" s="150"/>
      <c r="L152" s="332"/>
      <c r="M152" s="332"/>
      <c r="N152" s="269">
        <f>SUM(N153:N171)</f>
        <v>0</v>
      </c>
      <c r="O152" s="270"/>
      <c r="P152" s="270"/>
      <c r="Q152" s="270"/>
      <c r="R152" s="143"/>
      <c r="T152" s="144"/>
      <c r="U152" s="141"/>
      <c r="V152" s="141"/>
      <c r="W152" s="145">
        <f>SUM(W154:W171)</f>
        <v>15.052</v>
      </c>
      <c r="X152" s="141"/>
      <c r="Y152" s="145">
        <f>SUM(Y154:Y171)</f>
        <v>1.2993787999999999</v>
      </c>
      <c r="Z152" s="141"/>
      <c r="AA152" s="146">
        <f>SUM(AA154:AA171)</f>
        <v>0</v>
      </c>
      <c r="AR152" s="147" t="s">
        <v>83</v>
      </c>
      <c r="AT152" s="148" t="s">
        <v>75</v>
      </c>
      <c r="AU152" s="148" t="s">
        <v>83</v>
      </c>
      <c r="AY152" s="147" t="s">
        <v>140</v>
      </c>
      <c r="BK152" s="149">
        <f>SUM(BK154:BK171)</f>
        <v>0</v>
      </c>
    </row>
    <row r="153" spans="2:65" s="9" customFormat="1" ht="29.85" customHeight="1" x14ac:dyDescent="0.3">
      <c r="B153" s="140"/>
      <c r="C153" s="186">
        <v>14</v>
      </c>
      <c r="D153" s="186" t="s">
        <v>141</v>
      </c>
      <c r="E153" s="187"/>
      <c r="F153" s="311" t="s">
        <v>494</v>
      </c>
      <c r="G153" s="312"/>
      <c r="H153" s="312"/>
      <c r="I153" s="312"/>
      <c r="J153" s="188" t="s">
        <v>187</v>
      </c>
      <c r="K153" s="189">
        <v>1</v>
      </c>
      <c r="L153" s="313"/>
      <c r="M153" s="314"/>
      <c r="N153" s="315">
        <f>ROUND($L$630*$K$630,2)</f>
        <v>0</v>
      </c>
      <c r="O153" s="312"/>
      <c r="P153" s="312"/>
      <c r="Q153" s="312"/>
      <c r="R153" s="143"/>
      <c r="T153" s="144"/>
      <c r="U153" s="141"/>
      <c r="V153" s="141"/>
      <c r="W153" s="145"/>
      <c r="X153" s="141"/>
      <c r="Y153" s="145"/>
      <c r="Z153" s="141"/>
      <c r="AA153" s="146"/>
      <c r="AR153" s="147"/>
      <c r="AT153" s="148"/>
      <c r="AU153" s="148"/>
      <c r="AY153" s="147"/>
      <c r="BK153" s="149"/>
    </row>
    <row r="154" spans="2:65" s="1" customFormat="1" ht="16.5" customHeight="1" x14ac:dyDescent="0.3">
      <c r="B154" s="33"/>
      <c r="C154" s="175">
        <v>15</v>
      </c>
      <c r="D154" s="175" t="s">
        <v>152</v>
      </c>
      <c r="E154" s="176" t="s">
        <v>406</v>
      </c>
      <c r="F154" s="317" t="s">
        <v>407</v>
      </c>
      <c r="G154" s="317"/>
      <c r="H154" s="317"/>
      <c r="I154" s="317"/>
      <c r="J154" s="177" t="s">
        <v>187</v>
      </c>
      <c r="K154" s="178">
        <v>1</v>
      </c>
      <c r="L154" s="338"/>
      <c r="M154" s="338"/>
      <c r="N154" s="266">
        <f>ROUND(L154*K154,2)</f>
        <v>0</v>
      </c>
      <c r="O154" s="264"/>
      <c r="P154" s="264"/>
      <c r="Q154" s="264"/>
      <c r="R154" s="35"/>
      <c r="T154" s="155" t="s">
        <v>19</v>
      </c>
      <c r="U154" s="42" t="s">
        <v>41</v>
      </c>
      <c r="V154" s="156">
        <v>0</v>
      </c>
      <c r="W154" s="156">
        <f>V154*K154</f>
        <v>0</v>
      </c>
      <c r="X154" s="156">
        <v>1.2509999999999999E-3</v>
      </c>
      <c r="Y154" s="156">
        <f>X154*K154</f>
        <v>1.2509999999999999E-3</v>
      </c>
      <c r="Z154" s="156">
        <v>0</v>
      </c>
      <c r="AA154" s="157">
        <f>Z154*K154</f>
        <v>0</v>
      </c>
      <c r="AR154" s="20" t="s">
        <v>156</v>
      </c>
      <c r="AT154" s="20" t="s">
        <v>152</v>
      </c>
      <c r="AU154" s="20" t="s">
        <v>99</v>
      </c>
      <c r="AY154" s="20" t="s">
        <v>140</v>
      </c>
      <c r="BE154" s="158">
        <f>IF(U154="základní",N154,0)</f>
        <v>0</v>
      </c>
      <c r="BF154" s="158">
        <f>IF(U154="snížená",N154,0)</f>
        <v>0</v>
      </c>
      <c r="BG154" s="158">
        <f>IF(U154="zákl. přenesená",N154,0)</f>
        <v>0</v>
      </c>
      <c r="BH154" s="158">
        <f>IF(U154="sníž. přenesená",N154,0)</f>
        <v>0</v>
      </c>
      <c r="BI154" s="158">
        <f>IF(U154="nulová",N154,0)</f>
        <v>0</v>
      </c>
      <c r="BJ154" s="20" t="s">
        <v>83</v>
      </c>
      <c r="BK154" s="158">
        <f>ROUND(L154*K154,2)</f>
        <v>0</v>
      </c>
      <c r="BL154" s="20" t="s">
        <v>145</v>
      </c>
      <c r="BM154" s="20" t="s">
        <v>408</v>
      </c>
    </row>
    <row r="155" spans="2:65" s="1" customFormat="1" ht="16.5" customHeight="1" x14ac:dyDescent="0.3">
      <c r="B155" s="33"/>
      <c r="C155" s="34"/>
      <c r="D155" s="34"/>
      <c r="E155" s="34"/>
      <c r="F155" s="318" t="s">
        <v>409</v>
      </c>
      <c r="G155" s="319"/>
      <c r="H155" s="319"/>
      <c r="I155" s="319"/>
      <c r="J155" s="34"/>
      <c r="K155" s="34"/>
      <c r="L155" s="339"/>
      <c r="M155" s="339"/>
      <c r="N155" s="34"/>
      <c r="O155" s="34"/>
      <c r="P155" s="34"/>
      <c r="Q155" s="34"/>
      <c r="R155" s="35"/>
      <c r="T155" s="185"/>
      <c r="U155" s="34"/>
      <c r="V155" s="34"/>
      <c r="W155" s="34"/>
      <c r="X155" s="34"/>
      <c r="Y155" s="34"/>
      <c r="Z155" s="34"/>
      <c r="AA155" s="76"/>
      <c r="AT155" s="20" t="s">
        <v>410</v>
      </c>
      <c r="AU155" s="20" t="s">
        <v>99</v>
      </c>
    </row>
    <row r="156" spans="2:65" s="1" customFormat="1" ht="38.25" customHeight="1" x14ac:dyDescent="0.3">
      <c r="B156" s="33"/>
      <c r="C156" s="175">
        <v>16</v>
      </c>
      <c r="D156" s="175" t="s">
        <v>152</v>
      </c>
      <c r="E156" s="176" t="s">
        <v>411</v>
      </c>
      <c r="F156" s="317" t="s">
        <v>412</v>
      </c>
      <c r="G156" s="317"/>
      <c r="H156" s="317"/>
      <c r="I156" s="317"/>
      <c r="J156" s="177" t="s">
        <v>187</v>
      </c>
      <c r="K156" s="178">
        <v>1</v>
      </c>
      <c r="L156" s="338"/>
      <c r="M156" s="338"/>
      <c r="N156" s="266">
        <f t="shared" ref="N156:N171" si="0">ROUND(L156*K156,2)</f>
        <v>0</v>
      </c>
      <c r="O156" s="264"/>
      <c r="P156" s="264"/>
      <c r="Q156" s="264"/>
      <c r="R156" s="35"/>
      <c r="T156" s="155" t="s">
        <v>19</v>
      </c>
      <c r="U156" s="42" t="s">
        <v>41</v>
      </c>
      <c r="V156" s="156">
        <v>0</v>
      </c>
      <c r="W156" s="156">
        <f t="shared" ref="W156:W171" si="1">V156*K156</f>
        <v>0</v>
      </c>
      <c r="X156" s="156">
        <v>3.7000000000000002E-3</v>
      </c>
      <c r="Y156" s="156">
        <f t="shared" ref="Y156:Y171" si="2">X156*K156</f>
        <v>3.7000000000000002E-3</v>
      </c>
      <c r="Z156" s="156">
        <v>0</v>
      </c>
      <c r="AA156" s="157">
        <f t="shared" ref="AA156:AA171" si="3">Z156*K156</f>
        <v>0</v>
      </c>
      <c r="AR156" s="20" t="s">
        <v>156</v>
      </c>
      <c r="AT156" s="20" t="s">
        <v>152</v>
      </c>
      <c r="AU156" s="20" t="s">
        <v>99</v>
      </c>
      <c r="AY156" s="20" t="s">
        <v>140</v>
      </c>
      <c r="BE156" s="158">
        <f t="shared" ref="BE156:BE171" si="4">IF(U156="základní",N156,0)</f>
        <v>0</v>
      </c>
      <c r="BF156" s="158">
        <f t="shared" ref="BF156:BF171" si="5">IF(U156="snížená",N156,0)</f>
        <v>0</v>
      </c>
      <c r="BG156" s="158">
        <f t="shared" ref="BG156:BG171" si="6">IF(U156="zákl. přenesená",N156,0)</f>
        <v>0</v>
      </c>
      <c r="BH156" s="158">
        <f t="shared" ref="BH156:BH171" si="7">IF(U156="sníž. přenesená",N156,0)</f>
        <v>0</v>
      </c>
      <c r="BI156" s="158">
        <f t="shared" ref="BI156:BI171" si="8">IF(U156="nulová",N156,0)</f>
        <v>0</v>
      </c>
      <c r="BJ156" s="20" t="s">
        <v>83</v>
      </c>
      <c r="BK156" s="158">
        <f t="shared" ref="BK156:BK171" si="9">ROUND(L156*K156,2)</f>
        <v>0</v>
      </c>
      <c r="BL156" s="20" t="s">
        <v>145</v>
      </c>
      <c r="BM156" s="20" t="s">
        <v>413</v>
      </c>
    </row>
    <row r="157" spans="2:65" s="1" customFormat="1" ht="25.5" customHeight="1" x14ac:dyDescent="0.3">
      <c r="B157" s="33"/>
      <c r="C157" s="151">
        <v>17</v>
      </c>
      <c r="D157" s="151" t="s">
        <v>141</v>
      </c>
      <c r="E157" s="152" t="s">
        <v>414</v>
      </c>
      <c r="F157" s="305" t="s">
        <v>415</v>
      </c>
      <c r="G157" s="305"/>
      <c r="H157" s="305"/>
      <c r="I157" s="305"/>
      <c r="J157" s="153" t="s">
        <v>187</v>
      </c>
      <c r="K157" s="154">
        <v>1</v>
      </c>
      <c r="L157" s="340"/>
      <c r="M157" s="340"/>
      <c r="N157" s="264">
        <f t="shared" si="0"/>
        <v>0</v>
      </c>
      <c r="O157" s="264"/>
      <c r="P157" s="264"/>
      <c r="Q157" s="264"/>
      <c r="R157" s="35"/>
      <c r="T157" s="155" t="s">
        <v>19</v>
      </c>
      <c r="U157" s="42" t="s">
        <v>41</v>
      </c>
      <c r="V157" s="156">
        <v>9.1829999999999998</v>
      </c>
      <c r="W157" s="156">
        <f t="shared" si="1"/>
        <v>9.1829999999999998</v>
      </c>
      <c r="X157" s="156">
        <v>0</v>
      </c>
      <c r="Y157" s="156">
        <f t="shared" si="2"/>
        <v>0</v>
      </c>
      <c r="Z157" s="156">
        <v>0</v>
      </c>
      <c r="AA157" s="157">
        <f t="shared" si="3"/>
        <v>0</v>
      </c>
      <c r="AR157" s="20" t="s">
        <v>145</v>
      </c>
      <c r="AT157" s="20" t="s">
        <v>141</v>
      </c>
      <c r="AU157" s="20" t="s">
        <v>99</v>
      </c>
      <c r="AY157" s="20" t="s">
        <v>140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20" t="s">
        <v>83</v>
      </c>
      <c r="BK157" s="158">
        <f t="shared" si="9"/>
        <v>0</v>
      </c>
      <c r="BL157" s="20" t="s">
        <v>145</v>
      </c>
      <c r="BM157" s="20" t="s">
        <v>416</v>
      </c>
    </row>
    <row r="158" spans="2:65" s="1" customFormat="1" ht="25.5" customHeight="1" x14ac:dyDescent="0.3">
      <c r="B158" s="33"/>
      <c r="C158" s="186">
        <v>18</v>
      </c>
      <c r="D158" s="186" t="s">
        <v>141</v>
      </c>
      <c r="E158" s="187" t="s">
        <v>492</v>
      </c>
      <c r="F158" s="320" t="s">
        <v>493</v>
      </c>
      <c r="G158" s="314"/>
      <c r="H158" s="314"/>
      <c r="I158" s="314"/>
      <c r="J158" s="188" t="s">
        <v>187</v>
      </c>
      <c r="K158" s="189">
        <v>1</v>
      </c>
      <c r="L158" s="313"/>
      <c r="M158" s="314"/>
      <c r="N158" s="315">
        <f>ROUND($L$400*$K$400,2)</f>
        <v>0</v>
      </c>
      <c r="O158" s="312"/>
      <c r="P158" s="312"/>
      <c r="Q158" s="312"/>
      <c r="R158" s="35"/>
      <c r="T158" s="155"/>
      <c r="U158" s="42"/>
      <c r="V158" s="156"/>
      <c r="W158" s="156"/>
      <c r="X158" s="156"/>
      <c r="Y158" s="156"/>
      <c r="Z158" s="156"/>
      <c r="AA158" s="157"/>
      <c r="AR158" s="20"/>
      <c r="AT158" s="20"/>
      <c r="AU158" s="20"/>
      <c r="AY158" s="20"/>
      <c r="BE158" s="158"/>
      <c r="BF158" s="158"/>
      <c r="BG158" s="158"/>
      <c r="BH158" s="158"/>
      <c r="BI158" s="158"/>
      <c r="BJ158" s="20"/>
      <c r="BK158" s="158"/>
      <c r="BL158" s="20"/>
      <c r="BM158" s="20"/>
    </row>
    <row r="159" spans="2:65" s="1" customFormat="1" ht="38.25" customHeight="1" x14ac:dyDescent="0.3">
      <c r="B159" s="33"/>
      <c r="C159" s="175">
        <v>19</v>
      </c>
      <c r="D159" s="175" t="s">
        <v>152</v>
      </c>
      <c r="E159" s="176" t="s">
        <v>423</v>
      </c>
      <c r="F159" s="317" t="s">
        <v>424</v>
      </c>
      <c r="G159" s="317"/>
      <c r="H159" s="317"/>
      <c r="I159" s="317"/>
      <c r="J159" s="177" t="s">
        <v>187</v>
      </c>
      <c r="K159" s="178">
        <v>1</v>
      </c>
      <c r="L159" s="337"/>
      <c r="M159" s="337"/>
      <c r="N159" s="266">
        <f t="shared" ref="N159" si="10">ROUND(L159*K159,2)</f>
        <v>0</v>
      </c>
      <c r="O159" s="264"/>
      <c r="P159" s="264"/>
      <c r="Q159" s="264"/>
      <c r="R159" s="35"/>
      <c r="T159" s="155" t="s">
        <v>19</v>
      </c>
      <c r="U159" s="42" t="s">
        <v>41</v>
      </c>
      <c r="V159" s="156">
        <v>0</v>
      </c>
      <c r="W159" s="156">
        <f t="shared" ref="W159" si="11">V159*K159</f>
        <v>0</v>
      </c>
      <c r="X159" s="156">
        <v>1.2200000000000001E-2</v>
      </c>
      <c r="Y159" s="156">
        <f t="shared" ref="Y159" si="12">X159*K159</f>
        <v>1.2200000000000001E-2</v>
      </c>
      <c r="Z159" s="156">
        <v>0</v>
      </c>
      <c r="AA159" s="157">
        <f t="shared" ref="AA159" si="13">Z159*K159</f>
        <v>0</v>
      </c>
      <c r="AR159" s="20" t="s">
        <v>156</v>
      </c>
      <c r="AT159" s="20" t="s">
        <v>152</v>
      </c>
      <c r="AU159" s="20" t="s">
        <v>99</v>
      </c>
      <c r="AY159" s="20" t="s">
        <v>140</v>
      </c>
      <c r="BE159" s="158">
        <f t="shared" ref="BE159" si="14">IF(U159="základní",N159,0)</f>
        <v>0</v>
      </c>
      <c r="BF159" s="158">
        <f t="shared" ref="BF159" si="15">IF(U159="snížená",N159,0)</f>
        <v>0</v>
      </c>
      <c r="BG159" s="158">
        <f t="shared" ref="BG159" si="16">IF(U159="zákl. přenesená",N159,0)</f>
        <v>0</v>
      </c>
      <c r="BH159" s="158">
        <f t="shared" ref="BH159" si="17">IF(U159="sníž. přenesená",N159,0)</f>
        <v>0</v>
      </c>
      <c r="BI159" s="158">
        <f t="shared" ref="BI159" si="18">IF(U159="nulová",N159,0)</f>
        <v>0</v>
      </c>
      <c r="BJ159" s="20" t="s">
        <v>83</v>
      </c>
      <c r="BK159" s="158">
        <f t="shared" ref="BK159" si="19">ROUND(L159*K159,2)</f>
        <v>0</v>
      </c>
      <c r="BL159" s="20" t="s">
        <v>145</v>
      </c>
      <c r="BM159" s="20" t="s">
        <v>425</v>
      </c>
    </row>
    <row r="160" spans="2:65" s="1" customFormat="1" ht="25.5" customHeight="1" x14ac:dyDescent="0.3">
      <c r="B160" s="33"/>
      <c r="C160" s="151">
        <v>20</v>
      </c>
      <c r="D160" s="151" t="s">
        <v>141</v>
      </c>
      <c r="E160" s="152" t="s">
        <v>429</v>
      </c>
      <c r="F160" s="263" t="s">
        <v>430</v>
      </c>
      <c r="G160" s="263"/>
      <c r="H160" s="263"/>
      <c r="I160" s="263"/>
      <c r="J160" s="153" t="s">
        <v>187</v>
      </c>
      <c r="K160" s="154">
        <v>1</v>
      </c>
      <c r="L160" s="327"/>
      <c r="M160" s="327"/>
      <c r="N160" s="264">
        <f t="shared" si="0"/>
        <v>0</v>
      </c>
      <c r="O160" s="264"/>
      <c r="P160" s="264"/>
      <c r="Q160" s="264"/>
      <c r="R160" s="35"/>
      <c r="T160" s="155" t="s">
        <v>19</v>
      </c>
      <c r="U160" s="42" t="s">
        <v>41</v>
      </c>
      <c r="V160" s="156">
        <v>1.554</v>
      </c>
      <c r="W160" s="156">
        <f t="shared" si="1"/>
        <v>1.554</v>
      </c>
      <c r="X160" s="156">
        <v>8.0000000000000004E-4</v>
      </c>
      <c r="Y160" s="156">
        <f t="shared" si="2"/>
        <v>8.0000000000000004E-4</v>
      </c>
      <c r="Z160" s="156">
        <v>0</v>
      </c>
      <c r="AA160" s="157">
        <f t="shared" si="3"/>
        <v>0</v>
      </c>
      <c r="AR160" s="20" t="s">
        <v>145</v>
      </c>
      <c r="AT160" s="20" t="s">
        <v>141</v>
      </c>
      <c r="AU160" s="20" t="s">
        <v>99</v>
      </c>
      <c r="AY160" s="20" t="s">
        <v>140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20" t="s">
        <v>83</v>
      </c>
      <c r="BK160" s="158">
        <f t="shared" si="9"/>
        <v>0</v>
      </c>
      <c r="BL160" s="20" t="s">
        <v>145</v>
      </c>
      <c r="BM160" s="20" t="s">
        <v>431</v>
      </c>
    </row>
    <row r="161" spans="2:65" s="1" customFormat="1" ht="25.5" customHeight="1" x14ac:dyDescent="0.3">
      <c r="B161" s="33"/>
      <c r="C161" s="175">
        <v>21</v>
      </c>
      <c r="D161" s="175" t="s">
        <v>152</v>
      </c>
      <c r="E161" s="176" t="s">
        <v>426</v>
      </c>
      <c r="F161" s="316" t="s">
        <v>427</v>
      </c>
      <c r="G161" s="316"/>
      <c r="H161" s="316"/>
      <c r="I161" s="316"/>
      <c r="J161" s="177" t="s">
        <v>187</v>
      </c>
      <c r="K161" s="178">
        <v>1</v>
      </c>
      <c r="L161" s="337"/>
      <c r="M161" s="337"/>
      <c r="N161" s="266">
        <f t="shared" ref="N161:N162" si="20">ROUND(L161*K161,2)</f>
        <v>0</v>
      </c>
      <c r="O161" s="264"/>
      <c r="P161" s="264"/>
      <c r="Q161" s="264"/>
      <c r="R161" s="35"/>
      <c r="T161" s="155" t="s">
        <v>19</v>
      </c>
      <c r="U161" s="42" t="s">
        <v>41</v>
      </c>
      <c r="V161" s="156">
        <v>0</v>
      </c>
      <c r="W161" s="156">
        <f t="shared" ref="W161:W162" si="21">V161*K161</f>
        <v>0</v>
      </c>
      <c r="X161" s="156">
        <v>1.555E-2</v>
      </c>
      <c r="Y161" s="156">
        <f t="shared" ref="Y161:Y162" si="22">X161*K161</f>
        <v>1.555E-2</v>
      </c>
      <c r="Z161" s="156">
        <v>0</v>
      </c>
      <c r="AA161" s="157">
        <f t="shared" ref="AA161:AA162" si="23">Z161*K161</f>
        <v>0</v>
      </c>
      <c r="AR161" s="20" t="s">
        <v>156</v>
      </c>
      <c r="AT161" s="20" t="s">
        <v>152</v>
      </c>
      <c r="AU161" s="20" t="s">
        <v>99</v>
      </c>
      <c r="AY161" s="20" t="s">
        <v>140</v>
      </c>
      <c r="BE161" s="158">
        <f t="shared" ref="BE161:BE162" si="24">IF(U161="základní",N161,0)</f>
        <v>0</v>
      </c>
      <c r="BF161" s="158">
        <f t="shared" ref="BF161:BF162" si="25">IF(U161="snížená",N161,0)</f>
        <v>0</v>
      </c>
      <c r="BG161" s="158">
        <f t="shared" ref="BG161:BG162" si="26">IF(U161="zákl. přenesená",N161,0)</f>
        <v>0</v>
      </c>
      <c r="BH161" s="158">
        <f t="shared" ref="BH161:BH162" si="27">IF(U161="sníž. přenesená",N161,0)</f>
        <v>0</v>
      </c>
      <c r="BI161" s="158">
        <f t="shared" ref="BI161:BI162" si="28">IF(U161="nulová",N161,0)</f>
        <v>0</v>
      </c>
      <c r="BJ161" s="20" t="s">
        <v>83</v>
      </c>
      <c r="BK161" s="158">
        <f t="shared" ref="BK161:BK162" si="29">ROUND(L161*K161,2)</f>
        <v>0</v>
      </c>
      <c r="BL161" s="20" t="s">
        <v>145</v>
      </c>
      <c r="BM161" s="20" t="s">
        <v>428</v>
      </c>
    </row>
    <row r="162" spans="2:65" s="1" customFormat="1" ht="25.5" customHeight="1" x14ac:dyDescent="0.3">
      <c r="B162" s="33"/>
      <c r="C162" s="175">
        <v>22</v>
      </c>
      <c r="D162" s="175" t="s">
        <v>152</v>
      </c>
      <c r="E162" s="176" t="s">
        <v>420</v>
      </c>
      <c r="F162" s="316" t="s">
        <v>421</v>
      </c>
      <c r="G162" s="316"/>
      <c r="H162" s="316"/>
      <c r="I162" s="316"/>
      <c r="J162" s="177" t="s">
        <v>187</v>
      </c>
      <c r="K162" s="178">
        <v>1</v>
      </c>
      <c r="L162" s="337"/>
      <c r="M162" s="337"/>
      <c r="N162" s="266">
        <f t="shared" si="20"/>
        <v>0</v>
      </c>
      <c r="O162" s="264"/>
      <c r="P162" s="264"/>
      <c r="Q162" s="264"/>
      <c r="R162" s="35"/>
      <c r="T162" s="155" t="s">
        <v>19</v>
      </c>
      <c r="U162" s="42" t="s">
        <v>41</v>
      </c>
      <c r="V162" s="156">
        <v>0</v>
      </c>
      <c r="W162" s="156">
        <f t="shared" si="21"/>
        <v>0</v>
      </c>
      <c r="X162" s="156">
        <v>3.5000000000000001E-3</v>
      </c>
      <c r="Y162" s="156">
        <f t="shared" si="22"/>
        <v>3.5000000000000001E-3</v>
      </c>
      <c r="Z162" s="156">
        <v>0</v>
      </c>
      <c r="AA162" s="157">
        <f t="shared" si="23"/>
        <v>0</v>
      </c>
      <c r="AR162" s="20" t="s">
        <v>156</v>
      </c>
      <c r="AT162" s="20" t="s">
        <v>152</v>
      </c>
      <c r="AU162" s="20" t="s">
        <v>99</v>
      </c>
      <c r="AY162" s="20" t="s">
        <v>140</v>
      </c>
      <c r="BE162" s="158">
        <f t="shared" si="24"/>
        <v>0</v>
      </c>
      <c r="BF162" s="158">
        <f t="shared" si="25"/>
        <v>0</v>
      </c>
      <c r="BG162" s="158">
        <f t="shared" si="26"/>
        <v>0</v>
      </c>
      <c r="BH162" s="158">
        <f t="shared" si="27"/>
        <v>0</v>
      </c>
      <c r="BI162" s="158">
        <f t="shared" si="28"/>
        <v>0</v>
      </c>
      <c r="BJ162" s="20" t="s">
        <v>83</v>
      </c>
      <c r="BK162" s="158">
        <f t="shared" si="29"/>
        <v>0</v>
      </c>
      <c r="BL162" s="20" t="s">
        <v>145</v>
      </c>
      <c r="BM162" s="20" t="s">
        <v>422</v>
      </c>
    </row>
    <row r="163" spans="2:65" s="1" customFormat="1" ht="16.5" customHeight="1" x14ac:dyDescent="0.3">
      <c r="B163" s="33"/>
      <c r="C163" s="151">
        <v>23</v>
      </c>
      <c r="D163" s="151" t="s">
        <v>141</v>
      </c>
      <c r="E163" s="152" t="s">
        <v>432</v>
      </c>
      <c r="F163" s="263" t="s">
        <v>433</v>
      </c>
      <c r="G163" s="263"/>
      <c r="H163" s="263"/>
      <c r="I163" s="263"/>
      <c r="J163" s="153" t="s">
        <v>187</v>
      </c>
      <c r="K163" s="154">
        <v>1</v>
      </c>
      <c r="L163" s="327"/>
      <c r="M163" s="327"/>
      <c r="N163" s="264">
        <f t="shared" si="0"/>
        <v>0</v>
      </c>
      <c r="O163" s="264"/>
      <c r="P163" s="264"/>
      <c r="Q163" s="264"/>
      <c r="R163" s="35"/>
      <c r="T163" s="155" t="s">
        <v>19</v>
      </c>
      <c r="U163" s="42" t="s">
        <v>41</v>
      </c>
      <c r="V163" s="156">
        <v>0.70799999999999996</v>
      </c>
      <c r="W163" s="156">
        <f t="shared" si="1"/>
        <v>0.70799999999999996</v>
      </c>
      <c r="X163" s="156">
        <v>3.4000000000000002E-4</v>
      </c>
      <c r="Y163" s="156">
        <f t="shared" si="2"/>
        <v>3.4000000000000002E-4</v>
      </c>
      <c r="Z163" s="156">
        <v>0</v>
      </c>
      <c r="AA163" s="157">
        <f t="shared" si="3"/>
        <v>0</v>
      </c>
      <c r="AR163" s="20" t="s">
        <v>145</v>
      </c>
      <c r="AT163" s="20" t="s">
        <v>141</v>
      </c>
      <c r="AU163" s="20" t="s">
        <v>99</v>
      </c>
      <c r="AY163" s="20" t="s">
        <v>140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20" t="s">
        <v>83</v>
      </c>
      <c r="BK163" s="158">
        <f t="shared" si="9"/>
        <v>0</v>
      </c>
      <c r="BL163" s="20" t="s">
        <v>145</v>
      </c>
      <c r="BM163" s="20" t="s">
        <v>434</v>
      </c>
    </row>
    <row r="164" spans="2:65" s="1" customFormat="1" ht="25.5" customHeight="1" x14ac:dyDescent="0.3">
      <c r="B164" s="33"/>
      <c r="C164" s="175">
        <v>24</v>
      </c>
      <c r="D164" s="175" t="s">
        <v>152</v>
      </c>
      <c r="E164" s="176" t="s">
        <v>417</v>
      </c>
      <c r="F164" s="316" t="s">
        <v>418</v>
      </c>
      <c r="G164" s="316"/>
      <c r="H164" s="316"/>
      <c r="I164" s="316"/>
      <c r="J164" s="177" t="s">
        <v>187</v>
      </c>
      <c r="K164" s="178">
        <v>1</v>
      </c>
      <c r="L164" s="337"/>
      <c r="M164" s="337"/>
      <c r="N164" s="266">
        <f t="shared" si="0"/>
        <v>0</v>
      </c>
      <c r="O164" s="264"/>
      <c r="P164" s="264"/>
      <c r="Q164" s="264"/>
      <c r="R164" s="35"/>
      <c r="T164" s="155" t="s">
        <v>19</v>
      </c>
      <c r="U164" s="42" t="s">
        <v>41</v>
      </c>
      <c r="V164" s="156">
        <v>0</v>
      </c>
      <c r="W164" s="156">
        <f t="shared" si="1"/>
        <v>0</v>
      </c>
      <c r="X164" s="156">
        <v>3.2500000000000001E-2</v>
      </c>
      <c r="Y164" s="156">
        <f t="shared" si="2"/>
        <v>3.2500000000000001E-2</v>
      </c>
      <c r="Z164" s="156">
        <v>0</v>
      </c>
      <c r="AA164" s="157">
        <f t="shared" si="3"/>
        <v>0</v>
      </c>
      <c r="AR164" s="20" t="s">
        <v>156</v>
      </c>
      <c r="AT164" s="20" t="s">
        <v>152</v>
      </c>
      <c r="AU164" s="20" t="s">
        <v>99</v>
      </c>
      <c r="AY164" s="20" t="s">
        <v>140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20" t="s">
        <v>83</v>
      </c>
      <c r="BK164" s="158">
        <f t="shared" si="9"/>
        <v>0</v>
      </c>
      <c r="BL164" s="20" t="s">
        <v>145</v>
      </c>
      <c r="BM164" s="20" t="s">
        <v>419</v>
      </c>
    </row>
    <row r="165" spans="2:65" s="1" customFormat="1" ht="25.5" customHeight="1" x14ac:dyDescent="0.3">
      <c r="B165" s="33"/>
      <c r="C165" s="151">
        <v>25</v>
      </c>
      <c r="D165" s="151" t="s">
        <v>141</v>
      </c>
      <c r="E165" s="152" t="s">
        <v>435</v>
      </c>
      <c r="F165" s="263" t="s">
        <v>436</v>
      </c>
      <c r="G165" s="263"/>
      <c r="H165" s="263"/>
      <c r="I165" s="263"/>
      <c r="J165" s="153" t="s">
        <v>187</v>
      </c>
      <c r="K165" s="154">
        <v>1</v>
      </c>
      <c r="L165" s="327"/>
      <c r="M165" s="327"/>
      <c r="N165" s="264">
        <f t="shared" si="0"/>
        <v>0</v>
      </c>
      <c r="O165" s="264"/>
      <c r="P165" s="264"/>
      <c r="Q165" s="264"/>
      <c r="R165" s="35"/>
      <c r="T165" s="155" t="s">
        <v>19</v>
      </c>
      <c r="U165" s="42" t="s">
        <v>41</v>
      </c>
      <c r="V165" s="156">
        <v>1.5620000000000001</v>
      </c>
      <c r="W165" s="156">
        <f t="shared" si="1"/>
        <v>1.5620000000000001</v>
      </c>
      <c r="X165" s="156">
        <v>9.1800000000000007E-3</v>
      </c>
      <c r="Y165" s="156">
        <f t="shared" si="2"/>
        <v>9.1800000000000007E-3</v>
      </c>
      <c r="Z165" s="156">
        <v>0</v>
      </c>
      <c r="AA165" s="157">
        <f t="shared" si="3"/>
        <v>0</v>
      </c>
      <c r="AR165" s="20" t="s">
        <v>145</v>
      </c>
      <c r="AT165" s="20" t="s">
        <v>141</v>
      </c>
      <c r="AU165" s="20" t="s">
        <v>99</v>
      </c>
      <c r="AY165" s="20" t="s">
        <v>140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20" t="s">
        <v>83</v>
      </c>
      <c r="BK165" s="158">
        <f t="shared" si="9"/>
        <v>0</v>
      </c>
      <c r="BL165" s="20" t="s">
        <v>145</v>
      </c>
      <c r="BM165" s="20" t="s">
        <v>437</v>
      </c>
    </row>
    <row r="166" spans="2:65" s="1" customFormat="1" ht="25.5" customHeight="1" x14ac:dyDescent="0.3">
      <c r="B166" s="33"/>
      <c r="C166" s="175">
        <v>26</v>
      </c>
      <c r="D166" s="175" t="s">
        <v>152</v>
      </c>
      <c r="E166" s="176" t="s">
        <v>438</v>
      </c>
      <c r="F166" s="265" t="s">
        <v>439</v>
      </c>
      <c r="G166" s="265"/>
      <c r="H166" s="265"/>
      <c r="I166" s="265"/>
      <c r="J166" s="177" t="s">
        <v>187</v>
      </c>
      <c r="K166" s="178">
        <v>1</v>
      </c>
      <c r="L166" s="337"/>
      <c r="M166" s="337"/>
      <c r="N166" s="266">
        <f t="shared" si="0"/>
        <v>0</v>
      </c>
      <c r="O166" s="264"/>
      <c r="P166" s="264"/>
      <c r="Q166" s="264"/>
      <c r="R166" s="35"/>
      <c r="T166" s="155" t="s">
        <v>19</v>
      </c>
      <c r="U166" s="42" t="s">
        <v>41</v>
      </c>
      <c r="V166" s="156">
        <v>0</v>
      </c>
      <c r="W166" s="156">
        <f t="shared" si="1"/>
        <v>0</v>
      </c>
      <c r="X166" s="156">
        <v>0.5</v>
      </c>
      <c r="Y166" s="156">
        <f t="shared" si="2"/>
        <v>0.5</v>
      </c>
      <c r="Z166" s="156">
        <v>0</v>
      </c>
      <c r="AA166" s="157">
        <f t="shared" si="3"/>
        <v>0</v>
      </c>
      <c r="AR166" s="20" t="s">
        <v>156</v>
      </c>
      <c r="AT166" s="20" t="s">
        <v>152</v>
      </c>
      <c r="AU166" s="20" t="s">
        <v>99</v>
      </c>
      <c r="AY166" s="20" t="s">
        <v>140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20" t="s">
        <v>83</v>
      </c>
      <c r="BK166" s="158">
        <f t="shared" si="9"/>
        <v>0</v>
      </c>
      <c r="BL166" s="20" t="s">
        <v>145</v>
      </c>
      <c r="BM166" s="20" t="s">
        <v>440</v>
      </c>
    </row>
    <row r="167" spans="2:65" s="1" customFormat="1" ht="25.5" customHeight="1" x14ac:dyDescent="0.3">
      <c r="B167" s="33"/>
      <c r="C167" s="175">
        <v>27</v>
      </c>
      <c r="D167" s="175" t="s">
        <v>152</v>
      </c>
      <c r="E167" s="176" t="s">
        <v>441</v>
      </c>
      <c r="F167" s="265" t="s">
        <v>442</v>
      </c>
      <c r="G167" s="265"/>
      <c r="H167" s="265"/>
      <c r="I167" s="265"/>
      <c r="J167" s="177" t="s">
        <v>187</v>
      </c>
      <c r="K167" s="178">
        <v>1</v>
      </c>
      <c r="L167" s="337"/>
      <c r="M167" s="337"/>
      <c r="N167" s="266">
        <f t="shared" si="0"/>
        <v>0</v>
      </c>
      <c r="O167" s="264"/>
      <c r="P167" s="264"/>
      <c r="Q167" s="264"/>
      <c r="R167" s="35"/>
      <c r="T167" s="155" t="s">
        <v>19</v>
      </c>
      <c r="U167" s="42" t="s">
        <v>41</v>
      </c>
      <c r="V167" s="156">
        <v>0</v>
      </c>
      <c r="W167" s="156">
        <f t="shared" si="1"/>
        <v>0</v>
      </c>
      <c r="X167" s="156">
        <v>0.247</v>
      </c>
      <c r="Y167" s="156">
        <f t="shared" si="2"/>
        <v>0.247</v>
      </c>
      <c r="Z167" s="156">
        <v>0</v>
      </c>
      <c r="AA167" s="157">
        <f t="shared" si="3"/>
        <v>0</v>
      </c>
      <c r="AR167" s="20" t="s">
        <v>156</v>
      </c>
      <c r="AT167" s="20" t="s">
        <v>152</v>
      </c>
      <c r="AU167" s="20" t="s">
        <v>99</v>
      </c>
      <c r="AY167" s="20" t="s">
        <v>140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20" t="s">
        <v>83</v>
      </c>
      <c r="BK167" s="158">
        <f t="shared" si="9"/>
        <v>0</v>
      </c>
      <c r="BL167" s="20" t="s">
        <v>145</v>
      </c>
      <c r="BM167" s="20" t="s">
        <v>443</v>
      </c>
    </row>
    <row r="168" spans="2:65" s="1" customFormat="1" ht="16.5" customHeight="1" x14ac:dyDescent="0.3">
      <c r="B168" s="33"/>
      <c r="C168" s="151">
        <v>28</v>
      </c>
      <c r="D168" s="151" t="s">
        <v>141</v>
      </c>
      <c r="E168" s="152" t="s">
        <v>444</v>
      </c>
      <c r="F168" s="263" t="s">
        <v>445</v>
      </c>
      <c r="G168" s="263"/>
      <c r="H168" s="263"/>
      <c r="I168" s="263"/>
      <c r="J168" s="153" t="s">
        <v>187</v>
      </c>
      <c r="K168" s="154">
        <v>1</v>
      </c>
      <c r="L168" s="327"/>
      <c r="M168" s="327"/>
      <c r="N168" s="264">
        <f t="shared" si="0"/>
        <v>0</v>
      </c>
      <c r="O168" s="264"/>
      <c r="P168" s="264"/>
      <c r="Q168" s="264"/>
      <c r="R168" s="35"/>
      <c r="T168" s="155" t="s">
        <v>19</v>
      </c>
      <c r="U168" s="42" t="s">
        <v>41</v>
      </c>
      <c r="V168" s="156">
        <v>0.86299999999999999</v>
      </c>
      <c r="W168" s="156">
        <f t="shared" si="1"/>
        <v>0.86299999999999999</v>
      </c>
      <c r="X168" s="156">
        <v>0.1014978</v>
      </c>
      <c r="Y168" s="156">
        <f t="shared" si="2"/>
        <v>0.1014978</v>
      </c>
      <c r="Z168" s="156">
        <v>0</v>
      </c>
      <c r="AA168" s="157">
        <f t="shared" si="3"/>
        <v>0</v>
      </c>
      <c r="AR168" s="20" t="s">
        <v>145</v>
      </c>
      <c r="AT168" s="20" t="s">
        <v>141</v>
      </c>
      <c r="AU168" s="20" t="s">
        <v>99</v>
      </c>
      <c r="AY168" s="20" t="s">
        <v>140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20" t="s">
        <v>83</v>
      </c>
      <c r="BK168" s="158">
        <f t="shared" si="9"/>
        <v>0</v>
      </c>
      <c r="BL168" s="20" t="s">
        <v>145</v>
      </c>
      <c r="BM168" s="20" t="s">
        <v>446</v>
      </c>
    </row>
    <row r="169" spans="2:65" s="1" customFormat="1" ht="16.5" customHeight="1" x14ac:dyDescent="0.3">
      <c r="B169" s="33"/>
      <c r="C169" s="175">
        <v>29</v>
      </c>
      <c r="D169" s="175" t="s">
        <v>152</v>
      </c>
      <c r="E169" s="176" t="s">
        <v>447</v>
      </c>
      <c r="F169" s="316" t="s">
        <v>448</v>
      </c>
      <c r="G169" s="316"/>
      <c r="H169" s="316"/>
      <c r="I169" s="316"/>
      <c r="J169" s="177" t="s">
        <v>187</v>
      </c>
      <c r="K169" s="178">
        <v>1</v>
      </c>
      <c r="L169" s="337"/>
      <c r="M169" s="337"/>
      <c r="N169" s="266">
        <f t="shared" si="0"/>
        <v>0</v>
      </c>
      <c r="O169" s="264"/>
      <c r="P169" s="264"/>
      <c r="Q169" s="264"/>
      <c r="R169" s="35"/>
      <c r="T169" s="155" t="s">
        <v>19</v>
      </c>
      <c r="U169" s="42" t="s">
        <v>41</v>
      </c>
      <c r="V169" s="156">
        <v>0</v>
      </c>
      <c r="W169" s="156">
        <f t="shared" si="1"/>
        <v>0</v>
      </c>
      <c r="X169" s="156">
        <v>1.3299999999999999E-2</v>
      </c>
      <c r="Y169" s="156">
        <f t="shared" si="2"/>
        <v>1.3299999999999999E-2</v>
      </c>
      <c r="Z169" s="156">
        <v>0</v>
      </c>
      <c r="AA169" s="157">
        <f t="shared" si="3"/>
        <v>0</v>
      </c>
      <c r="AR169" s="20" t="s">
        <v>156</v>
      </c>
      <c r="AT169" s="20" t="s">
        <v>152</v>
      </c>
      <c r="AU169" s="20" t="s">
        <v>99</v>
      </c>
      <c r="AY169" s="20" t="s">
        <v>140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20" t="s">
        <v>83</v>
      </c>
      <c r="BK169" s="158">
        <f t="shared" si="9"/>
        <v>0</v>
      </c>
      <c r="BL169" s="20" t="s">
        <v>145</v>
      </c>
      <c r="BM169" s="20" t="s">
        <v>449</v>
      </c>
    </row>
    <row r="170" spans="2:65" s="1" customFormat="1" ht="16.5" customHeight="1" x14ac:dyDescent="0.3">
      <c r="B170" s="33"/>
      <c r="C170" s="151">
        <v>30</v>
      </c>
      <c r="D170" s="151" t="s">
        <v>141</v>
      </c>
      <c r="E170" s="152" t="s">
        <v>450</v>
      </c>
      <c r="F170" s="263" t="s">
        <v>451</v>
      </c>
      <c r="G170" s="263"/>
      <c r="H170" s="263"/>
      <c r="I170" s="263"/>
      <c r="J170" s="153" t="s">
        <v>187</v>
      </c>
      <c r="K170" s="154">
        <v>1</v>
      </c>
      <c r="L170" s="327"/>
      <c r="M170" s="327"/>
      <c r="N170" s="264">
        <f t="shared" si="0"/>
        <v>0</v>
      </c>
      <c r="O170" s="264"/>
      <c r="P170" s="264"/>
      <c r="Q170" s="264"/>
      <c r="R170" s="35"/>
      <c r="T170" s="155" t="s">
        <v>19</v>
      </c>
      <c r="U170" s="42" t="s">
        <v>41</v>
      </c>
      <c r="V170" s="156">
        <v>1.1819999999999999</v>
      </c>
      <c r="W170" s="156">
        <f t="shared" si="1"/>
        <v>1.1819999999999999</v>
      </c>
      <c r="X170" s="156">
        <v>0.32906000000000002</v>
      </c>
      <c r="Y170" s="156">
        <f t="shared" si="2"/>
        <v>0.32906000000000002</v>
      </c>
      <c r="Z170" s="156">
        <v>0</v>
      </c>
      <c r="AA170" s="157">
        <f t="shared" si="3"/>
        <v>0</v>
      </c>
      <c r="AR170" s="20" t="s">
        <v>145</v>
      </c>
      <c r="AT170" s="20" t="s">
        <v>141</v>
      </c>
      <c r="AU170" s="20" t="s">
        <v>99</v>
      </c>
      <c r="AY170" s="20" t="s">
        <v>140</v>
      </c>
      <c r="BE170" s="158">
        <f t="shared" si="4"/>
        <v>0</v>
      </c>
      <c r="BF170" s="158">
        <f t="shared" si="5"/>
        <v>0</v>
      </c>
      <c r="BG170" s="158">
        <f t="shared" si="6"/>
        <v>0</v>
      </c>
      <c r="BH170" s="158">
        <f t="shared" si="7"/>
        <v>0</v>
      </c>
      <c r="BI170" s="158">
        <f t="shared" si="8"/>
        <v>0</v>
      </c>
      <c r="BJ170" s="20" t="s">
        <v>83</v>
      </c>
      <c r="BK170" s="158">
        <f t="shared" si="9"/>
        <v>0</v>
      </c>
      <c r="BL170" s="20" t="s">
        <v>145</v>
      </c>
      <c r="BM170" s="20" t="s">
        <v>452</v>
      </c>
    </row>
    <row r="171" spans="2:65" s="1" customFormat="1" ht="16.5" customHeight="1" x14ac:dyDescent="0.3">
      <c r="B171" s="33"/>
      <c r="C171" s="175">
        <v>31</v>
      </c>
      <c r="D171" s="175" t="s">
        <v>152</v>
      </c>
      <c r="E171" s="176" t="s">
        <v>453</v>
      </c>
      <c r="F171" s="316" t="s">
        <v>454</v>
      </c>
      <c r="G171" s="316"/>
      <c r="H171" s="316"/>
      <c r="I171" s="316"/>
      <c r="J171" s="177" t="s">
        <v>187</v>
      </c>
      <c r="K171" s="178">
        <v>1</v>
      </c>
      <c r="L171" s="337"/>
      <c r="M171" s="337"/>
      <c r="N171" s="266">
        <f t="shared" si="0"/>
        <v>0</v>
      </c>
      <c r="O171" s="264"/>
      <c r="P171" s="264"/>
      <c r="Q171" s="264"/>
      <c r="R171" s="35"/>
      <c r="T171" s="155" t="s">
        <v>19</v>
      </c>
      <c r="U171" s="42" t="s">
        <v>41</v>
      </c>
      <c r="V171" s="156">
        <v>0</v>
      </c>
      <c r="W171" s="156">
        <f t="shared" si="1"/>
        <v>0</v>
      </c>
      <c r="X171" s="156">
        <v>2.9499999999999998E-2</v>
      </c>
      <c r="Y171" s="156">
        <f t="shared" si="2"/>
        <v>2.9499999999999998E-2</v>
      </c>
      <c r="Z171" s="156">
        <v>0</v>
      </c>
      <c r="AA171" s="157">
        <f t="shared" si="3"/>
        <v>0</v>
      </c>
      <c r="AR171" s="20" t="s">
        <v>156</v>
      </c>
      <c r="AT171" s="20" t="s">
        <v>152</v>
      </c>
      <c r="AU171" s="20" t="s">
        <v>99</v>
      </c>
      <c r="AY171" s="20" t="s">
        <v>140</v>
      </c>
      <c r="BE171" s="158">
        <f t="shared" si="4"/>
        <v>0</v>
      </c>
      <c r="BF171" s="158">
        <f t="shared" si="5"/>
        <v>0</v>
      </c>
      <c r="BG171" s="158">
        <f t="shared" si="6"/>
        <v>0</v>
      </c>
      <c r="BH171" s="158">
        <f t="shared" si="7"/>
        <v>0</v>
      </c>
      <c r="BI171" s="158">
        <f t="shared" si="8"/>
        <v>0</v>
      </c>
      <c r="BJ171" s="20" t="s">
        <v>83</v>
      </c>
      <c r="BK171" s="158">
        <f t="shared" si="9"/>
        <v>0</v>
      </c>
      <c r="BL171" s="20" t="s">
        <v>145</v>
      </c>
      <c r="BM171" s="20" t="s">
        <v>455</v>
      </c>
    </row>
    <row r="172" spans="2:65" s="9" customFormat="1" ht="29.85" customHeight="1" x14ac:dyDescent="0.3">
      <c r="B172" s="140"/>
      <c r="C172" s="141"/>
      <c r="D172" s="150" t="s">
        <v>115</v>
      </c>
      <c r="E172" s="150"/>
      <c r="F172" s="150"/>
      <c r="G172" s="150"/>
      <c r="H172" s="150"/>
      <c r="I172" s="150"/>
      <c r="J172" s="150"/>
      <c r="K172" s="150"/>
      <c r="L172" s="332"/>
      <c r="M172" s="332"/>
      <c r="N172" s="261">
        <f>SUM(N173:N177)</f>
        <v>0</v>
      </c>
      <c r="O172" s="262"/>
      <c r="P172" s="262"/>
      <c r="Q172" s="262"/>
      <c r="R172" s="143"/>
      <c r="T172" s="144"/>
      <c r="U172" s="141"/>
      <c r="V172" s="141"/>
      <c r="W172" s="145">
        <f>SUM(W173:W177)</f>
        <v>38.604336000000004</v>
      </c>
      <c r="X172" s="141"/>
      <c r="Y172" s="145">
        <f>SUM(Y173:Y177)</f>
        <v>0</v>
      </c>
      <c r="Z172" s="141"/>
      <c r="AA172" s="146">
        <f>SUM(AA173:AA177)</f>
        <v>11.395200000000001</v>
      </c>
      <c r="AR172" s="147" t="s">
        <v>83</v>
      </c>
      <c r="AT172" s="148" t="s">
        <v>75</v>
      </c>
      <c r="AU172" s="148" t="s">
        <v>83</v>
      </c>
      <c r="AY172" s="147" t="s">
        <v>140</v>
      </c>
      <c r="BK172" s="149">
        <f>SUM(BK173:BK177)</f>
        <v>0</v>
      </c>
    </row>
    <row r="173" spans="2:65" s="1" customFormat="1" ht="16.5" customHeight="1" x14ac:dyDescent="0.3">
      <c r="B173" s="33"/>
      <c r="C173" s="151">
        <v>32</v>
      </c>
      <c r="D173" s="151" t="s">
        <v>141</v>
      </c>
      <c r="E173" s="152" t="s">
        <v>456</v>
      </c>
      <c r="F173" s="263" t="s">
        <v>457</v>
      </c>
      <c r="G173" s="263"/>
      <c r="H173" s="263"/>
      <c r="I173" s="263"/>
      <c r="J173" s="153" t="s">
        <v>144</v>
      </c>
      <c r="K173" s="154">
        <v>3.8759999999999999</v>
      </c>
      <c r="L173" s="327"/>
      <c r="M173" s="327"/>
      <c r="N173" s="264">
        <f>ROUND(L173*K173,2)</f>
        <v>0</v>
      </c>
      <c r="O173" s="264"/>
      <c r="P173" s="264"/>
      <c r="Q173" s="264"/>
      <c r="R173" s="35"/>
      <c r="T173" s="155" t="s">
        <v>19</v>
      </c>
      <c r="U173" s="42" t="s">
        <v>41</v>
      </c>
      <c r="V173" s="156">
        <v>6.4359999999999999</v>
      </c>
      <c r="W173" s="156">
        <f>V173*K173</f>
        <v>24.945936</v>
      </c>
      <c r="X173" s="156">
        <v>0</v>
      </c>
      <c r="Y173" s="156">
        <f>X173*K173</f>
        <v>0</v>
      </c>
      <c r="Z173" s="156">
        <v>2</v>
      </c>
      <c r="AA173" s="157">
        <f>Z173*K173</f>
        <v>7.7519999999999998</v>
      </c>
      <c r="AR173" s="20" t="s">
        <v>145</v>
      </c>
      <c r="AT173" s="20" t="s">
        <v>141</v>
      </c>
      <c r="AU173" s="20" t="s">
        <v>99</v>
      </c>
      <c r="AY173" s="20" t="s">
        <v>140</v>
      </c>
      <c r="BE173" s="158">
        <f>IF(U173="základní",N173,0)</f>
        <v>0</v>
      </c>
      <c r="BF173" s="158">
        <f>IF(U173="snížená",N173,0)</f>
        <v>0</v>
      </c>
      <c r="BG173" s="158">
        <f>IF(U173="zákl. přenesená",N173,0)</f>
        <v>0</v>
      </c>
      <c r="BH173" s="158">
        <f>IF(U173="sníž. přenesená",N173,0)</f>
        <v>0</v>
      </c>
      <c r="BI173" s="158">
        <f>IF(U173="nulová",N173,0)</f>
        <v>0</v>
      </c>
      <c r="BJ173" s="20" t="s">
        <v>83</v>
      </c>
      <c r="BK173" s="158">
        <f>ROUND(L173*K173,2)</f>
        <v>0</v>
      </c>
      <c r="BL173" s="20" t="s">
        <v>145</v>
      </c>
      <c r="BM173" s="20" t="s">
        <v>458</v>
      </c>
    </row>
    <row r="174" spans="2:65" s="10" customFormat="1" ht="16.5" customHeight="1" x14ac:dyDescent="0.3">
      <c r="B174" s="159"/>
      <c r="C174" s="160"/>
      <c r="D174" s="160"/>
      <c r="E174" s="161" t="s">
        <v>19</v>
      </c>
      <c r="F174" s="267" t="s">
        <v>459</v>
      </c>
      <c r="G174" s="268"/>
      <c r="H174" s="268"/>
      <c r="I174" s="268"/>
      <c r="J174" s="160"/>
      <c r="K174" s="162">
        <v>3.8759999999999999</v>
      </c>
      <c r="L174" s="329"/>
      <c r="M174" s="329"/>
      <c r="N174" s="160"/>
      <c r="O174" s="160"/>
      <c r="P174" s="160"/>
      <c r="Q174" s="160"/>
      <c r="R174" s="163"/>
      <c r="T174" s="164"/>
      <c r="U174" s="160"/>
      <c r="V174" s="160"/>
      <c r="W174" s="160"/>
      <c r="X174" s="160"/>
      <c r="Y174" s="160"/>
      <c r="Z174" s="160"/>
      <c r="AA174" s="165"/>
      <c r="AT174" s="166" t="s">
        <v>148</v>
      </c>
      <c r="AU174" s="166" t="s">
        <v>99</v>
      </c>
      <c r="AV174" s="10" t="s">
        <v>99</v>
      </c>
      <c r="AW174" s="10" t="s">
        <v>33</v>
      </c>
      <c r="AX174" s="10" t="s">
        <v>83</v>
      </c>
      <c r="AY174" s="166" t="s">
        <v>140</v>
      </c>
    </row>
    <row r="175" spans="2:65" s="1" customFormat="1" ht="25.5" customHeight="1" x14ac:dyDescent="0.3">
      <c r="B175" s="33"/>
      <c r="C175" s="151">
        <v>33</v>
      </c>
      <c r="D175" s="151" t="s">
        <v>141</v>
      </c>
      <c r="E175" s="152" t="s">
        <v>283</v>
      </c>
      <c r="F175" s="263" t="s">
        <v>284</v>
      </c>
      <c r="G175" s="263"/>
      <c r="H175" s="263"/>
      <c r="I175" s="263"/>
      <c r="J175" s="153" t="s">
        <v>144</v>
      </c>
      <c r="K175" s="154">
        <v>0.72</v>
      </c>
      <c r="L175" s="327"/>
      <c r="M175" s="327"/>
      <c r="N175" s="264">
        <f>ROUND(L175*K175,2)</f>
        <v>0</v>
      </c>
      <c r="O175" s="264"/>
      <c r="P175" s="264"/>
      <c r="Q175" s="264"/>
      <c r="R175" s="35"/>
      <c r="T175" s="155" t="s">
        <v>19</v>
      </c>
      <c r="U175" s="42" t="s">
        <v>41</v>
      </c>
      <c r="V175" s="156">
        <v>6.72</v>
      </c>
      <c r="W175" s="156">
        <f>V175*K175</f>
        <v>4.8384</v>
      </c>
      <c r="X175" s="156">
        <v>0</v>
      </c>
      <c r="Y175" s="156">
        <f>X175*K175</f>
        <v>0</v>
      </c>
      <c r="Z175" s="156">
        <v>2.4</v>
      </c>
      <c r="AA175" s="157">
        <f>Z175*K175</f>
        <v>1.728</v>
      </c>
      <c r="AR175" s="20" t="s">
        <v>145</v>
      </c>
      <c r="AT175" s="20" t="s">
        <v>141</v>
      </c>
      <c r="AU175" s="20" t="s">
        <v>99</v>
      </c>
      <c r="AY175" s="20" t="s">
        <v>140</v>
      </c>
      <c r="BE175" s="158">
        <f>IF(U175="základní",N175,0)</f>
        <v>0</v>
      </c>
      <c r="BF175" s="158">
        <f>IF(U175="snížená",N175,0)</f>
        <v>0</v>
      </c>
      <c r="BG175" s="158">
        <f>IF(U175="zákl. přenesená",N175,0)</f>
        <v>0</v>
      </c>
      <c r="BH175" s="158">
        <f>IF(U175="sníž. přenesená",N175,0)</f>
        <v>0</v>
      </c>
      <c r="BI175" s="158">
        <f>IF(U175="nulová",N175,0)</f>
        <v>0</v>
      </c>
      <c r="BJ175" s="20" t="s">
        <v>83</v>
      </c>
      <c r="BK175" s="158">
        <f>ROUND(L175*K175,2)</f>
        <v>0</v>
      </c>
      <c r="BL175" s="20" t="s">
        <v>145</v>
      </c>
      <c r="BM175" s="20" t="s">
        <v>460</v>
      </c>
    </row>
    <row r="176" spans="2:65" s="10" customFormat="1" ht="16.5" customHeight="1" x14ac:dyDescent="0.3">
      <c r="B176" s="159"/>
      <c r="C176" s="160"/>
      <c r="D176" s="160"/>
      <c r="E176" s="161" t="s">
        <v>19</v>
      </c>
      <c r="F176" s="267" t="s">
        <v>461</v>
      </c>
      <c r="G176" s="268"/>
      <c r="H176" s="268"/>
      <c r="I176" s="268"/>
      <c r="J176" s="160"/>
      <c r="K176" s="162">
        <v>0.72</v>
      </c>
      <c r="L176" s="329"/>
      <c r="M176" s="329"/>
      <c r="N176" s="160"/>
      <c r="O176" s="160"/>
      <c r="P176" s="160"/>
      <c r="Q176" s="160"/>
      <c r="R176" s="163"/>
      <c r="T176" s="164"/>
      <c r="U176" s="160"/>
      <c r="V176" s="160"/>
      <c r="W176" s="160"/>
      <c r="X176" s="160"/>
      <c r="Y176" s="160"/>
      <c r="Z176" s="160"/>
      <c r="AA176" s="165"/>
      <c r="AT176" s="166" t="s">
        <v>148</v>
      </c>
      <c r="AU176" s="166" t="s">
        <v>99</v>
      </c>
      <c r="AV176" s="10" t="s">
        <v>99</v>
      </c>
      <c r="AW176" s="10" t="s">
        <v>33</v>
      </c>
      <c r="AX176" s="10" t="s">
        <v>83</v>
      </c>
      <c r="AY176" s="166" t="s">
        <v>140</v>
      </c>
    </row>
    <row r="177" spans="2:65" s="1" customFormat="1" ht="25.5" customHeight="1" x14ac:dyDescent="0.3">
      <c r="B177" s="33"/>
      <c r="C177" s="151">
        <v>34</v>
      </c>
      <c r="D177" s="151" t="s">
        <v>141</v>
      </c>
      <c r="E177" s="152" t="s">
        <v>462</v>
      </c>
      <c r="F177" s="263" t="s">
        <v>463</v>
      </c>
      <c r="G177" s="263"/>
      <c r="H177" s="263"/>
      <c r="I177" s="263"/>
      <c r="J177" s="153" t="s">
        <v>187</v>
      </c>
      <c r="K177" s="154">
        <v>28</v>
      </c>
      <c r="L177" s="327"/>
      <c r="M177" s="327"/>
      <c r="N177" s="264">
        <f>ROUND(L177*K177,2)</f>
        <v>0</v>
      </c>
      <c r="O177" s="264"/>
      <c r="P177" s="264"/>
      <c r="Q177" s="264"/>
      <c r="R177" s="35"/>
      <c r="T177" s="155" t="s">
        <v>19</v>
      </c>
      <c r="U177" s="42" t="s">
        <v>41</v>
      </c>
      <c r="V177" s="156">
        <v>0.315</v>
      </c>
      <c r="W177" s="156">
        <f>V177*K177</f>
        <v>8.82</v>
      </c>
      <c r="X177" s="156">
        <v>0</v>
      </c>
      <c r="Y177" s="156">
        <f>X177*K177</f>
        <v>0</v>
      </c>
      <c r="Z177" s="156">
        <v>6.8400000000000002E-2</v>
      </c>
      <c r="AA177" s="157">
        <f>Z177*K177</f>
        <v>1.9152</v>
      </c>
      <c r="AR177" s="20" t="s">
        <v>145</v>
      </c>
      <c r="AT177" s="20" t="s">
        <v>141</v>
      </c>
      <c r="AU177" s="20" t="s">
        <v>99</v>
      </c>
      <c r="AY177" s="20" t="s">
        <v>140</v>
      </c>
      <c r="BE177" s="158">
        <f>IF(U177="základní",N177,0)</f>
        <v>0</v>
      </c>
      <c r="BF177" s="158">
        <f>IF(U177="snížená",N177,0)</f>
        <v>0</v>
      </c>
      <c r="BG177" s="158">
        <f>IF(U177="zákl. přenesená",N177,0)</f>
        <v>0</v>
      </c>
      <c r="BH177" s="158">
        <f>IF(U177="sníž. přenesená",N177,0)</f>
        <v>0</v>
      </c>
      <c r="BI177" s="158">
        <f>IF(U177="nulová",N177,0)</f>
        <v>0</v>
      </c>
      <c r="BJ177" s="20" t="s">
        <v>83</v>
      </c>
      <c r="BK177" s="158">
        <f>ROUND(L177*K177,2)</f>
        <v>0</v>
      </c>
      <c r="BL177" s="20" t="s">
        <v>145</v>
      </c>
      <c r="BM177" s="20" t="s">
        <v>464</v>
      </c>
    </row>
    <row r="178" spans="2:65" s="9" customFormat="1" ht="29.85" customHeight="1" x14ac:dyDescent="0.3">
      <c r="B178" s="140"/>
      <c r="C178" s="141"/>
      <c r="D178" s="150" t="s">
        <v>116</v>
      </c>
      <c r="E178" s="150"/>
      <c r="F178" s="150"/>
      <c r="G178" s="150"/>
      <c r="H178" s="150"/>
      <c r="I178" s="150"/>
      <c r="J178" s="150"/>
      <c r="K178" s="150"/>
      <c r="L178" s="332"/>
      <c r="M178" s="332"/>
      <c r="N178" s="261">
        <f>SUM(N179:N181)</f>
        <v>0</v>
      </c>
      <c r="O178" s="262"/>
      <c r="P178" s="262"/>
      <c r="Q178" s="262"/>
      <c r="R178" s="143"/>
      <c r="T178" s="144"/>
      <c r="U178" s="141"/>
      <c r="V178" s="141"/>
      <c r="W178" s="145">
        <f>SUM(W179:W181)</f>
        <v>21.90119</v>
      </c>
      <c r="X178" s="141"/>
      <c r="Y178" s="145">
        <f>SUM(Y179:Y181)</f>
        <v>0</v>
      </c>
      <c r="Z178" s="141"/>
      <c r="AA178" s="146">
        <f>SUM(AA179:AA181)</f>
        <v>0</v>
      </c>
      <c r="AR178" s="147" t="s">
        <v>83</v>
      </c>
      <c r="AT178" s="148" t="s">
        <v>75</v>
      </c>
      <c r="AU178" s="148" t="s">
        <v>83</v>
      </c>
      <c r="AY178" s="147" t="s">
        <v>140</v>
      </c>
      <c r="BK178" s="149">
        <f>SUM(BK179:BK181)</f>
        <v>0</v>
      </c>
    </row>
    <row r="179" spans="2:65" s="1" customFormat="1" ht="25.5" customHeight="1" x14ac:dyDescent="0.3">
      <c r="B179" s="33"/>
      <c r="C179" s="151">
        <v>35</v>
      </c>
      <c r="D179" s="151" t="s">
        <v>141</v>
      </c>
      <c r="E179" s="152" t="s">
        <v>465</v>
      </c>
      <c r="F179" s="263" t="s">
        <v>221</v>
      </c>
      <c r="G179" s="263"/>
      <c r="H179" s="263"/>
      <c r="I179" s="263"/>
      <c r="J179" s="153" t="s">
        <v>155</v>
      </c>
      <c r="K179" s="154">
        <v>11.395</v>
      </c>
      <c r="L179" s="327"/>
      <c r="M179" s="327"/>
      <c r="N179" s="264">
        <f>ROUND(L179*K179,2)</f>
        <v>0</v>
      </c>
      <c r="O179" s="264"/>
      <c r="P179" s="264"/>
      <c r="Q179" s="264"/>
      <c r="R179" s="35"/>
      <c r="T179" s="155" t="s">
        <v>19</v>
      </c>
      <c r="U179" s="42" t="s">
        <v>41</v>
      </c>
      <c r="V179" s="156">
        <v>0.125</v>
      </c>
      <c r="W179" s="156">
        <f>V179*K179</f>
        <v>1.4243749999999999</v>
      </c>
      <c r="X179" s="156">
        <v>0</v>
      </c>
      <c r="Y179" s="156">
        <f>X179*K179</f>
        <v>0</v>
      </c>
      <c r="Z179" s="156">
        <v>0</v>
      </c>
      <c r="AA179" s="157">
        <f>Z179*K179</f>
        <v>0</v>
      </c>
      <c r="AR179" s="20" t="s">
        <v>145</v>
      </c>
      <c r="AT179" s="20" t="s">
        <v>141</v>
      </c>
      <c r="AU179" s="20" t="s">
        <v>99</v>
      </c>
      <c r="AY179" s="20" t="s">
        <v>140</v>
      </c>
      <c r="BE179" s="158">
        <f>IF(U179="základní",N179,0)</f>
        <v>0</v>
      </c>
      <c r="BF179" s="158">
        <f>IF(U179="snížená",N179,0)</f>
        <v>0</v>
      </c>
      <c r="BG179" s="158">
        <f>IF(U179="zákl. přenesená",N179,0)</f>
        <v>0</v>
      </c>
      <c r="BH179" s="158">
        <f>IF(U179="sníž. přenesená",N179,0)</f>
        <v>0</v>
      </c>
      <c r="BI179" s="158">
        <f>IF(U179="nulová",N179,0)</f>
        <v>0</v>
      </c>
      <c r="BJ179" s="20" t="s">
        <v>83</v>
      </c>
      <c r="BK179" s="158">
        <f>ROUND(L179*K179,2)</f>
        <v>0</v>
      </c>
      <c r="BL179" s="20" t="s">
        <v>145</v>
      </c>
      <c r="BM179" s="20" t="s">
        <v>466</v>
      </c>
    </row>
    <row r="180" spans="2:65" s="1" customFormat="1" ht="25.5" customHeight="1" x14ac:dyDescent="0.3">
      <c r="B180" s="33"/>
      <c r="C180" s="151">
        <v>36</v>
      </c>
      <c r="D180" s="151" t="s">
        <v>141</v>
      </c>
      <c r="E180" s="152" t="s">
        <v>223</v>
      </c>
      <c r="F180" s="263" t="s">
        <v>505</v>
      </c>
      <c r="G180" s="263"/>
      <c r="H180" s="263"/>
      <c r="I180" s="263"/>
      <c r="J180" s="153" t="s">
        <v>155</v>
      </c>
      <c r="K180" s="154">
        <v>11.395</v>
      </c>
      <c r="L180" s="327"/>
      <c r="M180" s="327"/>
      <c r="N180" s="264">
        <f>ROUND(L180*K180,2)</f>
        <v>0</v>
      </c>
      <c r="O180" s="264"/>
      <c r="P180" s="264"/>
      <c r="Q180" s="264"/>
      <c r="R180" s="35"/>
      <c r="T180" s="155" t="s">
        <v>19</v>
      </c>
      <c r="U180" s="42" t="s">
        <v>41</v>
      </c>
      <c r="V180" s="156">
        <v>0</v>
      </c>
      <c r="W180" s="156">
        <f>V180*K180</f>
        <v>0</v>
      </c>
      <c r="X180" s="156">
        <v>0</v>
      </c>
      <c r="Y180" s="156">
        <f>X180*K180</f>
        <v>0</v>
      </c>
      <c r="Z180" s="156">
        <v>0</v>
      </c>
      <c r="AA180" s="157">
        <f>Z180*K180</f>
        <v>0</v>
      </c>
      <c r="AR180" s="20" t="s">
        <v>145</v>
      </c>
      <c r="AT180" s="20" t="s">
        <v>141</v>
      </c>
      <c r="AU180" s="20" t="s">
        <v>99</v>
      </c>
      <c r="AY180" s="20" t="s">
        <v>140</v>
      </c>
      <c r="BE180" s="158">
        <f>IF(U180="základní",N180,0)</f>
        <v>0</v>
      </c>
      <c r="BF180" s="158">
        <f>IF(U180="snížená",N180,0)</f>
        <v>0</v>
      </c>
      <c r="BG180" s="158">
        <f>IF(U180="zákl. přenesená",N180,0)</f>
        <v>0</v>
      </c>
      <c r="BH180" s="158">
        <f>IF(U180="sníž. přenesená",N180,0)</f>
        <v>0</v>
      </c>
      <c r="BI180" s="158">
        <f>IF(U180="nulová",N180,0)</f>
        <v>0</v>
      </c>
      <c r="BJ180" s="20" t="s">
        <v>83</v>
      </c>
      <c r="BK180" s="158">
        <f>ROUND(L180*K180,2)</f>
        <v>0</v>
      </c>
      <c r="BL180" s="20" t="s">
        <v>145</v>
      </c>
      <c r="BM180" s="20" t="s">
        <v>467</v>
      </c>
    </row>
    <row r="181" spans="2:65" s="1" customFormat="1" ht="25.5" customHeight="1" x14ac:dyDescent="0.3">
      <c r="B181" s="33"/>
      <c r="C181" s="151">
        <v>37</v>
      </c>
      <c r="D181" s="151" t="s">
        <v>141</v>
      </c>
      <c r="E181" s="152" t="s">
        <v>226</v>
      </c>
      <c r="F181" s="263" t="s">
        <v>227</v>
      </c>
      <c r="G181" s="263"/>
      <c r="H181" s="263"/>
      <c r="I181" s="263"/>
      <c r="J181" s="153" t="s">
        <v>155</v>
      </c>
      <c r="K181" s="154">
        <v>11.395</v>
      </c>
      <c r="L181" s="327"/>
      <c r="M181" s="327"/>
      <c r="N181" s="264">
        <f>ROUND(L181*K181,2)</f>
        <v>0</v>
      </c>
      <c r="O181" s="264"/>
      <c r="P181" s="264"/>
      <c r="Q181" s="264"/>
      <c r="R181" s="35"/>
      <c r="T181" s="155" t="s">
        <v>19</v>
      </c>
      <c r="U181" s="179" t="s">
        <v>41</v>
      </c>
      <c r="V181" s="180">
        <v>1.7969999999999999</v>
      </c>
      <c r="W181" s="180">
        <f>V181*K181</f>
        <v>20.476814999999998</v>
      </c>
      <c r="X181" s="180">
        <v>0</v>
      </c>
      <c r="Y181" s="180">
        <f>X181*K181</f>
        <v>0</v>
      </c>
      <c r="Z181" s="180">
        <v>0</v>
      </c>
      <c r="AA181" s="181">
        <f>Z181*K181</f>
        <v>0</v>
      </c>
      <c r="AR181" s="20" t="s">
        <v>145</v>
      </c>
      <c r="AT181" s="20" t="s">
        <v>141</v>
      </c>
      <c r="AU181" s="20" t="s">
        <v>99</v>
      </c>
      <c r="AY181" s="20" t="s">
        <v>140</v>
      </c>
      <c r="BE181" s="158">
        <f>IF(U181="základní",N181,0)</f>
        <v>0</v>
      </c>
      <c r="BF181" s="158">
        <f>IF(U181="snížená",N181,0)</f>
        <v>0</v>
      </c>
      <c r="BG181" s="158">
        <f>IF(U181="zákl. přenesená",N181,0)</f>
        <v>0</v>
      </c>
      <c r="BH181" s="158">
        <f>IF(U181="sníž. přenesená",N181,0)</f>
        <v>0</v>
      </c>
      <c r="BI181" s="158">
        <f>IF(U181="nulová",N181,0)</f>
        <v>0</v>
      </c>
      <c r="BJ181" s="20" t="s">
        <v>83</v>
      </c>
      <c r="BK181" s="158">
        <f>ROUND(L181*K181,2)</f>
        <v>0</v>
      </c>
      <c r="BL181" s="20" t="s">
        <v>145</v>
      </c>
      <c r="BM181" s="20" t="s">
        <v>468</v>
      </c>
    </row>
    <row r="182" spans="2:65" s="1" customFormat="1" ht="6.95" customHeight="1" x14ac:dyDescent="0.3">
      <c r="B182" s="57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9"/>
    </row>
  </sheetData>
  <sheetProtection algorithmName="SHA-512" hashValue="3pndiml4oOSl25bCprlHkKeI8HBEG1w1q35hhB9smwN0/FEKkwG8TS3s6GW3SWdc+qlsUWtJ3Ysd938aDa46zQ==" saltValue="pEmYfQIB3UY5K3pjJCCf/Q==" spinCount="100000" sheet="1" objects="1" scenarios="1"/>
  <mergeCells count="197"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M30:P30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8:P28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N94:Q94"/>
    <mergeCell ref="N95:Q95"/>
    <mergeCell ref="N97:Q97"/>
    <mergeCell ref="L99:Q99"/>
    <mergeCell ref="C105:Q105"/>
    <mergeCell ref="F107:P107"/>
    <mergeCell ref="N88:Q88"/>
    <mergeCell ref="N89:Q89"/>
    <mergeCell ref="N90:Q90"/>
    <mergeCell ref="N91:Q91"/>
    <mergeCell ref="N92:Q92"/>
    <mergeCell ref="N93:Q93"/>
    <mergeCell ref="N116:Q116"/>
    <mergeCell ref="N117:Q117"/>
    <mergeCell ref="N118:Q118"/>
    <mergeCell ref="F119:I119"/>
    <mergeCell ref="L119:M119"/>
    <mergeCell ref="N119:Q119"/>
    <mergeCell ref="F108:P108"/>
    <mergeCell ref="M110:P110"/>
    <mergeCell ref="M112:Q112"/>
    <mergeCell ref="M113:Q113"/>
    <mergeCell ref="F115:I115"/>
    <mergeCell ref="L115:M115"/>
    <mergeCell ref="N115:Q115"/>
    <mergeCell ref="F124:I124"/>
    <mergeCell ref="F125:I125"/>
    <mergeCell ref="F127:I127"/>
    <mergeCell ref="L127:M127"/>
    <mergeCell ref="N127:Q127"/>
    <mergeCell ref="F128:I128"/>
    <mergeCell ref="F120:I120"/>
    <mergeCell ref="F121:I121"/>
    <mergeCell ref="L121:M121"/>
    <mergeCell ref="N121:Q121"/>
    <mergeCell ref="F122:I122"/>
    <mergeCell ref="F123:I123"/>
    <mergeCell ref="L123:M123"/>
    <mergeCell ref="N123:Q123"/>
    <mergeCell ref="F126:I126"/>
    <mergeCell ref="L126:M126"/>
    <mergeCell ref="N126:Q126"/>
    <mergeCell ref="F129:I129"/>
    <mergeCell ref="F130:I130"/>
    <mergeCell ref="F131:I131"/>
    <mergeCell ref="F135:I135"/>
    <mergeCell ref="F141:I141"/>
    <mergeCell ref="F142:I142"/>
    <mergeCell ref="L142:M142"/>
    <mergeCell ref="N142:Q142"/>
    <mergeCell ref="N143:Q143"/>
    <mergeCell ref="F132:I132"/>
    <mergeCell ref="F133:I133"/>
    <mergeCell ref="F136:I136"/>
    <mergeCell ref="L136:M136"/>
    <mergeCell ref="N136:Q136"/>
    <mergeCell ref="F137:I137"/>
    <mergeCell ref="F134:I134"/>
    <mergeCell ref="L134:M134"/>
    <mergeCell ref="N134:Q134"/>
    <mergeCell ref="F144:I144"/>
    <mergeCell ref="L144:M144"/>
    <mergeCell ref="N144:Q144"/>
    <mergeCell ref="F138:I138"/>
    <mergeCell ref="L138:M138"/>
    <mergeCell ref="N138:Q138"/>
    <mergeCell ref="F139:I139"/>
    <mergeCell ref="F140:I140"/>
    <mergeCell ref="L140:M140"/>
    <mergeCell ref="N140:Q140"/>
    <mergeCell ref="N149:Q149"/>
    <mergeCell ref="F150:I150"/>
    <mergeCell ref="L150:M150"/>
    <mergeCell ref="N150:Q150"/>
    <mergeCell ref="F151:I151"/>
    <mergeCell ref="N152:Q152"/>
    <mergeCell ref="F145:I145"/>
    <mergeCell ref="F146:I146"/>
    <mergeCell ref="F147:I147"/>
    <mergeCell ref="F148:I148"/>
    <mergeCell ref="L148:M148"/>
    <mergeCell ref="N148:Q148"/>
    <mergeCell ref="F165:I165"/>
    <mergeCell ref="L165:M165"/>
    <mergeCell ref="N165:Q165"/>
    <mergeCell ref="F160:I160"/>
    <mergeCell ref="L160:M160"/>
    <mergeCell ref="N160:Q160"/>
    <mergeCell ref="F157:I157"/>
    <mergeCell ref="L157:M157"/>
    <mergeCell ref="N157:Q157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N173:Q173"/>
    <mergeCell ref="F174:I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81:I181"/>
    <mergeCell ref="L181:M181"/>
    <mergeCell ref="N181:Q181"/>
    <mergeCell ref="F158:I158"/>
    <mergeCell ref="L158:M158"/>
    <mergeCell ref="N158:Q158"/>
    <mergeCell ref="F159:I159"/>
    <mergeCell ref="L159:M159"/>
    <mergeCell ref="N159:Q159"/>
    <mergeCell ref="F161:I161"/>
    <mergeCell ref="F180:I180"/>
    <mergeCell ref="L180:M180"/>
    <mergeCell ref="N180:Q180"/>
    <mergeCell ref="F176:I176"/>
    <mergeCell ref="F177:I177"/>
    <mergeCell ref="L177:M177"/>
    <mergeCell ref="N177:Q177"/>
    <mergeCell ref="N178:Q178"/>
    <mergeCell ref="F179:I179"/>
    <mergeCell ref="L179:M179"/>
    <mergeCell ref="N179:Q179"/>
    <mergeCell ref="N172:Q172"/>
    <mergeCell ref="F173:I173"/>
    <mergeCell ref="L173:M173"/>
    <mergeCell ref="F153:I153"/>
    <mergeCell ref="L153:M153"/>
    <mergeCell ref="N153:Q153"/>
    <mergeCell ref="L161:M161"/>
    <mergeCell ref="N161:Q161"/>
    <mergeCell ref="F164:I164"/>
    <mergeCell ref="L164:M164"/>
    <mergeCell ref="N164:Q164"/>
    <mergeCell ref="F162:I162"/>
    <mergeCell ref="L162:M162"/>
    <mergeCell ref="N162:Q162"/>
    <mergeCell ref="F163:I163"/>
    <mergeCell ref="L163:M163"/>
    <mergeCell ref="N163:Q163"/>
    <mergeCell ref="F154:I154"/>
    <mergeCell ref="L154:M154"/>
    <mergeCell ref="N154:Q154"/>
    <mergeCell ref="F155:I155"/>
    <mergeCell ref="F156:I156"/>
    <mergeCell ref="L156:M156"/>
    <mergeCell ref="N156:Q156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7"/>
  <sheetViews>
    <sheetView topLeftCell="A94" workbookViewId="0">
      <selection activeCell="L115" sqref="L11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94</v>
      </c>
      <c r="G1" s="15"/>
      <c r="H1" s="304" t="s">
        <v>95</v>
      </c>
      <c r="I1" s="304"/>
      <c r="J1" s="304"/>
      <c r="K1" s="304"/>
      <c r="L1" s="15" t="s">
        <v>96</v>
      </c>
      <c r="M1" s="13"/>
      <c r="N1" s="13"/>
      <c r="O1" s="14" t="s">
        <v>97</v>
      </c>
      <c r="P1" s="13"/>
      <c r="Q1" s="13"/>
      <c r="R1" s="13"/>
      <c r="S1" s="15" t="s">
        <v>98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0" t="s">
        <v>92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 x14ac:dyDescent="0.3">
      <c r="B4" s="24"/>
      <c r="C4" s="246" t="s">
        <v>100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90" t="e">
        <f>#REF!</f>
        <v>#REF!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6"/>
      <c r="R6" s="25"/>
    </row>
    <row r="7" spans="1:66" s="1" customFormat="1" ht="32.85" customHeight="1" x14ac:dyDescent="0.3">
      <c r="B7" s="33"/>
      <c r="C7" s="34"/>
      <c r="D7" s="29" t="s">
        <v>101</v>
      </c>
      <c r="E7" s="34"/>
      <c r="F7" s="260" t="s">
        <v>469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92" t="e">
        <f>#REF!</f>
        <v>#REF!</v>
      </c>
      <c r="P9" s="292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59" t="s">
        <v>19</v>
      </c>
      <c r="P11" s="259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59" t="s">
        <v>19</v>
      </c>
      <c r="P12" s="259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59" t="s">
        <v>19</v>
      </c>
      <c r="P14" s="259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59" t="s">
        <v>19</v>
      </c>
      <c r="P15" s="259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59" t="s">
        <v>19</v>
      </c>
      <c r="P17" s="259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59" t="s">
        <v>19</v>
      </c>
      <c r="P18" s="259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59" t="s">
        <v>19</v>
      </c>
      <c r="P20" s="259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59" t="s">
        <v>19</v>
      </c>
      <c r="P21" s="259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54" t="s">
        <v>19</v>
      </c>
      <c r="F24" s="254"/>
      <c r="G24" s="254"/>
      <c r="H24" s="254"/>
      <c r="I24" s="254"/>
      <c r="J24" s="254"/>
      <c r="K24" s="254"/>
      <c r="L24" s="254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103</v>
      </c>
      <c r="E27" s="34"/>
      <c r="F27" s="34"/>
      <c r="G27" s="34"/>
      <c r="H27" s="34"/>
      <c r="I27" s="34"/>
      <c r="J27" s="34"/>
      <c r="K27" s="34"/>
      <c r="L27" s="34"/>
      <c r="M27" s="250">
        <f>N88</f>
        <v>0</v>
      </c>
      <c r="N27" s="250"/>
      <c r="O27" s="250"/>
      <c r="P27" s="250"/>
      <c r="Q27" s="34"/>
      <c r="R27" s="35"/>
    </row>
    <row r="28" spans="2:18" s="1" customFormat="1" ht="14.45" customHeight="1" x14ac:dyDescent="0.3">
      <c r="B28" s="33"/>
      <c r="C28" s="34"/>
      <c r="D28" s="32" t="s">
        <v>104</v>
      </c>
      <c r="E28" s="34"/>
      <c r="F28" s="34"/>
      <c r="G28" s="34"/>
      <c r="H28" s="34"/>
      <c r="I28" s="34"/>
      <c r="J28" s="34"/>
      <c r="K28" s="34"/>
      <c r="L28" s="34"/>
      <c r="M28" s="250">
        <f>N93</f>
        <v>0</v>
      </c>
      <c r="N28" s="250"/>
      <c r="O28" s="250"/>
      <c r="P28" s="250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39</v>
      </c>
      <c r="E30" s="34"/>
      <c r="F30" s="34"/>
      <c r="G30" s="34"/>
      <c r="H30" s="34"/>
      <c r="I30" s="34"/>
      <c r="J30" s="34"/>
      <c r="K30" s="34"/>
      <c r="L30" s="34"/>
      <c r="M30" s="303">
        <f>ROUND(M27+M28,2)</f>
        <v>0</v>
      </c>
      <c r="N30" s="289"/>
      <c r="O30" s="289"/>
      <c r="P30" s="289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40</v>
      </c>
      <c r="E32" s="40" t="s">
        <v>41</v>
      </c>
      <c r="F32" s="41">
        <v>0.21</v>
      </c>
      <c r="G32" s="112" t="s">
        <v>42</v>
      </c>
      <c r="H32" s="300">
        <f>ROUND((SUM(BE93:BE94)+SUM(BE112:BE125)), 2)</f>
        <v>0</v>
      </c>
      <c r="I32" s="289"/>
      <c r="J32" s="289"/>
      <c r="K32" s="34"/>
      <c r="L32" s="34"/>
      <c r="M32" s="300">
        <f>ROUND(ROUND((SUM(BE93:BE94)+SUM(BE112:BE125)), 2)*F32, 2)</f>
        <v>0</v>
      </c>
      <c r="N32" s="289"/>
      <c r="O32" s="289"/>
      <c r="P32" s="289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43</v>
      </c>
      <c r="F33" s="41">
        <v>0.15</v>
      </c>
      <c r="G33" s="112" t="s">
        <v>42</v>
      </c>
      <c r="H33" s="300">
        <f>ROUND((SUM(BF93:BF94)+SUM(BF112:BF125)), 2)</f>
        <v>0</v>
      </c>
      <c r="I33" s="289"/>
      <c r="J33" s="289"/>
      <c r="K33" s="34"/>
      <c r="L33" s="34"/>
      <c r="M33" s="300">
        <f>ROUND(ROUND((SUM(BF93:BF94)+SUM(BF112:BF125)), 2)*F33, 2)</f>
        <v>0</v>
      </c>
      <c r="N33" s="289"/>
      <c r="O33" s="289"/>
      <c r="P33" s="289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44</v>
      </c>
      <c r="F34" s="41">
        <v>0.21</v>
      </c>
      <c r="G34" s="112" t="s">
        <v>42</v>
      </c>
      <c r="H34" s="300">
        <f>ROUND((SUM(BG93:BG94)+SUM(BG112:BG125)), 2)</f>
        <v>0</v>
      </c>
      <c r="I34" s="289"/>
      <c r="J34" s="289"/>
      <c r="K34" s="34"/>
      <c r="L34" s="34"/>
      <c r="M34" s="300">
        <v>0</v>
      </c>
      <c r="N34" s="289"/>
      <c r="O34" s="289"/>
      <c r="P34" s="289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45</v>
      </c>
      <c r="F35" s="41">
        <v>0.15</v>
      </c>
      <c r="G35" s="112" t="s">
        <v>42</v>
      </c>
      <c r="H35" s="300">
        <f>ROUND((SUM(BH93:BH94)+SUM(BH112:BH125)), 2)</f>
        <v>0</v>
      </c>
      <c r="I35" s="289"/>
      <c r="J35" s="289"/>
      <c r="K35" s="34"/>
      <c r="L35" s="34"/>
      <c r="M35" s="300">
        <v>0</v>
      </c>
      <c r="N35" s="289"/>
      <c r="O35" s="289"/>
      <c r="P35" s="289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46</v>
      </c>
      <c r="F36" s="41">
        <v>0</v>
      </c>
      <c r="G36" s="112" t="s">
        <v>42</v>
      </c>
      <c r="H36" s="300">
        <f>ROUND((SUM(BI93:BI94)+SUM(BI112:BI125)), 2)</f>
        <v>0</v>
      </c>
      <c r="I36" s="289"/>
      <c r="J36" s="289"/>
      <c r="K36" s="34"/>
      <c r="L36" s="34"/>
      <c r="M36" s="300">
        <v>0</v>
      </c>
      <c r="N36" s="289"/>
      <c r="O36" s="289"/>
      <c r="P36" s="289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47</v>
      </c>
      <c r="E38" s="77"/>
      <c r="F38" s="77"/>
      <c r="G38" s="114" t="s">
        <v>48</v>
      </c>
      <c r="H38" s="115" t="s">
        <v>49</v>
      </c>
      <c r="I38" s="77"/>
      <c r="J38" s="77"/>
      <c r="K38" s="77"/>
      <c r="L38" s="301">
        <f>SUM(M30:M36)</f>
        <v>0</v>
      </c>
      <c r="M38" s="301"/>
      <c r="N38" s="301"/>
      <c r="O38" s="301"/>
      <c r="P38" s="302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50</v>
      </c>
      <c r="E50" s="49"/>
      <c r="F50" s="49"/>
      <c r="G50" s="49"/>
      <c r="H50" s="50"/>
      <c r="I50" s="34"/>
      <c r="J50" s="48" t="s">
        <v>51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52</v>
      </c>
      <c r="E59" s="54"/>
      <c r="F59" s="54"/>
      <c r="G59" s="55" t="s">
        <v>53</v>
      </c>
      <c r="H59" s="56"/>
      <c r="I59" s="34"/>
      <c r="J59" s="53" t="s">
        <v>52</v>
      </c>
      <c r="K59" s="54"/>
      <c r="L59" s="54"/>
      <c r="M59" s="54"/>
      <c r="N59" s="55" t="s">
        <v>53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54</v>
      </c>
      <c r="E61" s="49"/>
      <c r="F61" s="49"/>
      <c r="G61" s="49"/>
      <c r="H61" s="50"/>
      <c r="I61" s="34"/>
      <c r="J61" s="48" t="s">
        <v>55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52</v>
      </c>
      <c r="E70" s="54"/>
      <c r="F70" s="54"/>
      <c r="G70" s="55" t="s">
        <v>53</v>
      </c>
      <c r="H70" s="56"/>
      <c r="I70" s="34"/>
      <c r="J70" s="53" t="s">
        <v>52</v>
      </c>
      <c r="K70" s="54"/>
      <c r="L70" s="54"/>
      <c r="M70" s="54"/>
      <c r="N70" s="55" t="s">
        <v>53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6" t="s">
        <v>105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30" t="s">
        <v>17</v>
      </c>
      <c r="D78" s="34"/>
      <c r="E78" s="34"/>
      <c r="F78" s="290" t="e">
        <f>F6</f>
        <v>#REF!</v>
      </c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101</v>
      </c>
      <c r="D79" s="34"/>
      <c r="E79" s="34"/>
      <c r="F79" s="248" t="str">
        <f>F7</f>
        <v>2017082-VON - VEDLEJŠÍ A OSTATNÍ NÁKLADY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92" t="e">
        <f>IF(O9="","",O9)</f>
        <v>#REF!</v>
      </c>
      <c r="N81" s="292"/>
      <c r="O81" s="292"/>
      <c r="P81" s="292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59" t="str">
        <f>E18</f>
        <v>ING.EVŽEN KOZÁK S.R.O.</v>
      </c>
      <c r="N83" s="259"/>
      <c r="O83" s="259"/>
      <c r="P83" s="259"/>
      <c r="Q83" s="259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59" t="str">
        <f>E21</f>
        <v>ING.EVŽEN KOZÁK</v>
      </c>
      <c r="N84" s="259"/>
      <c r="O84" s="259"/>
      <c r="P84" s="259"/>
      <c r="Q84" s="259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8" t="s">
        <v>106</v>
      </c>
      <c r="D86" s="299"/>
      <c r="E86" s="299"/>
      <c r="F86" s="299"/>
      <c r="G86" s="299"/>
      <c r="H86" s="108"/>
      <c r="I86" s="108"/>
      <c r="J86" s="108"/>
      <c r="K86" s="108"/>
      <c r="L86" s="108"/>
      <c r="M86" s="108"/>
      <c r="N86" s="298" t="s">
        <v>107</v>
      </c>
      <c r="O86" s="299"/>
      <c r="P86" s="299"/>
      <c r="Q86" s="299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108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26">
        <f>N89</f>
        <v>0</v>
      </c>
      <c r="O88" s="295"/>
      <c r="P88" s="295"/>
      <c r="Q88" s="295"/>
      <c r="R88" s="35"/>
      <c r="T88" s="119"/>
      <c r="U88" s="119"/>
      <c r="AU88" s="20" t="s">
        <v>109</v>
      </c>
    </row>
    <row r="89" spans="2:47" s="6" customFormat="1" ht="24.95" customHeight="1" x14ac:dyDescent="0.3">
      <c r="B89" s="121"/>
      <c r="C89" s="122"/>
      <c r="D89" s="123" t="s">
        <v>470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8">
        <f>N90+N91</f>
        <v>0</v>
      </c>
      <c r="O89" s="297"/>
      <c r="P89" s="297"/>
      <c r="Q89" s="297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471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93">
        <f>N114</f>
        <v>0</v>
      </c>
      <c r="O90" s="294"/>
      <c r="P90" s="294"/>
      <c r="Q90" s="294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472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93">
        <f>N119</f>
        <v>0</v>
      </c>
      <c r="O91" s="294"/>
      <c r="P91" s="294"/>
      <c r="Q91" s="294"/>
      <c r="R91" s="129"/>
      <c r="T91" s="130"/>
      <c r="U91" s="130"/>
    </row>
    <row r="92" spans="2:47" s="1" customFormat="1" ht="21.75" customHeight="1" x14ac:dyDescent="0.3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  <c r="T92" s="119"/>
      <c r="U92" s="119"/>
    </row>
    <row r="93" spans="2:47" s="1" customFormat="1" ht="29.25" customHeight="1" x14ac:dyDescent="0.3">
      <c r="B93" s="33"/>
      <c r="C93" s="120" t="s">
        <v>125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295">
        <v>0</v>
      </c>
      <c r="O93" s="296"/>
      <c r="P93" s="296"/>
      <c r="Q93" s="296"/>
      <c r="R93" s="35"/>
      <c r="T93" s="131"/>
      <c r="U93" s="132" t="s">
        <v>40</v>
      </c>
    </row>
    <row r="94" spans="2:47" s="1" customFormat="1" ht="18" customHeight="1" x14ac:dyDescent="0.3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  <c r="T94" s="119"/>
      <c r="U94" s="119"/>
    </row>
    <row r="95" spans="2:47" s="1" customFormat="1" ht="29.25" customHeight="1" x14ac:dyDescent="0.3">
      <c r="B95" s="33"/>
      <c r="C95" s="107" t="s">
        <v>93</v>
      </c>
      <c r="D95" s="108"/>
      <c r="E95" s="108"/>
      <c r="F95" s="108"/>
      <c r="G95" s="108"/>
      <c r="H95" s="108"/>
      <c r="I95" s="108"/>
      <c r="J95" s="108"/>
      <c r="K95" s="108"/>
      <c r="L95" s="222">
        <f>N88</f>
        <v>0</v>
      </c>
      <c r="M95" s="222"/>
      <c r="N95" s="222"/>
      <c r="O95" s="222"/>
      <c r="P95" s="222"/>
      <c r="Q95" s="222"/>
      <c r="R95" s="35"/>
      <c r="T95" s="119"/>
      <c r="U95" s="119"/>
    </row>
    <row r="96" spans="2:47" s="1" customFormat="1" ht="6.95" customHeight="1" x14ac:dyDescent="0.3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9"/>
      <c r="T96" s="119"/>
      <c r="U96" s="119"/>
    </row>
    <row r="100" spans="2:63" s="1" customFormat="1" ht="6.95" customHeight="1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</row>
    <row r="101" spans="2:63" s="1" customFormat="1" ht="36.950000000000003" customHeight="1" x14ac:dyDescent="0.3">
      <c r="B101" s="33"/>
      <c r="C101" s="246" t="s">
        <v>126</v>
      </c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35"/>
    </row>
    <row r="102" spans="2:63" s="1" customFormat="1" ht="6.95" customHeight="1" x14ac:dyDescent="0.3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</row>
    <row r="103" spans="2:63" s="1" customFormat="1" ht="30" customHeight="1" x14ac:dyDescent="0.3">
      <c r="B103" s="33"/>
      <c r="C103" s="30" t="s">
        <v>17</v>
      </c>
      <c r="D103" s="34"/>
      <c r="E103" s="34"/>
      <c r="F103" s="290" t="e">
        <f>F6</f>
        <v>#REF!</v>
      </c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34"/>
      <c r="R103" s="35"/>
    </row>
    <row r="104" spans="2:63" s="1" customFormat="1" ht="36.950000000000003" customHeight="1" x14ac:dyDescent="0.3">
      <c r="B104" s="33"/>
      <c r="C104" s="67" t="s">
        <v>101</v>
      </c>
      <c r="D104" s="34"/>
      <c r="E104" s="34"/>
      <c r="F104" s="248" t="str">
        <f>F7</f>
        <v>2017082-VON - VEDLEJŠÍ A OSTATNÍ NÁKLADY</v>
      </c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34"/>
      <c r="R104" s="35"/>
    </row>
    <row r="105" spans="2:63" s="1" customFormat="1" ht="6.95" customHeight="1" x14ac:dyDescent="0.3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</row>
    <row r="106" spans="2:63" s="1" customFormat="1" ht="18" customHeight="1" x14ac:dyDescent="0.3">
      <c r="B106" s="33"/>
      <c r="C106" s="30" t="s">
        <v>21</v>
      </c>
      <c r="D106" s="34"/>
      <c r="E106" s="34"/>
      <c r="F106" s="28" t="str">
        <f>F9</f>
        <v xml:space="preserve"> </v>
      </c>
      <c r="G106" s="34"/>
      <c r="H106" s="34"/>
      <c r="I106" s="34"/>
      <c r="J106" s="34"/>
      <c r="K106" s="30" t="s">
        <v>23</v>
      </c>
      <c r="L106" s="34"/>
      <c r="M106" s="292" t="e">
        <f>IF(O9="","",O9)</f>
        <v>#REF!</v>
      </c>
      <c r="N106" s="292"/>
      <c r="O106" s="292"/>
      <c r="P106" s="292"/>
      <c r="Q106" s="34"/>
      <c r="R106" s="35"/>
    </row>
    <row r="107" spans="2:63" s="1" customFormat="1" ht="6.95" customHeight="1" x14ac:dyDescent="0.3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63" s="1" customFormat="1" ht="15" x14ac:dyDescent="0.3">
      <c r="B108" s="33"/>
      <c r="C108" s="30" t="s">
        <v>25</v>
      </c>
      <c r="D108" s="34"/>
      <c r="E108" s="34"/>
      <c r="F108" s="28" t="str">
        <f>E12</f>
        <v>VODOVODY A KANALIZACE MLADÁ BOLESLAV A.S.</v>
      </c>
      <c r="G108" s="34"/>
      <c r="H108" s="34"/>
      <c r="I108" s="34"/>
      <c r="J108" s="34"/>
      <c r="K108" s="30" t="s">
        <v>31</v>
      </c>
      <c r="L108" s="34"/>
      <c r="M108" s="259" t="str">
        <f>E18</f>
        <v>ING.EVŽEN KOZÁK S.R.O.</v>
      </c>
      <c r="N108" s="259"/>
      <c r="O108" s="259"/>
      <c r="P108" s="259"/>
      <c r="Q108" s="259"/>
      <c r="R108" s="35"/>
    </row>
    <row r="109" spans="2:63" s="1" customFormat="1" ht="14.45" customHeight="1" x14ac:dyDescent="0.3">
      <c r="B109" s="33"/>
      <c r="C109" s="30" t="s">
        <v>29</v>
      </c>
      <c r="D109" s="34"/>
      <c r="E109" s="34"/>
      <c r="F109" s="28" t="str">
        <f>IF(E15="","",E15)</f>
        <v>DLE VÝBĚROVÉHO ŘÍZENÍ</v>
      </c>
      <c r="G109" s="34"/>
      <c r="H109" s="34"/>
      <c r="I109" s="34"/>
      <c r="J109" s="34"/>
      <c r="K109" s="30" t="s">
        <v>34</v>
      </c>
      <c r="L109" s="34"/>
      <c r="M109" s="259" t="str">
        <f>E21</f>
        <v>ING.EVŽEN KOZÁK</v>
      </c>
      <c r="N109" s="259"/>
      <c r="O109" s="259"/>
      <c r="P109" s="259"/>
      <c r="Q109" s="259"/>
      <c r="R109" s="35"/>
    </row>
    <row r="110" spans="2:63" s="1" customFormat="1" ht="10.35" customHeight="1" x14ac:dyDescent="0.3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1" spans="2:63" s="8" customFormat="1" ht="29.25" customHeight="1" x14ac:dyDescent="0.3">
      <c r="B111" s="133"/>
      <c r="C111" s="134" t="s">
        <v>127</v>
      </c>
      <c r="D111" s="135" t="s">
        <v>128</v>
      </c>
      <c r="E111" s="135" t="s">
        <v>58</v>
      </c>
      <c r="F111" s="283" t="s">
        <v>129</v>
      </c>
      <c r="G111" s="283"/>
      <c r="H111" s="283"/>
      <c r="I111" s="283"/>
      <c r="J111" s="135" t="s">
        <v>130</v>
      </c>
      <c r="K111" s="135" t="s">
        <v>131</v>
      </c>
      <c r="L111" s="283" t="s">
        <v>132</v>
      </c>
      <c r="M111" s="283"/>
      <c r="N111" s="283" t="s">
        <v>107</v>
      </c>
      <c r="O111" s="283"/>
      <c r="P111" s="283"/>
      <c r="Q111" s="284"/>
      <c r="R111" s="136"/>
      <c r="T111" s="78" t="s">
        <v>133</v>
      </c>
      <c r="U111" s="79" t="s">
        <v>40</v>
      </c>
      <c r="V111" s="79" t="s">
        <v>134</v>
      </c>
      <c r="W111" s="79" t="s">
        <v>135</v>
      </c>
      <c r="X111" s="79" t="s">
        <v>136</v>
      </c>
      <c r="Y111" s="79" t="s">
        <v>137</v>
      </c>
      <c r="Z111" s="79" t="s">
        <v>138</v>
      </c>
      <c r="AA111" s="80" t="s">
        <v>139</v>
      </c>
    </row>
    <row r="112" spans="2:63" s="1" customFormat="1" ht="29.25" customHeight="1" x14ac:dyDescent="0.35">
      <c r="B112" s="33"/>
      <c r="C112" s="82" t="s">
        <v>103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285">
        <f>N113</f>
        <v>0</v>
      </c>
      <c r="O112" s="286"/>
      <c r="P112" s="286"/>
      <c r="Q112" s="286"/>
      <c r="R112" s="35"/>
      <c r="T112" s="81"/>
      <c r="U112" s="49"/>
      <c r="V112" s="49"/>
      <c r="W112" s="137" t="e">
        <f>W113</f>
        <v>#REF!</v>
      </c>
      <c r="X112" s="49"/>
      <c r="Y112" s="137" t="e">
        <f>Y113</f>
        <v>#REF!</v>
      </c>
      <c r="Z112" s="49"/>
      <c r="AA112" s="138" t="e">
        <f>AA113</f>
        <v>#REF!</v>
      </c>
      <c r="AT112" s="20" t="s">
        <v>75</v>
      </c>
      <c r="AU112" s="20" t="s">
        <v>109</v>
      </c>
      <c r="BK112" s="139" t="e">
        <f>BK113</f>
        <v>#REF!</v>
      </c>
    </row>
    <row r="113" spans="2:65" s="9" customFormat="1" ht="37.35" customHeight="1" x14ac:dyDescent="0.35">
      <c r="B113" s="140"/>
      <c r="C113" s="141"/>
      <c r="D113" s="142" t="s">
        <v>470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324">
        <f>N114+N119</f>
        <v>0</v>
      </c>
      <c r="O113" s="325"/>
      <c r="P113" s="325"/>
      <c r="Q113" s="325"/>
      <c r="R113" s="143"/>
      <c r="T113" s="144"/>
      <c r="U113" s="141"/>
      <c r="V113" s="141"/>
      <c r="W113" s="145" t="e">
        <f>W114+W119+#REF!+#REF!+#REF!</f>
        <v>#REF!</v>
      </c>
      <c r="X113" s="141"/>
      <c r="Y113" s="145" t="e">
        <f>Y114+Y119+#REF!+#REF!+#REF!</f>
        <v>#REF!</v>
      </c>
      <c r="Z113" s="141"/>
      <c r="AA113" s="146" t="e">
        <f>AA114+AA119+#REF!+#REF!+#REF!</f>
        <v>#REF!</v>
      </c>
      <c r="AR113" s="147" t="s">
        <v>252</v>
      </c>
      <c r="AT113" s="148" t="s">
        <v>75</v>
      </c>
      <c r="AU113" s="148" t="s">
        <v>76</v>
      </c>
      <c r="AY113" s="147" t="s">
        <v>140</v>
      </c>
      <c r="BK113" s="149" t="e">
        <f>BK114+BK119+#REF!+#REF!+#REF!</f>
        <v>#REF!</v>
      </c>
    </row>
    <row r="114" spans="2:65" s="9" customFormat="1" ht="19.899999999999999" customHeight="1" x14ac:dyDescent="0.3">
      <c r="B114" s="140"/>
      <c r="C114" s="141"/>
      <c r="D114" s="150" t="s">
        <v>471</v>
      </c>
      <c r="E114" s="150"/>
      <c r="F114" s="150"/>
      <c r="G114" s="150"/>
      <c r="H114" s="150"/>
      <c r="I114" s="150"/>
      <c r="J114" s="150"/>
      <c r="K114" s="150"/>
      <c r="L114" s="150"/>
      <c r="M114" s="150"/>
      <c r="N114" s="326">
        <f>SUM(N115:N118)</f>
        <v>0</v>
      </c>
      <c r="O114" s="326"/>
      <c r="P114" s="326"/>
      <c r="Q114" s="326"/>
      <c r="R114" s="143"/>
      <c r="T114" s="144"/>
      <c r="U114" s="141"/>
      <c r="V114" s="141"/>
      <c r="W114" s="145">
        <f>W115</f>
        <v>0</v>
      </c>
      <c r="X114" s="141"/>
      <c r="Y114" s="145">
        <f>Y115</f>
        <v>0</v>
      </c>
      <c r="Z114" s="141"/>
      <c r="AA114" s="146">
        <f>AA115</f>
        <v>0</v>
      </c>
      <c r="AR114" s="147" t="s">
        <v>252</v>
      </c>
      <c r="AT114" s="148" t="s">
        <v>75</v>
      </c>
      <c r="AU114" s="148" t="s">
        <v>83</v>
      </c>
      <c r="AY114" s="147" t="s">
        <v>140</v>
      </c>
      <c r="BK114" s="149">
        <f>BK115</f>
        <v>0</v>
      </c>
    </row>
    <row r="115" spans="2:65" s="1" customFormat="1" ht="16.5" customHeight="1" x14ac:dyDescent="0.3">
      <c r="B115" s="33"/>
      <c r="C115" s="151">
        <v>1</v>
      </c>
      <c r="D115" s="151" t="s">
        <v>141</v>
      </c>
      <c r="E115" s="152" t="s">
        <v>473</v>
      </c>
      <c r="F115" s="263" t="s">
        <v>495</v>
      </c>
      <c r="G115" s="263"/>
      <c r="H115" s="263"/>
      <c r="I115" s="263"/>
      <c r="J115" s="153" t="s">
        <v>285</v>
      </c>
      <c r="K115" s="154">
        <v>1</v>
      </c>
      <c r="L115" s="328"/>
      <c r="M115" s="220"/>
      <c r="N115" s="321">
        <f>ROUND(L115*K115,2)</f>
        <v>0</v>
      </c>
      <c r="O115" s="321"/>
      <c r="P115" s="321"/>
      <c r="Q115" s="321"/>
      <c r="R115" s="35"/>
      <c r="T115" s="155" t="s">
        <v>19</v>
      </c>
      <c r="U115" s="42" t="s">
        <v>41</v>
      </c>
      <c r="V115" s="156">
        <v>0</v>
      </c>
      <c r="W115" s="156">
        <f>V115*K115</f>
        <v>0</v>
      </c>
      <c r="X115" s="156">
        <v>0</v>
      </c>
      <c r="Y115" s="156">
        <f>X115*K115</f>
        <v>0</v>
      </c>
      <c r="Z115" s="156">
        <v>0</v>
      </c>
      <c r="AA115" s="157">
        <f>Z115*K115</f>
        <v>0</v>
      </c>
      <c r="AR115" s="20" t="s">
        <v>474</v>
      </c>
      <c r="AT115" s="20" t="s">
        <v>141</v>
      </c>
      <c r="AU115" s="20" t="s">
        <v>99</v>
      </c>
      <c r="AY115" s="20" t="s">
        <v>140</v>
      </c>
      <c r="BE115" s="158">
        <f>IF(U115="základní",N115,0)</f>
        <v>0</v>
      </c>
      <c r="BF115" s="158">
        <f>IF(U115="snížená",N115,0)</f>
        <v>0</v>
      </c>
      <c r="BG115" s="158">
        <f>IF(U115="zákl. přenesená",N115,0)</f>
        <v>0</v>
      </c>
      <c r="BH115" s="158">
        <f>IF(U115="sníž. přenesená",N115,0)</f>
        <v>0</v>
      </c>
      <c r="BI115" s="158">
        <f>IF(U115="nulová",N115,0)</f>
        <v>0</v>
      </c>
      <c r="BJ115" s="20" t="s">
        <v>83</v>
      </c>
      <c r="BK115" s="158">
        <f>ROUND(L115*K115,2)</f>
        <v>0</v>
      </c>
      <c r="BL115" s="20" t="s">
        <v>474</v>
      </c>
      <c r="BM115" s="20" t="s">
        <v>475</v>
      </c>
    </row>
    <row r="116" spans="2:65" s="1" customFormat="1" ht="53.25" customHeight="1" x14ac:dyDescent="0.3">
      <c r="B116" s="33"/>
      <c r="C116" s="151">
        <v>2</v>
      </c>
      <c r="D116" s="151" t="s">
        <v>141</v>
      </c>
      <c r="E116" s="152" t="s">
        <v>488</v>
      </c>
      <c r="F116" s="263" t="s">
        <v>514</v>
      </c>
      <c r="G116" s="263"/>
      <c r="H116" s="263"/>
      <c r="I116" s="263"/>
      <c r="J116" s="153" t="s">
        <v>285</v>
      </c>
      <c r="K116" s="154">
        <v>4</v>
      </c>
      <c r="L116" s="328"/>
      <c r="M116" s="220"/>
      <c r="N116" s="321">
        <f t="shared" ref="N116" si="0">ROUND(L116*K116,2)</f>
        <v>0</v>
      </c>
      <c r="O116" s="321"/>
      <c r="P116" s="321"/>
      <c r="Q116" s="321"/>
      <c r="R116" s="35"/>
      <c r="T116" s="155" t="s">
        <v>19</v>
      </c>
      <c r="U116" s="42" t="s">
        <v>41</v>
      </c>
      <c r="V116" s="156">
        <v>0</v>
      </c>
      <c r="W116" s="156">
        <f t="shared" ref="W116" si="1">V116*K116</f>
        <v>0</v>
      </c>
      <c r="X116" s="156">
        <v>0</v>
      </c>
      <c r="Y116" s="156">
        <f t="shared" ref="Y116" si="2">X116*K116</f>
        <v>0</v>
      </c>
      <c r="Z116" s="156">
        <v>0</v>
      </c>
      <c r="AA116" s="157">
        <f t="shared" ref="AA116" si="3">Z116*K116</f>
        <v>0</v>
      </c>
      <c r="AR116" s="20" t="s">
        <v>474</v>
      </c>
      <c r="AT116" s="20" t="s">
        <v>141</v>
      </c>
      <c r="AU116" s="20" t="s">
        <v>99</v>
      </c>
      <c r="AY116" s="20" t="s">
        <v>140</v>
      </c>
      <c r="BE116" s="158">
        <f t="shared" ref="BE116" si="4">IF(U116="základní",N116,0)</f>
        <v>0</v>
      </c>
      <c r="BF116" s="158">
        <f t="shared" ref="BF116" si="5">IF(U116="snížená",N116,0)</f>
        <v>0</v>
      </c>
      <c r="BG116" s="158">
        <f t="shared" ref="BG116" si="6">IF(U116="zákl. přenesená",N116,0)</f>
        <v>0</v>
      </c>
      <c r="BH116" s="158">
        <f t="shared" ref="BH116" si="7">IF(U116="sníž. přenesená",N116,0)</f>
        <v>0</v>
      </c>
      <c r="BI116" s="158">
        <f t="shared" ref="BI116" si="8">IF(U116="nulová",N116,0)</f>
        <v>0</v>
      </c>
      <c r="BJ116" s="20" t="s">
        <v>83</v>
      </c>
      <c r="BK116" s="158">
        <f t="shared" ref="BK116" si="9">ROUND(L116*K116,2)</f>
        <v>0</v>
      </c>
      <c r="BL116" s="20" t="s">
        <v>474</v>
      </c>
      <c r="BM116" s="20" t="s">
        <v>489</v>
      </c>
    </row>
    <row r="117" spans="2:65" s="1" customFormat="1" ht="53.25" customHeight="1" x14ac:dyDescent="0.3">
      <c r="B117" s="33"/>
      <c r="C117" s="195">
        <v>3</v>
      </c>
      <c r="D117" s="195"/>
      <c r="E117" s="196"/>
      <c r="F117" s="263" t="s">
        <v>512</v>
      </c>
      <c r="G117" s="263"/>
      <c r="H117" s="263"/>
      <c r="I117" s="263"/>
      <c r="J117" s="197" t="s">
        <v>285</v>
      </c>
      <c r="K117" s="198">
        <v>1</v>
      </c>
      <c r="L117" s="328"/>
      <c r="M117" s="220"/>
      <c r="N117" s="321">
        <f t="shared" ref="N117:N118" si="10">ROUND(L117*K117,2)</f>
        <v>0</v>
      </c>
      <c r="O117" s="321"/>
      <c r="P117" s="321"/>
      <c r="Q117" s="321"/>
      <c r="R117" s="35"/>
      <c r="T117" s="191"/>
      <c r="U117" s="42"/>
      <c r="V117" s="156"/>
      <c r="W117" s="156"/>
      <c r="X117" s="156"/>
      <c r="Y117" s="156"/>
      <c r="Z117" s="156"/>
      <c r="AA117" s="157"/>
      <c r="AR117" s="20"/>
      <c r="AT117" s="20"/>
      <c r="AU117" s="20"/>
      <c r="AY117" s="20"/>
      <c r="BE117" s="158"/>
      <c r="BF117" s="158"/>
      <c r="BG117" s="158"/>
      <c r="BH117" s="158"/>
      <c r="BI117" s="158"/>
      <c r="BJ117" s="20"/>
      <c r="BK117" s="158"/>
      <c r="BL117" s="20"/>
      <c r="BM117" s="20"/>
    </row>
    <row r="118" spans="2:65" s="1" customFormat="1" ht="53.25" customHeight="1" x14ac:dyDescent="0.3">
      <c r="B118" s="33"/>
      <c r="C118" s="195">
        <v>4</v>
      </c>
      <c r="D118" s="195"/>
      <c r="E118" s="196"/>
      <c r="F118" s="263" t="s">
        <v>513</v>
      </c>
      <c r="G118" s="263"/>
      <c r="H118" s="263"/>
      <c r="I118" s="263"/>
      <c r="J118" s="197" t="s">
        <v>285</v>
      </c>
      <c r="K118" s="198">
        <v>1</v>
      </c>
      <c r="L118" s="328"/>
      <c r="M118" s="220"/>
      <c r="N118" s="321">
        <f t="shared" si="10"/>
        <v>0</v>
      </c>
      <c r="O118" s="321"/>
      <c r="P118" s="321"/>
      <c r="Q118" s="321"/>
      <c r="R118" s="35"/>
      <c r="T118" s="191"/>
      <c r="U118" s="42"/>
      <c r="V118" s="156"/>
      <c r="W118" s="156"/>
      <c r="X118" s="156"/>
      <c r="Y118" s="156"/>
      <c r="Z118" s="156"/>
      <c r="AA118" s="157"/>
      <c r="AR118" s="20"/>
      <c r="AT118" s="20"/>
      <c r="AU118" s="20"/>
      <c r="AY118" s="20"/>
      <c r="BE118" s="158"/>
      <c r="BF118" s="158"/>
      <c r="BG118" s="158"/>
      <c r="BH118" s="158"/>
      <c r="BI118" s="158"/>
      <c r="BJ118" s="20"/>
      <c r="BK118" s="158"/>
      <c r="BL118" s="20"/>
      <c r="BM118" s="20"/>
    </row>
    <row r="119" spans="2:65" s="9" customFormat="1" ht="29.85" customHeight="1" x14ac:dyDescent="0.3">
      <c r="B119" s="140"/>
      <c r="C119" s="141"/>
      <c r="D119" s="150" t="s">
        <v>472</v>
      </c>
      <c r="E119" s="150"/>
      <c r="F119" s="150"/>
      <c r="G119" s="150"/>
      <c r="H119" s="150"/>
      <c r="I119" s="150"/>
      <c r="J119" s="150"/>
      <c r="K119" s="150"/>
      <c r="L119" s="332"/>
      <c r="M119" s="150"/>
      <c r="N119" s="322">
        <f>SUM(N120:N126)</f>
        <v>0</v>
      </c>
      <c r="O119" s="323"/>
      <c r="P119" s="323"/>
      <c r="Q119" s="323"/>
      <c r="R119" s="143"/>
      <c r="T119" s="144"/>
      <c r="U119" s="141"/>
      <c r="V119" s="141"/>
      <c r="W119" s="145">
        <f>SUM(W120:W125)</f>
        <v>0</v>
      </c>
      <c r="X119" s="141"/>
      <c r="Y119" s="145">
        <f>SUM(Y120:Y125)</f>
        <v>0</v>
      </c>
      <c r="Z119" s="141"/>
      <c r="AA119" s="146">
        <f>SUM(AA120:AA125)</f>
        <v>0</v>
      </c>
      <c r="AR119" s="147" t="s">
        <v>252</v>
      </c>
      <c r="AT119" s="148" t="s">
        <v>75</v>
      </c>
      <c r="AU119" s="148" t="s">
        <v>83</v>
      </c>
      <c r="AY119" s="147" t="s">
        <v>140</v>
      </c>
      <c r="BK119" s="149">
        <f>SUM(BK120:BK125)</f>
        <v>0</v>
      </c>
    </row>
    <row r="120" spans="2:65" s="1" customFormat="1" ht="16.5" customHeight="1" x14ac:dyDescent="0.3">
      <c r="B120" s="33"/>
      <c r="C120" s="151">
        <v>5</v>
      </c>
      <c r="D120" s="151" t="s">
        <v>141</v>
      </c>
      <c r="E120" s="152" t="s">
        <v>476</v>
      </c>
      <c r="F120" s="263" t="s">
        <v>496</v>
      </c>
      <c r="G120" s="263"/>
      <c r="H120" s="263"/>
      <c r="I120" s="263"/>
      <c r="J120" s="153" t="s">
        <v>285</v>
      </c>
      <c r="K120" s="154">
        <v>4</v>
      </c>
      <c r="L120" s="328"/>
      <c r="M120" s="220"/>
      <c r="N120" s="321">
        <f t="shared" ref="N120:N125" si="11">ROUND(L120*K120,2)</f>
        <v>0</v>
      </c>
      <c r="O120" s="321"/>
      <c r="P120" s="321"/>
      <c r="Q120" s="321"/>
      <c r="R120" s="35"/>
      <c r="T120" s="155" t="s">
        <v>19</v>
      </c>
      <c r="U120" s="42" t="s">
        <v>41</v>
      </c>
      <c r="V120" s="156">
        <v>0</v>
      </c>
      <c r="W120" s="156">
        <f t="shared" ref="W120:W125" si="12">V120*K120</f>
        <v>0</v>
      </c>
      <c r="X120" s="156">
        <v>0</v>
      </c>
      <c r="Y120" s="156">
        <f t="shared" ref="Y120:Y125" si="13">X120*K120</f>
        <v>0</v>
      </c>
      <c r="Z120" s="156">
        <v>0</v>
      </c>
      <c r="AA120" s="157">
        <f t="shared" ref="AA120:AA125" si="14">Z120*K120</f>
        <v>0</v>
      </c>
      <c r="AR120" s="20" t="s">
        <v>474</v>
      </c>
      <c r="AT120" s="20" t="s">
        <v>141</v>
      </c>
      <c r="AU120" s="20" t="s">
        <v>99</v>
      </c>
      <c r="AY120" s="20" t="s">
        <v>140</v>
      </c>
      <c r="BE120" s="158">
        <f t="shared" ref="BE120:BE125" si="15">IF(U120="základní",N120,0)</f>
        <v>0</v>
      </c>
      <c r="BF120" s="158">
        <f t="shared" ref="BF120:BF125" si="16">IF(U120="snížená",N120,0)</f>
        <v>0</v>
      </c>
      <c r="BG120" s="158">
        <f t="shared" ref="BG120:BG125" si="17">IF(U120="zákl. přenesená",N120,0)</f>
        <v>0</v>
      </c>
      <c r="BH120" s="158">
        <f t="shared" ref="BH120:BH125" si="18">IF(U120="sníž. přenesená",N120,0)</f>
        <v>0</v>
      </c>
      <c r="BI120" s="158">
        <f t="shared" ref="BI120:BI125" si="19">IF(U120="nulová",N120,0)</f>
        <v>0</v>
      </c>
      <c r="BJ120" s="20" t="s">
        <v>83</v>
      </c>
      <c r="BK120" s="158">
        <f t="shared" ref="BK120:BK125" si="20">ROUND(L120*K120,2)</f>
        <v>0</v>
      </c>
      <c r="BL120" s="20" t="s">
        <v>474</v>
      </c>
      <c r="BM120" s="20" t="s">
        <v>477</v>
      </c>
    </row>
    <row r="121" spans="2:65" s="1" customFormat="1" ht="28.5" customHeight="1" x14ac:dyDescent="0.3">
      <c r="B121" s="33"/>
      <c r="C121" s="151">
        <v>6</v>
      </c>
      <c r="D121" s="151" t="s">
        <v>141</v>
      </c>
      <c r="E121" s="152" t="s">
        <v>478</v>
      </c>
      <c r="F121" s="263" t="s">
        <v>497</v>
      </c>
      <c r="G121" s="263"/>
      <c r="H121" s="263"/>
      <c r="I121" s="263"/>
      <c r="J121" s="153" t="s">
        <v>285</v>
      </c>
      <c r="K121" s="154">
        <v>4</v>
      </c>
      <c r="L121" s="328"/>
      <c r="M121" s="220"/>
      <c r="N121" s="321">
        <f t="shared" si="11"/>
        <v>0</v>
      </c>
      <c r="O121" s="321"/>
      <c r="P121" s="321"/>
      <c r="Q121" s="321"/>
      <c r="R121" s="35"/>
      <c r="T121" s="155" t="s">
        <v>19</v>
      </c>
      <c r="U121" s="42" t="s">
        <v>41</v>
      </c>
      <c r="V121" s="156">
        <v>0</v>
      </c>
      <c r="W121" s="156">
        <f t="shared" si="12"/>
        <v>0</v>
      </c>
      <c r="X121" s="156">
        <v>0</v>
      </c>
      <c r="Y121" s="156">
        <f t="shared" si="13"/>
        <v>0</v>
      </c>
      <c r="Z121" s="156">
        <v>0</v>
      </c>
      <c r="AA121" s="157">
        <f t="shared" si="14"/>
        <v>0</v>
      </c>
      <c r="AR121" s="20" t="s">
        <v>474</v>
      </c>
      <c r="AT121" s="20" t="s">
        <v>141</v>
      </c>
      <c r="AU121" s="20" t="s">
        <v>99</v>
      </c>
      <c r="AY121" s="20" t="s">
        <v>140</v>
      </c>
      <c r="BE121" s="158">
        <f t="shared" si="15"/>
        <v>0</v>
      </c>
      <c r="BF121" s="158">
        <f t="shared" si="16"/>
        <v>0</v>
      </c>
      <c r="BG121" s="158">
        <f t="shared" si="17"/>
        <v>0</v>
      </c>
      <c r="BH121" s="158">
        <f t="shared" si="18"/>
        <v>0</v>
      </c>
      <c r="BI121" s="158">
        <f t="shared" si="19"/>
        <v>0</v>
      </c>
      <c r="BJ121" s="20" t="s">
        <v>83</v>
      </c>
      <c r="BK121" s="158">
        <f t="shared" si="20"/>
        <v>0</v>
      </c>
      <c r="BL121" s="20" t="s">
        <v>474</v>
      </c>
      <c r="BM121" s="20" t="s">
        <v>479</v>
      </c>
    </row>
    <row r="122" spans="2:65" s="1" customFormat="1" ht="16.5" customHeight="1" x14ac:dyDescent="0.3">
      <c r="B122" s="33"/>
      <c r="C122" s="151">
        <v>7</v>
      </c>
      <c r="D122" s="151" t="s">
        <v>141</v>
      </c>
      <c r="E122" s="152" t="s">
        <v>480</v>
      </c>
      <c r="F122" s="263" t="s">
        <v>498</v>
      </c>
      <c r="G122" s="263"/>
      <c r="H122" s="263"/>
      <c r="I122" s="263"/>
      <c r="J122" s="153" t="s">
        <v>285</v>
      </c>
      <c r="K122" s="154">
        <v>1</v>
      </c>
      <c r="L122" s="328"/>
      <c r="M122" s="220"/>
      <c r="N122" s="321">
        <f t="shared" si="11"/>
        <v>0</v>
      </c>
      <c r="O122" s="321"/>
      <c r="P122" s="321"/>
      <c r="Q122" s="321"/>
      <c r="R122" s="35"/>
      <c r="T122" s="155" t="s">
        <v>19</v>
      </c>
      <c r="U122" s="42" t="s">
        <v>41</v>
      </c>
      <c r="V122" s="156">
        <v>0</v>
      </c>
      <c r="W122" s="156">
        <f t="shared" si="12"/>
        <v>0</v>
      </c>
      <c r="X122" s="156">
        <v>0</v>
      </c>
      <c r="Y122" s="156">
        <f t="shared" si="13"/>
        <v>0</v>
      </c>
      <c r="Z122" s="156">
        <v>0</v>
      </c>
      <c r="AA122" s="157">
        <f t="shared" si="14"/>
        <v>0</v>
      </c>
      <c r="AR122" s="20" t="s">
        <v>474</v>
      </c>
      <c r="AT122" s="20" t="s">
        <v>141</v>
      </c>
      <c r="AU122" s="20" t="s">
        <v>99</v>
      </c>
      <c r="AY122" s="20" t="s">
        <v>140</v>
      </c>
      <c r="BE122" s="158">
        <f t="shared" si="15"/>
        <v>0</v>
      </c>
      <c r="BF122" s="158">
        <f t="shared" si="16"/>
        <v>0</v>
      </c>
      <c r="BG122" s="158">
        <f t="shared" si="17"/>
        <v>0</v>
      </c>
      <c r="BH122" s="158">
        <f t="shared" si="18"/>
        <v>0</v>
      </c>
      <c r="BI122" s="158">
        <f t="shared" si="19"/>
        <v>0</v>
      </c>
      <c r="BJ122" s="20" t="s">
        <v>83</v>
      </c>
      <c r="BK122" s="158">
        <f t="shared" si="20"/>
        <v>0</v>
      </c>
      <c r="BL122" s="20" t="s">
        <v>474</v>
      </c>
      <c r="BM122" s="20" t="s">
        <v>481</v>
      </c>
    </row>
    <row r="123" spans="2:65" s="1" customFormat="1" ht="30.75" customHeight="1" x14ac:dyDescent="0.3">
      <c r="B123" s="33"/>
      <c r="C123" s="151">
        <v>8</v>
      </c>
      <c r="D123" s="151" t="s">
        <v>141</v>
      </c>
      <c r="E123" s="152" t="s">
        <v>482</v>
      </c>
      <c r="F123" s="263" t="s">
        <v>499</v>
      </c>
      <c r="G123" s="263"/>
      <c r="H123" s="263"/>
      <c r="I123" s="263"/>
      <c r="J123" s="153" t="s">
        <v>285</v>
      </c>
      <c r="K123" s="154">
        <v>4</v>
      </c>
      <c r="L123" s="328"/>
      <c r="M123" s="220"/>
      <c r="N123" s="321">
        <f t="shared" si="11"/>
        <v>0</v>
      </c>
      <c r="O123" s="321"/>
      <c r="P123" s="321"/>
      <c r="Q123" s="321"/>
      <c r="R123" s="35"/>
      <c r="T123" s="155" t="s">
        <v>19</v>
      </c>
      <c r="U123" s="42" t="s">
        <v>41</v>
      </c>
      <c r="V123" s="156">
        <v>0</v>
      </c>
      <c r="W123" s="156">
        <f t="shared" si="12"/>
        <v>0</v>
      </c>
      <c r="X123" s="156">
        <v>0</v>
      </c>
      <c r="Y123" s="156">
        <f t="shared" si="13"/>
        <v>0</v>
      </c>
      <c r="Z123" s="156">
        <v>0</v>
      </c>
      <c r="AA123" s="157">
        <f t="shared" si="14"/>
        <v>0</v>
      </c>
      <c r="AR123" s="20" t="s">
        <v>474</v>
      </c>
      <c r="AT123" s="20" t="s">
        <v>141</v>
      </c>
      <c r="AU123" s="20" t="s">
        <v>99</v>
      </c>
      <c r="AY123" s="20" t="s">
        <v>140</v>
      </c>
      <c r="BE123" s="158">
        <f t="shared" si="15"/>
        <v>0</v>
      </c>
      <c r="BF123" s="158">
        <f t="shared" si="16"/>
        <v>0</v>
      </c>
      <c r="BG123" s="158">
        <f t="shared" si="17"/>
        <v>0</v>
      </c>
      <c r="BH123" s="158">
        <f t="shared" si="18"/>
        <v>0</v>
      </c>
      <c r="BI123" s="158">
        <f t="shared" si="19"/>
        <v>0</v>
      </c>
      <c r="BJ123" s="20" t="s">
        <v>83</v>
      </c>
      <c r="BK123" s="158">
        <f t="shared" si="20"/>
        <v>0</v>
      </c>
      <c r="BL123" s="20" t="s">
        <v>474</v>
      </c>
      <c r="BM123" s="20" t="s">
        <v>483</v>
      </c>
    </row>
    <row r="124" spans="2:65" s="1" customFormat="1" ht="25.5" customHeight="1" x14ac:dyDescent="0.3">
      <c r="B124" s="33"/>
      <c r="C124" s="151">
        <v>9</v>
      </c>
      <c r="D124" s="151" t="s">
        <v>141</v>
      </c>
      <c r="E124" s="152" t="s">
        <v>484</v>
      </c>
      <c r="F124" s="263" t="s">
        <v>500</v>
      </c>
      <c r="G124" s="263"/>
      <c r="H124" s="263"/>
      <c r="I124" s="263"/>
      <c r="J124" s="153" t="s">
        <v>285</v>
      </c>
      <c r="K124" s="154">
        <v>1</v>
      </c>
      <c r="L124" s="328"/>
      <c r="M124" s="220"/>
      <c r="N124" s="321">
        <f t="shared" si="11"/>
        <v>0</v>
      </c>
      <c r="O124" s="321"/>
      <c r="P124" s="321"/>
      <c r="Q124" s="321"/>
      <c r="R124" s="35"/>
      <c r="T124" s="155" t="s">
        <v>19</v>
      </c>
      <c r="U124" s="42" t="s">
        <v>41</v>
      </c>
      <c r="V124" s="156">
        <v>0</v>
      </c>
      <c r="W124" s="156">
        <f t="shared" si="12"/>
        <v>0</v>
      </c>
      <c r="X124" s="156">
        <v>0</v>
      </c>
      <c r="Y124" s="156">
        <f t="shared" si="13"/>
        <v>0</v>
      </c>
      <c r="Z124" s="156">
        <v>0</v>
      </c>
      <c r="AA124" s="157">
        <f t="shared" si="14"/>
        <v>0</v>
      </c>
      <c r="AR124" s="20" t="s">
        <v>474</v>
      </c>
      <c r="AT124" s="20" t="s">
        <v>141</v>
      </c>
      <c r="AU124" s="20" t="s">
        <v>99</v>
      </c>
      <c r="AY124" s="20" t="s">
        <v>140</v>
      </c>
      <c r="BE124" s="158">
        <f t="shared" si="15"/>
        <v>0</v>
      </c>
      <c r="BF124" s="158">
        <f t="shared" si="16"/>
        <v>0</v>
      </c>
      <c r="BG124" s="158">
        <f t="shared" si="17"/>
        <v>0</v>
      </c>
      <c r="BH124" s="158">
        <f t="shared" si="18"/>
        <v>0</v>
      </c>
      <c r="BI124" s="158">
        <f t="shared" si="19"/>
        <v>0</v>
      </c>
      <c r="BJ124" s="20" t="s">
        <v>83</v>
      </c>
      <c r="BK124" s="158">
        <f t="shared" si="20"/>
        <v>0</v>
      </c>
      <c r="BL124" s="20" t="s">
        <v>474</v>
      </c>
      <c r="BM124" s="20" t="s">
        <v>485</v>
      </c>
    </row>
    <row r="125" spans="2:65" s="1" customFormat="1" ht="31.5" customHeight="1" x14ac:dyDescent="0.3">
      <c r="B125" s="33"/>
      <c r="C125" s="151">
        <v>10</v>
      </c>
      <c r="D125" s="151" t="s">
        <v>141</v>
      </c>
      <c r="E125" s="152" t="s">
        <v>486</v>
      </c>
      <c r="F125" s="263" t="s">
        <v>501</v>
      </c>
      <c r="G125" s="263"/>
      <c r="H125" s="263"/>
      <c r="I125" s="263"/>
      <c r="J125" s="153" t="s">
        <v>285</v>
      </c>
      <c r="K125" s="154">
        <v>4</v>
      </c>
      <c r="L125" s="328"/>
      <c r="M125" s="220"/>
      <c r="N125" s="321">
        <f t="shared" si="11"/>
        <v>0</v>
      </c>
      <c r="O125" s="321"/>
      <c r="P125" s="321"/>
      <c r="Q125" s="321"/>
      <c r="R125" s="35"/>
      <c r="T125" s="155" t="s">
        <v>19</v>
      </c>
      <c r="U125" s="42" t="s">
        <v>41</v>
      </c>
      <c r="V125" s="156">
        <v>0</v>
      </c>
      <c r="W125" s="156">
        <f t="shared" si="12"/>
        <v>0</v>
      </c>
      <c r="X125" s="156">
        <v>0</v>
      </c>
      <c r="Y125" s="156">
        <f t="shared" si="13"/>
        <v>0</v>
      </c>
      <c r="Z125" s="156">
        <v>0</v>
      </c>
      <c r="AA125" s="157">
        <f t="shared" si="14"/>
        <v>0</v>
      </c>
      <c r="AR125" s="20" t="s">
        <v>474</v>
      </c>
      <c r="AT125" s="20" t="s">
        <v>141</v>
      </c>
      <c r="AU125" s="20" t="s">
        <v>99</v>
      </c>
      <c r="AY125" s="20" t="s">
        <v>140</v>
      </c>
      <c r="BE125" s="158">
        <f t="shared" si="15"/>
        <v>0</v>
      </c>
      <c r="BF125" s="158">
        <f t="shared" si="16"/>
        <v>0</v>
      </c>
      <c r="BG125" s="158">
        <f t="shared" si="17"/>
        <v>0</v>
      </c>
      <c r="BH125" s="158">
        <f t="shared" si="18"/>
        <v>0</v>
      </c>
      <c r="BI125" s="158">
        <f t="shared" si="19"/>
        <v>0</v>
      </c>
      <c r="BJ125" s="20" t="s">
        <v>83</v>
      </c>
      <c r="BK125" s="158">
        <f t="shared" si="20"/>
        <v>0</v>
      </c>
      <c r="BL125" s="20" t="s">
        <v>474</v>
      </c>
      <c r="BM125" s="20" t="s">
        <v>487</v>
      </c>
    </row>
    <row r="126" spans="2:65" s="1" customFormat="1" ht="36.75" customHeight="1" x14ac:dyDescent="0.3">
      <c r="B126" s="33"/>
      <c r="C126" s="151">
        <v>11</v>
      </c>
      <c r="D126" s="151" t="s">
        <v>141</v>
      </c>
      <c r="E126" s="152" t="s">
        <v>488</v>
      </c>
      <c r="F126" s="263" t="s">
        <v>502</v>
      </c>
      <c r="G126" s="263"/>
      <c r="H126" s="263"/>
      <c r="I126" s="263"/>
      <c r="J126" s="153" t="s">
        <v>285</v>
      </c>
      <c r="K126" s="154">
        <v>2</v>
      </c>
      <c r="L126" s="328"/>
      <c r="M126" s="220"/>
      <c r="N126" s="321">
        <f t="shared" ref="N126" si="21">ROUND(L126*K126,2)</f>
        <v>0</v>
      </c>
      <c r="O126" s="321"/>
      <c r="P126" s="321"/>
      <c r="Q126" s="321"/>
      <c r="R126" s="35"/>
      <c r="T126" s="155" t="s">
        <v>19</v>
      </c>
      <c r="U126" s="42" t="s">
        <v>41</v>
      </c>
      <c r="V126" s="156">
        <v>0</v>
      </c>
      <c r="W126" s="156">
        <f t="shared" ref="W126" si="22">V126*K126</f>
        <v>0</v>
      </c>
      <c r="X126" s="156">
        <v>0</v>
      </c>
      <c r="Y126" s="156">
        <f t="shared" ref="Y126" si="23">X126*K126</f>
        <v>0</v>
      </c>
      <c r="Z126" s="156">
        <v>0</v>
      </c>
      <c r="AA126" s="157">
        <f t="shared" ref="AA126" si="24">Z126*K126</f>
        <v>0</v>
      </c>
      <c r="AR126" s="20" t="s">
        <v>474</v>
      </c>
      <c r="AT126" s="20" t="s">
        <v>141</v>
      </c>
      <c r="AU126" s="20" t="s">
        <v>99</v>
      </c>
      <c r="AY126" s="20" t="s">
        <v>140</v>
      </c>
      <c r="BE126" s="158">
        <f t="shared" ref="BE126" si="25">IF(U126="základní",N126,0)</f>
        <v>0</v>
      </c>
      <c r="BF126" s="158">
        <f t="shared" ref="BF126" si="26">IF(U126="snížená",N126,0)</f>
        <v>0</v>
      </c>
      <c r="BG126" s="158">
        <f t="shared" ref="BG126" si="27">IF(U126="zákl. přenesená",N126,0)</f>
        <v>0</v>
      </c>
      <c r="BH126" s="158">
        <f t="shared" ref="BH126" si="28">IF(U126="sníž. přenesená",N126,0)</f>
        <v>0</v>
      </c>
      <c r="BI126" s="158">
        <f t="shared" ref="BI126" si="29">IF(U126="nulová",N126,0)</f>
        <v>0</v>
      </c>
      <c r="BJ126" s="20" t="s">
        <v>83</v>
      </c>
      <c r="BK126" s="158">
        <f t="shared" ref="BK126" si="30">ROUND(L126*K126,2)</f>
        <v>0</v>
      </c>
      <c r="BL126" s="20" t="s">
        <v>474</v>
      </c>
      <c r="BM126" s="20" t="s">
        <v>487</v>
      </c>
    </row>
    <row r="127" spans="2:65" s="1" customFormat="1" ht="31.5" customHeight="1" x14ac:dyDescent="0.3"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9"/>
    </row>
  </sheetData>
  <sheetProtection algorithmName="SHA-512" hashValue="5LfHjsZd4qGPSU8hSwBR/viR/LMj/QTtmHpZPnf4ySRxjoF6/1mKRNqqRpQPWmDjdDd1eWIIp5llOJva2RhwPQ==" saltValue="oM4HM/3zVbDiLklbCzMujw==" spinCount="100000" sheet="1" objects="1" scenarios="1"/>
  <mergeCells count="79">
    <mergeCell ref="N117:Q117"/>
    <mergeCell ref="N118:Q118"/>
    <mergeCell ref="F126:I126"/>
    <mergeCell ref="N126:Q126"/>
    <mergeCell ref="F125:I125"/>
    <mergeCell ref="N125:Q125"/>
    <mergeCell ref="F122:I122"/>
    <mergeCell ref="N122:Q122"/>
    <mergeCell ref="F123:I123"/>
    <mergeCell ref="N123:Q123"/>
    <mergeCell ref="H1:K1"/>
    <mergeCell ref="C2:Q2"/>
    <mergeCell ref="C76:Q76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S2:AC2"/>
    <mergeCell ref="C4:Q4"/>
    <mergeCell ref="F6:P6"/>
    <mergeCell ref="M28:P28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F7:P7"/>
    <mergeCell ref="N88:Q88"/>
    <mergeCell ref="N89:Q89"/>
    <mergeCell ref="N90:Q90"/>
    <mergeCell ref="N91:Q91"/>
    <mergeCell ref="F78:P78"/>
    <mergeCell ref="F79:P79"/>
    <mergeCell ref="M81:P81"/>
    <mergeCell ref="M83:Q83"/>
    <mergeCell ref="M84:Q84"/>
    <mergeCell ref="C86:G86"/>
    <mergeCell ref="N86:Q86"/>
    <mergeCell ref="N93:Q93"/>
    <mergeCell ref="L95:Q95"/>
    <mergeCell ref="C101:Q101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N112:Q112"/>
    <mergeCell ref="N113:Q113"/>
    <mergeCell ref="N114:Q114"/>
    <mergeCell ref="F115:I115"/>
    <mergeCell ref="N115:Q115"/>
    <mergeCell ref="F116:I116"/>
    <mergeCell ref="N116:Q116"/>
    <mergeCell ref="F124:I124"/>
    <mergeCell ref="N124:Q124"/>
    <mergeCell ref="N119:Q119"/>
    <mergeCell ref="F120:I120"/>
    <mergeCell ref="N120:Q120"/>
    <mergeCell ref="F121:I121"/>
    <mergeCell ref="N121:Q121"/>
    <mergeCell ref="F117:I117"/>
    <mergeCell ref="F118:I118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Mukařov</vt:lpstr>
      <vt:lpstr>Němčice</vt:lpstr>
      <vt:lpstr>Sýčina</vt:lpstr>
      <vt:lpstr>Kovánec</vt:lpstr>
      <vt:lpstr>Vedlejší náklady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pc-kozak\evzen</dc:creator>
  <cp:lastModifiedBy>Miroslav Havlas</cp:lastModifiedBy>
  <dcterms:created xsi:type="dcterms:W3CDTF">2017-09-26T08:09:19Z</dcterms:created>
  <dcterms:modified xsi:type="dcterms:W3CDTF">2019-10-30T12:32:41Z</dcterms:modified>
</cp:coreProperties>
</file>